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en/Desktop/Swati's paper-10.12.21/"/>
    </mc:Choice>
  </mc:AlternateContent>
  <xr:revisionPtr revIDLastSave="0" documentId="8_{E87C0F0F-62C6-1344-AACC-C19A4F29A3C0}" xr6:coauthVersionLast="47" xr6:coauthVersionMax="47" xr10:uidLastSave="{00000000-0000-0000-0000-000000000000}"/>
  <bookViews>
    <workbookView xWindow="40" yWindow="500" windowWidth="28800" windowHeight="16780" xr2:uid="{00000000-000D-0000-FFFF-FFFF00000000}"/>
  </bookViews>
  <sheets>
    <sheet name="RCAS_Y_vs_RCAS_CRE_Differential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E2" i="1"/>
  <c r="B3" i="1"/>
  <c r="E3" i="1"/>
  <c r="B4" i="1"/>
  <c r="E4" i="1"/>
  <c r="B5" i="1"/>
  <c r="E5" i="1"/>
  <c r="B6" i="1"/>
  <c r="E6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B53" i="1"/>
  <c r="E53" i="1"/>
  <c r="B54" i="1"/>
  <c r="E54" i="1"/>
  <c r="B55" i="1"/>
  <c r="E55" i="1"/>
  <c r="B56" i="1"/>
  <c r="E56" i="1"/>
  <c r="B57" i="1"/>
  <c r="E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E67" i="1"/>
  <c r="B68" i="1"/>
  <c r="E68" i="1"/>
  <c r="B69" i="1"/>
  <c r="E69" i="1"/>
  <c r="B70" i="1"/>
  <c r="E70" i="1"/>
  <c r="B71" i="1"/>
  <c r="E71" i="1"/>
  <c r="B72" i="1"/>
  <c r="E72" i="1"/>
  <c r="B73" i="1"/>
  <c r="E73" i="1"/>
  <c r="B74" i="1"/>
  <c r="E74" i="1"/>
  <c r="B75" i="1"/>
  <c r="E75" i="1"/>
  <c r="B76" i="1"/>
  <c r="E76" i="1"/>
  <c r="B77" i="1"/>
  <c r="E77" i="1"/>
  <c r="B78" i="1"/>
  <c r="E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E103" i="1"/>
  <c r="B104" i="1"/>
  <c r="E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1" i="1"/>
  <c r="E111" i="1"/>
  <c r="B112" i="1"/>
  <c r="E112" i="1"/>
  <c r="B113" i="1"/>
  <c r="E113" i="1"/>
  <c r="B114" i="1"/>
  <c r="E114" i="1"/>
  <c r="B115" i="1"/>
  <c r="E115" i="1"/>
  <c r="B116" i="1"/>
  <c r="E116" i="1"/>
  <c r="B117" i="1"/>
  <c r="E117" i="1"/>
  <c r="B118" i="1"/>
  <c r="E118" i="1"/>
  <c r="B119" i="1"/>
  <c r="E119" i="1"/>
  <c r="B120" i="1"/>
  <c r="E120" i="1"/>
  <c r="B121" i="1"/>
  <c r="E121" i="1"/>
  <c r="B122" i="1"/>
  <c r="E122" i="1"/>
  <c r="B123" i="1"/>
  <c r="E123" i="1"/>
  <c r="B124" i="1"/>
  <c r="E124" i="1"/>
  <c r="B125" i="1"/>
  <c r="E125" i="1"/>
  <c r="B126" i="1"/>
  <c r="E126" i="1"/>
  <c r="B127" i="1"/>
  <c r="E127" i="1"/>
  <c r="B128" i="1"/>
  <c r="E128" i="1"/>
  <c r="B129" i="1"/>
  <c r="E129" i="1"/>
  <c r="B130" i="1"/>
  <c r="E130" i="1"/>
  <c r="B131" i="1"/>
  <c r="E131" i="1"/>
  <c r="B132" i="1"/>
  <c r="E132" i="1"/>
  <c r="B133" i="1"/>
  <c r="E133" i="1"/>
  <c r="B134" i="1"/>
  <c r="E134" i="1"/>
  <c r="B135" i="1"/>
  <c r="E135" i="1"/>
  <c r="B136" i="1"/>
  <c r="E136" i="1"/>
  <c r="B137" i="1"/>
  <c r="E137" i="1"/>
  <c r="B138" i="1"/>
  <c r="E138" i="1"/>
  <c r="B139" i="1"/>
  <c r="E139" i="1"/>
  <c r="B140" i="1"/>
  <c r="E140" i="1"/>
  <c r="B141" i="1"/>
  <c r="E141" i="1"/>
  <c r="B142" i="1"/>
  <c r="E142" i="1"/>
  <c r="B143" i="1"/>
  <c r="E143" i="1"/>
  <c r="B144" i="1"/>
  <c r="E144" i="1"/>
  <c r="B145" i="1"/>
  <c r="E145" i="1"/>
  <c r="B146" i="1"/>
  <c r="E146" i="1"/>
  <c r="B147" i="1"/>
  <c r="E147" i="1"/>
  <c r="B148" i="1"/>
  <c r="E148" i="1"/>
  <c r="B149" i="1"/>
  <c r="E149" i="1"/>
  <c r="B150" i="1"/>
  <c r="E150" i="1"/>
  <c r="B151" i="1"/>
  <c r="E151" i="1"/>
  <c r="B152" i="1"/>
  <c r="E152" i="1"/>
  <c r="B153" i="1"/>
  <c r="E153" i="1"/>
  <c r="B154" i="1"/>
  <c r="E154" i="1"/>
  <c r="B155" i="1"/>
  <c r="E155" i="1"/>
  <c r="B156" i="1"/>
  <c r="E156" i="1"/>
  <c r="B157" i="1"/>
  <c r="E157" i="1"/>
  <c r="B158" i="1"/>
  <c r="E158" i="1"/>
  <c r="B159" i="1"/>
  <c r="E159" i="1"/>
  <c r="B160" i="1"/>
  <c r="E160" i="1"/>
  <c r="B161" i="1"/>
  <c r="E161" i="1"/>
  <c r="B162" i="1"/>
  <c r="E162" i="1"/>
  <c r="B163" i="1"/>
  <c r="E163" i="1"/>
  <c r="B164" i="1"/>
  <c r="E164" i="1"/>
  <c r="B165" i="1"/>
  <c r="E165" i="1"/>
  <c r="B166" i="1"/>
  <c r="E166" i="1"/>
  <c r="B167" i="1"/>
  <c r="E167" i="1"/>
  <c r="B168" i="1"/>
  <c r="E168" i="1"/>
  <c r="B169" i="1"/>
  <c r="E169" i="1"/>
  <c r="B170" i="1"/>
  <c r="E170" i="1"/>
  <c r="B171" i="1"/>
  <c r="E171" i="1"/>
  <c r="B172" i="1"/>
  <c r="E172" i="1"/>
  <c r="B173" i="1"/>
  <c r="E173" i="1"/>
  <c r="B174" i="1"/>
  <c r="E174" i="1"/>
  <c r="B175" i="1"/>
  <c r="E175" i="1"/>
  <c r="B176" i="1"/>
  <c r="E176" i="1"/>
  <c r="B177" i="1"/>
  <c r="E177" i="1"/>
  <c r="B178" i="1"/>
  <c r="E178" i="1"/>
  <c r="B179" i="1"/>
  <c r="E179" i="1"/>
  <c r="B180" i="1"/>
  <c r="E180" i="1"/>
  <c r="B181" i="1"/>
  <c r="E181" i="1"/>
  <c r="B182" i="1"/>
  <c r="E182" i="1"/>
  <c r="B183" i="1"/>
  <c r="E183" i="1"/>
  <c r="B184" i="1"/>
  <c r="E184" i="1"/>
  <c r="B185" i="1"/>
  <c r="E185" i="1"/>
  <c r="B186" i="1"/>
  <c r="E186" i="1"/>
  <c r="B187" i="1"/>
  <c r="E187" i="1"/>
  <c r="B188" i="1"/>
  <c r="E188" i="1"/>
  <c r="B189" i="1"/>
  <c r="E189" i="1"/>
  <c r="B190" i="1"/>
  <c r="E190" i="1"/>
  <c r="B191" i="1"/>
  <c r="E191" i="1"/>
  <c r="B192" i="1"/>
  <c r="E192" i="1"/>
  <c r="B193" i="1"/>
  <c r="E193" i="1"/>
  <c r="B194" i="1"/>
  <c r="E194" i="1"/>
  <c r="B195" i="1"/>
  <c r="E195" i="1"/>
  <c r="B196" i="1"/>
  <c r="E196" i="1"/>
  <c r="B197" i="1"/>
  <c r="E197" i="1"/>
  <c r="B198" i="1"/>
  <c r="E198" i="1"/>
  <c r="B199" i="1"/>
  <c r="E199" i="1"/>
  <c r="B200" i="1"/>
  <c r="E200" i="1"/>
  <c r="B201" i="1"/>
  <c r="E201" i="1"/>
  <c r="B202" i="1"/>
  <c r="E202" i="1"/>
  <c r="B203" i="1"/>
  <c r="E203" i="1"/>
  <c r="B204" i="1"/>
  <c r="E204" i="1"/>
  <c r="B205" i="1"/>
  <c r="E205" i="1"/>
  <c r="B206" i="1"/>
  <c r="E206" i="1"/>
  <c r="B207" i="1"/>
  <c r="E207" i="1"/>
  <c r="B208" i="1"/>
  <c r="E208" i="1"/>
  <c r="B209" i="1"/>
  <c r="E209" i="1"/>
  <c r="B210" i="1"/>
  <c r="E210" i="1"/>
  <c r="B211" i="1"/>
  <c r="E211" i="1"/>
  <c r="B212" i="1"/>
  <c r="E212" i="1"/>
  <c r="B213" i="1"/>
  <c r="E213" i="1"/>
  <c r="B214" i="1"/>
  <c r="E214" i="1"/>
  <c r="B215" i="1"/>
  <c r="E215" i="1"/>
  <c r="B216" i="1"/>
  <c r="E216" i="1"/>
  <c r="B217" i="1"/>
  <c r="E217" i="1"/>
  <c r="B218" i="1"/>
  <c r="E218" i="1"/>
  <c r="B219" i="1"/>
  <c r="E219" i="1"/>
  <c r="B220" i="1"/>
  <c r="E220" i="1"/>
  <c r="B221" i="1"/>
  <c r="E221" i="1"/>
  <c r="B222" i="1"/>
  <c r="E222" i="1"/>
  <c r="B223" i="1"/>
  <c r="E223" i="1"/>
  <c r="B224" i="1"/>
  <c r="E224" i="1"/>
  <c r="B225" i="1"/>
  <c r="E225" i="1"/>
  <c r="B226" i="1"/>
  <c r="E226" i="1"/>
  <c r="B227" i="1"/>
  <c r="E227" i="1"/>
  <c r="B228" i="1"/>
  <c r="E228" i="1"/>
  <c r="B229" i="1"/>
  <c r="E229" i="1"/>
  <c r="B230" i="1"/>
  <c r="E230" i="1"/>
  <c r="B231" i="1"/>
  <c r="E231" i="1"/>
  <c r="B232" i="1"/>
  <c r="E232" i="1"/>
  <c r="B233" i="1"/>
  <c r="E233" i="1"/>
  <c r="B234" i="1"/>
  <c r="E234" i="1"/>
  <c r="B235" i="1"/>
  <c r="E235" i="1"/>
  <c r="B236" i="1"/>
  <c r="E236" i="1"/>
  <c r="B237" i="1"/>
  <c r="E237" i="1"/>
  <c r="B238" i="1"/>
  <c r="E238" i="1"/>
  <c r="B239" i="1"/>
  <c r="E239" i="1"/>
  <c r="B240" i="1"/>
  <c r="E240" i="1"/>
  <c r="B241" i="1"/>
  <c r="E241" i="1"/>
  <c r="B242" i="1"/>
  <c r="E242" i="1"/>
  <c r="B243" i="1"/>
  <c r="E243" i="1"/>
  <c r="B244" i="1"/>
  <c r="E244" i="1"/>
  <c r="B245" i="1"/>
  <c r="E245" i="1"/>
  <c r="B246" i="1"/>
  <c r="E246" i="1"/>
  <c r="B247" i="1"/>
  <c r="E247" i="1"/>
  <c r="B248" i="1"/>
  <c r="E248" i="1"/>
  <c r="B249" i="1"/>
  <c r="E249" i="1"/>
  <c r="B250" i="1"/>
  <c r="E250" i="1"/>
  <c r="B251" i="1"/>
  <c r="E251" i="1"/>
  <c r="B252" i="1"/>
  <c r="E252" i="1"/>
  <c r="B253" i="1"/>
  <c r="E253" i="1"/>
  <c r="B254" i="1"/>
  <c r="E254" i="1"/>
  <c r="B255" i="1"/>
  <c r="E255" i="1"/>
  <c r="B256" i="1"/>
  <c r="E256" i="1"/>
  <c r="B257" i="1"/>
  <c r="E257" i="1"/>
  <c r="B258" i="1"/>
  <c r="E258" i="1"/>
  <c r="B259" i="1"/>
  <c r="E259" i="1"/>
  <c r="B260" i="1"/>
  <c r="E260" i="1"/>
  <c r="B261" i="1"/>
  <c r="E261" i="1"/>
  <c r="B262" i="1"/>
  <c r="E262" i="1"/>
  <c r="B263" i="1"/>
  <c r="E263" i="1"/>
  <c r="B264" i="1"/>
  <c r="E264" i="1"/>
  <c r="B265" i="1"/>
  <c r="E265" i="1"/>
  <c r="B266" i="1"/>
  <c r="E266" i="1"/>
  <c r="B267" i="1"/>
  <c r="E267" i="1"/>
  <c r="B268" i="1"/>
  <c r="E268" i="1"/>
  <c r="B269" i="1"/>
  <c r="E269" i="1"/>
  <c r="B270" i="1"/>
  <c r="E270" i="1"/>
  <c r="B271" i="1"/>
  <c r="E271" i="1"/>
  <c r="B272" i="1"/>
  <c r="E272" i="1"/>
  <c r="B273" i="1"/>
  <c r="E273" i="1"/>
  <c r="B274" i="1"/>
  <c r="E274" i="1"/>
  <c r="B275" i="1"/>
  <c r="E275" i="1"/>
  <c r="B276" i="1"/>
  <c r="E276" i="1"/>
  <c r="B277" i="1"/>
  <c r="E277" i="1"/>
  <c r="B278" i="1"/>
  <c r="E278" i="1"/>
  <c r="B279" i="1"/>
  <c r="E279" i="1"/>
  <c r="B280" i="1"/>
  <c r="E280" i="1"/>
  <c r="B281" i="1"/>
  <c r="E281" i="1"/>
  <c r="B282" i="1"/>
  <c r="E282" i="1"/>
  <c r="B283" i="1"/>
  <c r="E283" i="1"/>
  <c r="B284" i="1"/>
  <c r="E284" i="1"/>
  <c r="B285" i="1"/>
  <c r="E285" i="1"/>
  <c r="B286" i="1"/>
  <c r="E286" i="1"/>
  <c r="B287" i="1"/>
  <c r="E287" i="1"/>
  <c r="B288" i="1"/>
  <c r="E288" i="1"/>
  <c r="B289" i="1"/>
  <c r="E289" i="1"/>
  <c r="B290" i="1"/>
  <c r="E290" i="1"/>
  <c r="B291" i="1"/>
  <c r="E291" i="1"/>
  <c r="B292" i="1"/>
  <c r="E292" i="1"/>
  <c r="B293" i="1"/>
  <c r="E293" i="1"/>
  <c r="B294" i="1"/>
  <c r="E294" i="1"/>
  <c r="B295" i="1"/>
  <c r="E295" i="1"/>
</calcChain>
</file>

<file path=xl/sharedStrings.xml><?xml version="1.0" encoding="utf-8"?>
<sst xmlns="http://schemas.openxmlformats.org/spreadsheetml/2006/main" count="1493" uniqueCount="615">
  <si>
    <t>Ensembl ID</t>
  </si>
  <si>
    <t>Gene Symbol</t>
  </si>
  <si>
    <t>Entrez ID</t>
  </si>
  <si>
    <t>Description</t>
  </si>
  <si>
    <t>Location</t>
  </si>
  <si>
    <t>Strand</t>
  </si>
  <si>
    <t>Log2 Fold Change</t>
  </si>
  <si>
    <t>LFC Standard Error</t>
  </si>
  <si>
    <t>Wald Statistic</t>
  </si>
  <si>
    <t>p Value</t>
  </si>
  <si>
    <t>FDR Adj p Value</t>
  </si>
  <si>
    <t>Significant</t>
  </si>
  <si>
    <t>Status</t>
  </si>
  <si>
    <t>Base Mean</t>
  </si>
  <si>
    <t>RCAS_Y</t>
  </si>
  <si>
    <t>RCAS_CRE</t>
  </si>
  <si>
    <t>RCAS_Y_1_S18</t>
  </si>
  <si>
    <t>RCAS_Y_2_S19</t>
  </si>
  <si>
    <t>RCAS_Y_3_S20</t>
  </si>
  <si>
    <t>RCAS_CRE_1_S21</t>
  </si>
  <si>
    <t>RCAS_CRE_2_S22</t>
  </si>
  <si>
    <t>RCAS_CRE_3_S23</t>
  </si>
  <si>
    <t>RCAS_CRE_4_S24</t>
  </si>
  <si>
    <t>ENSMUSG00000044165</t>
  </si>
  <si>
    <t>BCLl2-like 15</t>
  </si>
  <si>
    <t>+</t>
  </si>
  <si>
    <t>Yes</t>
  </si>
  <si>
    <t>OK</t>
  </si>
  <si>
    <t>ENSMUSG00000028946</t>
  </si>
  <si>
    <t>hairy and enhancer of split 3 (Drosophila)</t>
  </si>
  <si>
    <t>-</t>
  </si>
  <si>
    <t>ENSMUSG00000052854</t>
  </si>
  <si>
    <t>Nik related kinase</t>
  </si>
  <si>
    <t>ENSMUSG00000018581</t>
  </si>
  <si>
    <t>dynein, axonemal, heavy chain 11</t>
  </si>
  <si>
    <t>ENSMUSG00000034384</t>
  </si>
  <si>
    <t>BarH-like 2 (Drosophila)</t>
  </si>
  <si>
    <t>ENSMUSG00000014198</t>
  </si>
  <si>
    <t>zinc finger protein 385C</t>
  </si>
  <si>
    <t>ENSMUSG00000002930</t>
  </si>
  <si>
    <t>protein phosphatase 1, regulatory subunit 17</t>
  </si>
  <si>
    <t>ENSMUSG00000044244</t>
  </si>
  <si>
    <t>interleukin 20 receptor beta</t>
  </si>
  <si>
    <t>ENSMUSG00000004630</t>
  </si>
  <si>
    <t>Purkinje cell protein 2 (L7)</t>
  </si>
  <si>
    <t>ENSMUSG00000002100</t>
  </si>
  <si>
    <t>myosin binding protein C, cardiac</t>
  </si>
  <si>
    <t>ENSMUSG00000053930</t>
  </si>
  <si>
    <t>shisa family member 6</t>
  </si>
  <si>
    <t>ENSMUSG00000021572</t>
  </si>
  <si>
    <t>centrosomal protein 72</t>
  </si>
  <si>
    <t>ENSMUSG00000026950</t>
  </si>
  <si>
    <t>nebulin</t>
  </si>
  <si>
    <t>ENSMUSG00000027168</t>
  </si>
  <si>
    <t>paired box 6</t>
  </si>
  <si>
    <t>ENSMUSG00000054901</t>
  </si>
  <si>
    <t>Rho guanine nucleotide exchange factor (GEF) 33</t>
  </si>
  <si>
    <t>ENSMUSG00000035486</t>
  </si>
  <si>
    <t>polo-like kinase 5</t>
  </si>
  <si>
    <t>ENSMUSG00000054065</t>
  </si>
  <si>
    <t>plakophilin 3</t>
  </si>
  <si>
    <t>ENSMUSG00000050700</t>
  </si>
  <si>
    <t>elastin microfibril interfacer 3</t>
  </si>
  <si>
    <t>ENSMUSG00000027855</t>
  </si>
  <si>
    <t>synaptonemal complex protein 1</t>
  </si>
  <si>
    <t>ENSMUSG00000030592</t>
  </si>
  <si>
    <t>ryanodine receptor 1, skeletal muscle</t>
  </si>
  <si>
    <t>ENSMUSG00000028369</t>
  </si>
  <si>
    <t>sushi, von Willebrand factor type A, EGF and pentraxin domain containing 1</t>
  </si>
  <si>
    <t>ENSMUSG00000090461</t>
  </si>
  <si>
    <t>interleukin 10-related T cell-derived inducible factor beta</t>
  </si>
  <si>
    <t>ENSMUSG00000011034</t>
  </si>
  <si>
    <t>solute carrier family 5 (sodium/glucose cotransporter), member 1</t>
  </si>
  <si>
    <t>ENSMUSG00000002020</t>
  </si>
  <si>
    <t>latent transforming growth factor beta binding protein 2</t>
  </si>
  <si>
    <t>ENSMUSG00000024769</t>
  </si>
  <si>
    <t>CDC42 binding protein kinase gamma (DMPK-like)</t>
  </si>
  <si>
    <t>ENSMUSG00000097248</t>
  </si>
  <si>
    <t>predicted gene 2694</t>
  </si>
  <si>
    <t>ENSMUSG00000001741</t>
  </si>
  <si>
    <t>interleukin 16</t>
  </si>
  <si>
    <t>ENSMUSG00000091519</t>
  </si>
  <si>
    <t>SKI family transcriptional corepressor 2</t>
  </si>
  <si>
    <t>ENSMUSG00000102224</t>
  </si>
  <si>
    <t>RIKEN cDNA 4930447F24 gene</t>
  </si>
  <si>
    <t>ENSMUSG00000015202</t>
  </si>
  <si>
    <t>Cnksr family member 3</t>
  </si>
  <si>
    <t>ENSMUSG00000036123</t>
  </si>
  <si>
    <t>solute carrier family 9 (sodium/hydrogen exchanger), member 3</t>
  </si>
  <si>
    <t>ENSMUSG00000053399</t>
  </si>
  <si>
    <t>a disintegrin-like and metallopeptidase (reprolysin type) with thrombospondin type 1 motif, 18</t>
  </si>
  <si>
    <t>ENSMUSG00000027843</t>
  </si>
  <si>
    <t>protein tyrosine phosphatase, non-receptor type 22 (lymphoid)</t>
  </si>
  <si>
    <t>ENSMUSG00000005357</t>
  </si>
  <si>
    <t>solute carrier family 1 (high affinity aspartate/glutamate transporter), member 6</t>
  </si>
  <si>
    <t>ENSMUSG00000052861</t>
  </si>
  <si>
    <t>dynein, axonemal, heavy chain 6</t>
  </si>
  <si>
    <t>ENSMUSG00000045180</t>
  </si>
  <si>
    <t>shroom family member 2</t>
  </si>
  <si>
    <t>ENSMUSG00000031962</t>
  </si>
  <si>
    <t>cadherin 15</t>
  </si>
  <si>
    <t>ENSMUSG00000039384</t>
  </si>
  <si>
    <t>dual specificity phosphatase 10</t>
  </si>
  <si>
    <t>ENSMUSG00000028347</t>
  </si>
  <si>
    <t>transmembrane protein with EGF-like and two follistatin-like domains 1</t>
  </si>
  <si>
    <t>ENSMUSG00000045319</t>
  </si>
  <si>
    <t>proline and serine rich 2</t>
  </si>
  <si>
    <t>ENSMUSG00000070498</t>
  </si>
  <si>
    <t>transmembrane protein 132B</t>
  </si>
  <si>
    <t>ENSMUSG00000054013</t>
  </si>
  <si>
    <t>transmembrane protein 179</t>
  </si>
  <si>
    <t>ENSMUSG00000025927</t>
  </si>
  <si>
    <t>transcription factor AP-2 beta</t>
  </si>
  <si>
    <t>ENSMUSG00000021948</t>
  </si>
  <si>
    <t>protein kinase C, delta</t>
  </si>
  <si>
    <t>ENSMUSG00000041261</t>
  </si>
  <si>
    <t>carbonic anhydrase 8</t>
  </si>
  <si>
    <t>ENSMUSG00000031849</t>
  </si>
  <si>
    <t>cartilage oligomeric matrix protein</t>
  </si>
  <si>
    <t>ENSMUSG00000043873</t>
  </si>
  <si>
    <t>chitinase-like 5</t>
  </si>
  <si>
    <t>ENSMUSG00000029546</t>
  </si>
  <si>
    <t>UNC homeobox</t>
  </si>
  <si>
    <t>ENSMUSG00000020788</t>
  </si>
  <si>
    <t>ATPase, Ca++ transporting, ubiquitous</t>
  </si>
  <si>
    <t>ENSMUSG00000079550</t>
  </si>
  <si>
    <t>membrane protein, palmitoylated 4 (MAGUK p55 subfamily member 4)</t>
  </si>
  <si>
    <t>ENSMUSG00000062542</t>
  </si>
  <si>
    <t>synaptotagmin IX</t>
  </si>
  <si>
    <t>ENSMUSG00000043144</t>
  </si>
  <si>
    <t>aquaporin 6</t>
  </si>
  <si>
    <t>ENSMUSG00000028011</t>
  </si>
  <si>
    <t>tryptophan 2,3-dioxygenase</t>
  </si>
  <si>
    <t>ENSMUSG00000038963</t>
  </si>
  <si>
    <t>solute carrier organic anion transporter family, member 4a1</t>
  </si>
  <si>
    <t>ENSMUSG00000022501</t>
  </si>
  <si>
    <t>protamine 1</t>
  </si>
  <si>
    <t>ENSMUSG00000102758</t>
  </si>
  <si>
    <t>N-acetylated alpha-linked acidic dipeptidase-like 2</t>
  </si>
  <si>
    <t>ENSMUSG00000040380</t>
  </si>
  <si>
    <t>cerebellin 3 precursor protein</t>
  </si>
  <si>
    <t>ENSMUSG00000022372</t>
  </si>
  <si>
    <t>src-like adaptor</t>
  </si>
  <si>
    <t>ENSMUSG00000034522</t>
  </si>
  <si>
    <t>zinc finger protein 395</t>
  </si>
  <si>
    <t>ENSMUSG00000027583</t>
  </si>
  <si>
    <t>zinc finger and BTB domain containing 46</t>
  </si>
  <si>
    <t>ENSMUSG00000021469</t>
  </si>
  <si>
    <t>msh homeobox 2</t>
  </si>
  <si>
    <t>ENSMUSG00000024511</t>
  </si>
  <si>
    <t>RAB27B, member RAS oncogene family</t>
  </si>
  <si>
    <t>ENSMUSG00000031147</t>
  </si>
  <si>
    <t>MAGI family member, X-linked</t>
  </si>
  <si>
    <t>ENSMUSG00000041476</t>
  </si>
  <si>
    <t>small muscle protein, X-linked</t>
  </si>
  <si>
    <t>ENSMUSG00000020428</t>
  </si>
  <si>
    <t>gamma-aminobutyric acid (GABA) A receptor, subunit alpha 6</t>
  </si>
  <si>
    <t>ENSMUSG00000084803</t>
  </si>
  <si>
    <t>RIKEN cDNA 5830444B04 gene</t>
  </si>
  <si>
    <t>ENSMUSG00000073542</t>
  </si>
  <si>
    <t>centrosomal protein 76</t>
  </si>
  <si>
    <t>ENSMUSG00000061524</t>
  </si>
  <si>
    <t>zinc finger protein of the cerebellum 2</t>
  </si>
  <si>
    <t>ENSMUSG00000044071</t>
  </si>
  <si>
    <t>family with sequence similarity 19, member A2</t>
  </si>
  <si>
    <t>ENSMUSG00000040372</t>
  </si>
  <si>
    <t>G protein-coupled receptor 63</t>
  </si>
  <si>
    <t>ENSMUSG00000026730</t>
  </si>
  <si>
    <t>phosphotriesterase related</t>
  </si>
  <si>
    <t>ENSMUSG00000029108</t>
  </si>
  <si>
    <t>protocadherin 7</t>
  </si>
  <si>
    <t>ENSMUSG00000032446</t>
  </si>
  <si>
    <t>eomesodermin</t>
  </si>
  <si>
    <t>ENSMUSG00000031343</t>
  </si>
  <si>
    <t>gamma-aminobutyric acid (GABA) A receptor, subunit alpha 3</t>
  </si>
  <si>
    <t>ENSMUSG00000070720</t>
  </si>
  <si>
    <t>transmembrane protein 200B</t>
  </si>
  <si>
    <t>ENSMUSG00000024500</t>
  </si>
  <si>
    <t>protein phosphatase 2, regulatory subunit B, beta</t>
  </si>
  <si>
    <t>ENSMUSG00000030353</t>
  </si>
  <si>
    <t>TEA domain family member 4</t>
  </si>
  <si>
    <t>ENSMUSG00000032327</t>
  </si>
  <si>
    <t>stimulated by retinoic acid gene 6</t>
  </si>
  <si>
    <t>ENSMUSG00000059187</t>
  </si>
  <si>
    <t>family with sequence similarity 19, member A1</t>
  </si>
  <si>
    <t>ENSMUSG00000028262</t>
  </si>
  <si>
    <t>chloride channel accessory 3A2</t>
  </si>
  <si>
    <t>ENSMUSG00000056492</t>
  </si>
  <si>
    <t>adhesion G protein-coupled receptor F5</t>
  </si>
  <si>
    <t>ENSMUSG00000014782</t>
  </si>
  <si>
    <t>pleckstrin homology domain containing, family G (with RhoGef domain) member 4</t>
  </si>
  <si>
    <t>ENSMUSG00000029862</t>
  </si>
  <si>
    <t>chloride channel, voltage-sensitive 1</t>
  </si>
  <si>
    <t>ENSMUSG00000030873</t>
  </si>
  <si>
    <t>sodium channel, nonvoltage-gated 1 beta</t>
  </si>
  <si>
    <t>ENSMUSG00000041703</t>
  </si>
  <si>
    <t>zinc finger protein of the cerebellum 5</t>
  </si>
  <si>
    <t>ENSMUSG00000063063</t>
  </si>
  <si>
    <t>catenin (cadherin associated protein), alpha 2</t>
  </si>
  <si>
    <t>ENSMUSG00000041075</t>
  </si>
  <si>
    <t>frizzled class receptor 7</t>
  </si>
  <si>
    <t>ENSMUSG00000028125</t>
  </si>
  <si>
    <t>ATP-binding cassette, sub-family A (ABC1), member 4</t>
  </si>
  <si>
    <t>ENSMUSG00000024935</t>
  </si>
  <si>
    <t>solute carrier family 1 (neuronal/epithelial high affinity glutamate transporter, system Xag), member 1</t>
  </si>
  <si>
    <t>ENSMUSG00000049382</t>
  </si>
  <si>
    <t>keratin 8</t>
  </si>
  <si>
    <t>ENSMUSG00000047766</t>
  </si>
  <si>
    <t>leucine rich repeat containing 49</t>
  </si>
  <si>
    <t>ENSMUSG00000020884</t>
  </si>
  <si>
    <t>asialoglycoprotein receptor 1</t>
  </si>
  <si>
    <t>ENSMUSG00000036469</t>
  </si>
  <si>
    <t>membrane-associated ring finger (C3HC4) 1</t>
  </si>
  <si>
    <t>ENSMUSG00000040913</t>
  </si>
  <si>
    <t>F-box and WD-40 domain protein 4</t>
  </si>
  <si>
    <t>ENSMUSG00000029026</t>
  </si>
  <si>
    <t>transformation related protein 73</t>
  </si>
  <si>
    <t>ENSMUSG00000027070</t>
  </si>
  <si>
    <t>low density lipoprotein receptor-related protein 2</t>
  </si>
  <si>
    <t>ENSMUSG00000025477</t>
  </si>
  <si>
    <t>inositol polyphosphate-5-phosphatase A</t>
  </si>
  <si>
    <t>ENSMUSG00000031654</t>
  </si>
  <si>
    <t>cerebellin 1 precursor protein</t>
  </si>
  <si>
    <t>ENSMUSG00000023827</t>
  </si>
  <si>
    <t>1-acylglycerol-3-phosphate O-acyltransferase 4 (lysophosphatidic acid acyltransferase, delta)</t>
  </si>
  <si>
    <t>ENSMUSG00000019876</t>
  </si>
  <si>
    <t>protein kinase inhibitor beta, cAMP dependent, testis specific</t>
  </si>
  <si>
    <t>ENSMUSG00000027376</t>
  </si>
  <si>
    <t>prominin 2</t>
  </si>
  <si>
    <t>ENSMUSG00000053153</t>
  </si>
  <si>
    <t>sperm associated antigen 16</t>
  </si>
  <si>
    <t>ENSMUSG00000030450</t>
  </si>
  <si>
    <t>oculocutaneous albinism II</t>
  </si>
  <si>
    <t>ENSMUSG00000060445</t>
  </si>
  <si>
    <t>synaptonemal complex protein 2</t>
  </si>
  <si>
    <t>ENSMUSG00000034755</t>
  </si>
  <si>
    <t>protocadherin 11 X-linked</t>
  </si>
  <si>
    <t>ENSMUSG00000056025</t>
  </si>
  <si>
    <t>chloride channel accessory 3A1</t>
  </si>
  <si>
    <t>ENSMUSG00000021636</t>
  </si>
  <si>
    <t>MARVEL (membrane-associating) domain containing 2</t>
  </si>
  <si>
    <t>ENSMUSG00000079355</t>
  </si>
  <si>
    <t>atypical chemokine receptor 4</t>
  </si>
  <si>
    <t>ENSMUSG00000045471</t>
  </si>
  <si>
    <t>hypocretin</t>
  </si>
  <si>
    <t>ENSMUSG00000085555</t>
  </si>
  <si>
    <t>RIKEN cDNA 2610035F20 gene</t>
  </si>
  <si>
    <t>ENSMUSG00000026875</t>
  </si>
  <si>
    <t>TNF receptor-associated factor 1</t>
  </si>
  <si>
    <t>ENSMUSG00000026655</t>
  </si>
  <si>
    <t>family with sequence similarity 107, member B</t>
  </si>
  <si>
    <t>ENSMUSG00000052852</t>
  </si>
  <si>
    <t>receptor accessory protein 1</t>
  </si>
  <si>
    <t>ENSMUSG00000003573</t>
  </si>
  <si>
    <t>homer scaffolding protein 3</t>
  </si>
  <si>
    <t>ENSMUSG00000040434</t>
  </si>
  <si>
    <t>LARGE xylosyl- and glucuronyltransferase 2</t>
  </si>
  <si>
    <t>ENSMUSG00000050967</t>
  </si>
  <si>
    <t>cellular repressor of E1A-stimulated genes 2</t>
  </si>
  <si>
    <t>ENSMUSG00000032021</t>
  </si>
  <si>
    <t>cytotoxic and regulatory T cell molecule</t>
  </si>
  <si>
    <t>ENSMUSG00000059049</t>
  </si>
  <si>
    <t>Fras1 related extracellular matrix protein 1</t>
  </si>
  <si>
    <t>ENSMUSG00000020519</t>
  </si>
  <si>
    <t>SAP30-like</t>
  </si>
  <si>
    <t>ENSMUSG00000049612</t>
  </si>
  <si>
    <t>oligodendrocyte myelin glycoprotein</t>
  </si>
  <si>
    <t>ENSMUSG00000021848</t>
  </si>
  <si>
    <t>orthodenticle homeobox 2</t>
  </si>
  <si>
    <t>ENSMUSG00000032246</t>
  </si>
  <si>
    <t>calmodulin-like 4</t>
  </si>
  <si>
    <t>ENSMUSG00000020096</t>
  </si>
  <si>
    <t>thymus, brain and testes associated</t>
  </si>
  <si>
    <t>ENSMUSG00000018678</t>
  </si>
  <si>
    <t>Sp2 transcription factor</t>
  </si>
  <si>
    <t>ENSMUSG00000041025</t>
  </si>
  <si>
    <t>intermediate filament family orphan 2</t>
  </si>
  <si>
    <t>ENSMUSG00000055214</t>
  </si>
  <si>
    <t>phospholipase D family, member 5</t>
  </si>
  <si>
    <t>ENSMUSG00000041886</t>
  </si>
  <si>
    <t>metastasis associated in colon cancer 1</t>
  </si>
  <si>
    <t>ENSMUSG00000039813</t>
  </si>
  <si>
    <t>TBC1 domain family, member 2</t>
  </si>
  <si>
    <t>ENSMUSG00000057098</t>
  </si>
  <si>
    <t>early B cell factor 1</t>
  </si>
  <si>
    <t>ENSMUSG00000063239</t>
  </si>
  <si>
    <t>glutamate receptor, metabotropic 4</t>
  </si>
  <si>
    <t>ENSMUSG00000030351</t>
  </si>
  <si>
    <t>tetraspanin 11</t>
  </si>
  <si>
    <t>ENSMUSG00000025983</t>
  </si>
  <si>
    <t>coiled-coil domain containing 150</t>
  </si>
  <si>
    <t>ENSMUSG00000043036</t>
  </si>
  <si>
    <t>coiled-coil domain containing 63</t>
  </si>
  <si>
    <t>ENSMUSG00000033581</t>
  </si>
  <si>
    <t>insulin-like growth factor 2 mRNA binding protein 2</t>
  </si>
  <si>
    <t>ENSMUSG00000040146</t>
  </si>
  <si>
    <t>ral guanine nucleotide dissociation stimulator-like 3</t>
  </si>
  <si>
    <t>ENSMUSG00000066438</t>
  </si>
  <si>
    <t>pleckstrin homology domain containing, family D (with coiled-coil domains) member 1</t>
  </si>
  <si>
    <t>ENSMUSG00000053469</t>
  </si>
  <si>
    <t>thyroglobulin</t>
  </si>
  <si>
    <t>ENSMUSG00000033498</t>
  </si>
  <si>
    <t>stereocilin</t>
  </si>
  <si>
    <t>ENSMUSG00000025207</t>
  </si>
  <si>
    <t>sema domain, immunoglobulin domain (Ig), transmembrane domain (TM) and short cytoplasmic domain, (semaphorin) 4G</t>
  </si>
  <si>
    <t>ENSMUSG00000020640</t>
  </si>
  <si>
    <t>intersectin 2</t>
  </si>
  <si>
    <t>ENSMUSG00000044976</t>
  </si>
  <si>
    <t>WD repeat domain 72</t>
  </si>
  <si>
    <t>ENSMUSG00000037977</t>
  </si>
  <si>
    <t>RIKEN cDNA 6430571L13 gene</t>
  </si>
  <si>
    <t>ENSMUSG00000058672</t>
  </si>
  <si>
    <t>tubulin, beta 2A class IIA</t>
  </si>
  <si>
    <t>ENSMUSG00000052415</t>
  </si>
  <si>
    <t>trichohyalin</t>
  </si>
  <si>
    <t>ENSMUSG00000038766</t>
  </si>
  <si>
    <t>GA repeat binding protein, beta 2</t>
  </si>
  <si>
    <t>ENSMUSG00000024857</t>
  </si>
  <si>
    <t>calcium binding protein 2</t>
  </si>
  <si>
    <t>ENSMUSG00000039519</t>
  </si>
  <si>
    <t>cytochrome P450, family 7, subfamily b, polypeptide 1</t>
  </si>
  <si>
    <t>ENSMUSG00000019737</t>
  </si>
  <si>
    <t>spectrin repeat containing, nuclear envelope family member 4</t>
  </si>
  <si>
    <t>ENSMUSG00000040663</t>
  </si>
  <si>
    <t>cardiotrophin-like cytokine factor 1</t>
  </si>
  <si>
    <t>ENSMUSG00000032313</t>
  </si>
  <si>
    <t>transmembrane protein 266</t>
  </si>
  <si>
    <t>ENSMUSG00000036478</t>
  </si>
  <si>
    <t>B cell translocation gene 1, anti-proliferative</t>
  </si>
  <si>
    <t>ENSMUSG00000040093</t>
  </si>
  <si>
    <t>BCL2 modifying factor</t>
  </si>
  <si>
    <t>ENSMUSG00000058571</t>
  </si>
  <si>
    <t>glypican 6</t>
  </si>
  <si>
    <t>ENSMUSG00000067860</t>
  </si>
  <si>
    <t>zinc finger protein of the cerebellum 3</t>
  </si>
  <si>
    <t>ENSMUSG00000033453</t>
  </si>
  <si>
    <t>a disintegrin-like and metallopeptidase (reprolysin type) with thrombospondin type 1 motif, 15</t>
  </si>
  <si>
    <t>ENSMUSG00000022112</t>
  </si>
  <si>
    <t>glypican 5</t>
  </si>
  <si>
    <t>ENSMUSG00000048450</t>
  </si>
  <si>
    <t>msh homeobox 1</t>
  </si>
  <si>
    <t>ENSMUSG00000039004</t>
  </si>
  <si>
    <t>bone morphogenetic protein 6</t>
  </si>
  <si>
    <t>ENSMUSG00000014158</t>
  </si>
  <si>
    <t>transient receptor potential cation channel, subfamily V, member 4</t>
  </si>
  <si>
    <t>ENSMUSG00000021541</t>
  </si>
  <si>
    <t>transient receptor potential cation channel, subfamily C, member 7</t>
  </si>
  <si>
    <t>ENSMUSG00000032194</t>
  </si>
  <si>
    <t>KN motif and ankyrin repeat domains 2</t>
  </si>
  <si>
    <t>ENSMUSG00000021662</t>
  </si>
  <si>
    <t>Rho guanine nucleotide exchange factor (GEF) 28</t>
  </si>
  <si>
    <t>ENSMUSG00000021943</t>
  </si>
  <si>
    <t>growth differentiation factor 10</t>
  </si>
  <si>
    <t>ENSMUSG00000097589</t>
  </si>
  <si>
    <t>deleted in lymphocytic leukemia, 2</t>
  </si>
  <si>
    <t>ENSMUSG00000003051</t>
  </si>
  <si>
    <t>E74-like factor 3</t>
  </si>
  <si>
    <t>ENSMUSG00000049583</t>
  </si>
  <si>
    <t>glutamate receptor, metabotropic 5</t>
  </si>
  <si>
    <t>ENSMUSG00000020024</t>
  </si>
  <si>
    <t>centrosomal protein 83</t>
  </si>
  <si>
    <t>ENSMUSG00000036446</t>
  </si>
  <si>
    <t>lumican</t>
  </si>
  <si>
    <t>ENSMUSG00000045613</t>
  </si>
  <si>
    <t>cholinergic receptor, muscarinic 2, cardiac</t>
  </si>
  <si>
    <t>ENSMUSG00000026603</t>
  </si>
  <si>
    <t>SET and MYND domain containing 2</t>
  </si>
  <si>
    <t>ENSMUSG00000024172</t>
  </si>
  <si>
    <t>beta galactoside alpha 2,6 sialyltransferase 2</t>
  </si>
  <si>
    <t>ENSMUSG00000054889</t>
  </si>
  <si>
    <t>desmoplakin</t>
  </si>
  <si>
    <t>ENSMUSG00000020846</t>
  </si>
  <si>
    <t>refilin B</t>
  </si>
  <si>
    <t>ENSMUSG00000060794</t>
  </si>
  <si>
    <t>testis-specific serine kinase 5</t>
  </si>
  <si>
    <t>ENSMUSG00000038677</t>
  </si>
  <si>
    <t>signal peptide, CUB domain, EGF-like 3</t>
  </si>
  <si>
    <t>ENSMUSG00000038859</t>
  </si>
  <si>
    <t>BAI1-associated protein 2-like 1</t>
  </si>
  <si>
    <t>ENSMUSG00000051537</t>
  </si>
  <si>
    <t>nucleolar and coiled-body phosphoprotein 1 pseudogene</t>
  </si>
  <si>
    <t>ENSMUSG00000058620</t>
  </si>
  <si>
    <t>adrenergic receptor, alpha 2b</t>
  </si>
  <si>
    <t>ENSMUSG00000054263</t>
  </si>
  <si>
    <t>leukemia inhibitory factor receptor</t>
  </si>
  <si>
    <t>ENSMUSG00000074024</t>
  </si>
  <si>
    <t>RIKEN cDNA 4632427E13 gene</t>
  </si>
  <si>
    <t>ENSMUSG00000042607</t>
  </si>
  <si>
    <t>ankyrin repeat and SOCS box-containing 4</t>
  </si>
  <si>
    <t>ENSMUSG00000036972</t>
  </si>
  <si>
    <t>zinc finger protein of the cerebellum 4</t>
  </si>
  <si>
    <t>ENSMUSG00000034765</t>
  </si>
  <si>
    <t>dual specificity phosphatase 5</t>
  </si>
  <si>
    <t>ENSMUSG00000027208</t>
  </si>
  <si>
    <t>fibroblast growth factor 7</t>
  </si>
  <si>
    <t>ENSMUSG00000051043</t>
  </si>
  <si>
    <t>G protein-coupled receptor, family C, group 5, member C</t>
  </si>
  <si>
    <t>ENSMUSG00000072845</t>
  </si>
  <si>
    <t>transmembrane protease, serine 11a</t>
  </si>
  <si>
    <t>ENSMUSG00000031841</t>
  </si>
  <si>
    <t>cadherin 13</t>
  </si>
  <si>
    <t>ENSMUSG00000032988</t>
  </si>
  <si>
    <t>solute carrier family 16 (monocarboxylic acid transporters), member 8</t>
  </si>
  <si>
    <t>ENSMUSG00000044912</t>
  </si>
  <si>
    <t>synaptotagmin XVI</t>
  </si>
  <si>
    <t>ENSMUSG00000052539</t>
  </si>
  <si>
    <t>membrane associated guanylate kinase, WW and PDZ domain containing 3</t>
  </si>
  <si>
    <t>ENSMUSG00000027381</t>
  </si>
  <si>
    <t>BCL2-like 11 (apoptosis facilitator)</t>
  </si>
  <si>
    <t>ENSMUSG00000031788</t>
  </si>
  <si>
    <t>kinesin family member C3</t>
  </si>
  <si>
    <t>ENSMUSG00000052581</t>
  </si>
  <si>
    <t>leucine rich repeat transmembrane neuronal 4</t>
  </si>
  <si>
    <t>ENSMUSG00000025272</t>
  </si>
  <si>
    <t>trophinin</t>
  </si>
  <si>
    <t>ENSMUSG00000068923</t>
  </si>
  <si>
    <t>synaptotagmin XI</t>
  </si>
  <si>
    <t>ENSMUSG00000101268</t>
  </si>
  <si>
    <t>RIKEN cDNA 2010310C07 gene</t>
  </si>
  <si>
    <t>ENSMUSG00000022332</t>
  </si>
  <si>
    <t>KH domain containing, RNA binding, signal transduction associated 3</t>
  </si>
  <si>
    <t>ENSMUSG00000034452</t>
  </si>
  <si>
    <t>solute carrier family 24 (sodium/potassium/calcium exchanger), member 1</t>
  </si>
  <si>
    <t>ENSMUSG00000071226</t>
  </si>
  <si>
    <t>cat eye syndrome chromosome region, candidate 2</t>
  </si>
  <si>
    <t>ENSMUSG00000049630</t>
  </si>
  <si>
    <t>C1q-like 3</t>
  </si>
  <si>
    <t>ENSMUSG00000029657</t>
  </si>
  <si>
    <t>heat shock 105kDa/110kDa protein 1</t>
  </si>
  <si>
    <t>ENSMUSG00000015709</t>
  </si>
  <si>
    <t>aryl hydrocarbon receptor nuclear translocator 2</t>
  </si>
  <si>
    <t>ENSMUSG00000041930</t>
  </si>
  <si>
    <t>family with sequence similarity 222, member A</t>
  </si>
  <si>
    <t>ENSMUSG00000063430</t>
  </si>
  <si>
    <t>WSC domain containing 2</t>
  </si>
  <si>
    <t>ENSMUSG00000029371</t>
  </si>
  <si>
    <t>chemokine (C-X-C motif) ligand 5</t>
  </si>
  <si>
    <t>ENSMUSG00000057457</t>
  </si>
  <si>
    <t>phosphate regulating endopeptidase homolog, X-linked</t>
  </si>
  <si>
    <t>ENSMUSG00000036523</t>
  </si>
  <si>
    <t>gene regulated by estrogen in breast cancer protein</t>
  </si>
  <si>
    <t>ENSMUSG00000016024</t>
  </si>
  <si>
    <t>lipopolysaccharide binding protein</t>
  </si>
  <si>
    <t>ENSMUSG00000039131</t>
  </si>
  <si>
    <t>GIPC PDZ domain containing family, member 2</t>
  </si>
  <si>
    <t>ENSMUSG00000074715</t>
  </si>
  <si>
    <t>chemokine (C-C motif) ligand 28</t>
  </si>
  <si>
    <t>ENSMUSG00000023120</t>
  </si>
  <si>
    <t>predicted gene 853</t>
  </si>
  <si>
    <t>ENSMUSG00000052131</t>
  </si>
  <si>
    <t>aldo-keto reductase family 1, member B7</t>
  </si>
  <si>
    <t>ENSMUSG00000031937</t>
  </si>
  <si>
    <t>V-set and transmembrane domain containing 5</t>
  </si>
  <si>
    <t>ENSMUSG00000036339</t>
  </si>
  <si>
    <t>transmembrane protein 260</t>
  </si>
  <si>
    <t>ENSMUSG00000037161</t>
  </si>
  <si>
    <t>mitochondria localized glutamic acid rich protein</t>
  </si>
  <si>
    <t>ENSMUSG00000044548</t>
  </si>
  <si>
    <t>dishevelled-binding antagonist of beta-catenin 1</t>
  </si>
  <si>
    <t>ENSMUSG00000048232</t>
  </si>
  <si>
    <t>F-box protein 10</t>
  </si>
  <si>
    <t>ENSMUSG00000027360</t>
  </si>
  <si>
    <t>histidine decarboxylase</t>
  </si>
  <si>
    <t>ENSMUSG00000032561</t>
  </si>
  <si>
    <t>acid phosphatase, prostate</t>
  </si>
  <si>
    <t>ENSMUSG00000084128</t>
  </si>
  <si>
    <t>epithelial splicing regulatory protein 2</t>
  </si>
  <si>
    <t>ENSMUSG00000043925</t>
  </si>
  <si>
    <t>olfactory receptor 544</t>
  </si>
  <si>
    <t>ENSMUSG00000021118</t>
  </si>
  <si>
    <t>pleckstrin 2</t>
  </si>
  <si>
    <t>ENSMUSG00000043088</t>
  </si>
  <si>
    <t>interleukin 17 receptor E</t>
  </si>
  <si>
    <t>ENSMUSG00000049811</t>
  </si>
  <si>
    <t>family with sequence similarity 161, member A</t>
  </si>
  <si>
    <t>ENSMUSG00000074671</t>
  </si>
  <si>
    <t>TSPY-like 3</t>
  </si>
  <si>
    <t>ENSMUSG00000038267</t>
  </si>
  <si>
    <t>solute carrier family 22, member 23</t>
  </si>
  <si>
    <t>ENSMUSG00000022762</t>
  </si>
  <si>
    <t>neural cell adhesion molecule 2</t>
  </si>
  <si>
    <t>ENSMUSG00000073643</t>
  </si>
  <si>
    <t>WD repeat and FYVE domain containing 1</t>
  </si>
  <si>
    <t>ENSMUSG00000031488</t>
  </si>
  <si>
    <t>RAB11 family interacting protein 1 (class I)</t>
  </si>
  <si>
    <t>ENSMUSG00000090210</t>
  </si>
  <si>
    <t>integrin, alpha 10</t>
  </si>
  <si>
    <t>ENSMUSG00000032092</t>
  </si>
  <si>
    <t>myelin protein zero-like 2</t>
  </si>
  <si>
    <t>ENSMUSG00000033256</t>
  </si>
  <si>
    <t>Src homology 2 domain containing F</t>
  </si>
  <si>
    <t>ENSMUSG00000042828</t>
  </si>
  <si>
    <t>tripartite motif-containing 72</t>
  </si>
  <si>
    <t>ENSMUSG00000036168</t>
  </si>
  <si>
    <t>coiled-coil domain containing 38</t>
  </si>
  <si>
    <t>ENSMUSG00000059854</t>
  </si>
  <si>
    <t>HYDIN, axonemal central pair apparatus protein</t>
  </si>
  <si>
    <t>ENSMUSG00000075570</t>
  </si>
  <si>
    <t>keratin 26</t>
  </si>
  <si>
    <t>ENSMUSG00000052221</t>
  </si>
  <si>
    <t>protein phosphatase 1, regulatory subunit 36</t>
  </si>
  <si>
    <t>ENSMUSG00000032036</t>
  </si>
  <si>
    <t>kin of IRRE like 3 (Drosophila)</t>
  </si>
  <si>
    <t>ENSMUSG00000028926</t>
  </si>
  <si>
    <t>cyclin-dependent kinase 14</t>
  </si>
  <si>
    <t>ENSMUSG00000038119</t>
  </si>
  <si>
    <t>cell adhesion molecule-related/down-regulated by oncogenes</t>
  </si>
  <si>
    <t>ENSMUSG00000071540</t>
  </si>
  <si>
    <t>RIKEN cDNA 3425401B19 gene</t>
  </si>
  <si>
    <t>ENSMUSG00000043587</t>
  </si>
  <si>
    <t>2-phosphoxylose phosphatase 1</t>
  </si>
  <si>
    <t>ENSMUSG00000033268</t>
  </si>
  <si>
    <t>dual oxidase 1</t>
  </si>
  <si>
    <t>ENSMUSG00000053965</t>
  </si>
  <si>
    <t>phosphodiesterase 5A, cGMP-specific</t>
  </si>
  <si>
    <t>ENSMUSG00000055235</t>
  </si>
  <si>
    <t>WD repeat domain 86</t>
  </si>
  <si>
    <t>ENSMUSG00000032179</t>
  </si>
  <si>
    <t>bone morphogenetic protein 5</t>
  </si>
  <si>
    <t>ENSMUSG00000024981</t>
  </si>
  <si>
    <t>acyl-CoA synthetase long-chain family member 5</t>
  </si>
  <si>
    <t>ENSMUSG00000053675</t>
  </si>
  <si>
    <t>transglutaminase 5</t>
  </si>
  <si>
    <t>ENSMUSG00000073433</t>
  </si>
  <si>
    <t>Rho GDP dissociation inhibitor (GDI) gamma</t>
  </si>
  <si>
    <t>ENSMUSG00000010825</t>
  </si>
  <si>
    <t>glutamate receptor, ionotropic, delta 2 (Grid2) interacting protein 1</t>
  </si>
  <si>
    <t>ENSMUSG00000032717</t>
  </si>
  <si>
    <t>MyoD family inhibitor</t>
  </si>
  <si>
    <t>ENSMUSG00000041992</t>
  </si>
  <si>
    <t>Rap guanine nucleotide exchange factor (GEF) 5</t>
  </si>
  <si>
    <t>ENSMUSG00000025557</t>
  </si>
  <si>
    <t>solute carrier family 15 (oligopeptide transporter), member 1</t>
  </si>
  <si>
    <t>ENSMUSG00000085720</t>
  </si>
  <si>
    <t>predicted gene 7854</t>
  </si>
  <si>
    <t>ENSMUSG00000003476</t>
  </si>
  <si>
    <t>corticotropin releasing hormone receptor 2</t>
  </si>
  <si>
    <t>ENSMUSG00000041245</t>
  </si>
  <si>
    <t>WNK lysine deficient protein kinase 3</t>
  </si>
  <si>
    <t>ENSMUSG00000027861</t>
  </si>
  <si>
    <t>calsequestrin 2</t>
  </si>
  <si>
    <t>ENSMUSG00000004633</t>
  </si>
  <si>
    <t>chimerin 2</t>
  </si>
  <si>
    <t>ENSMUSG00000035258</t>
  </si>
  <si>
    <t>ABI gene family, member 3 (NESH) binding protein</t>
  </si>
  <si>
    <t>ENSMUSG00000021221</t>
  </si>
  <si>
    <t>D4, zinc and double PHD fingers, family 3</t>
  </si>
  <si>
    <t>ENSMUSG00000026639</t>
  </si>
  <si>
    <t>laminin, beta 3</t>
  </si>
  <si>
    <t>ENSMUSG00000022245</t>
  </si>
  <si>
    <t>SKI family transcriptional corepressor 1</t>
  </si>
  <si>
    <t>ENSMUSG00000028463</t>
  </si>
  <si>
    <t>carbonic anhydrase 9</t>
  </si>
  <si>
    <t>ENSMUSG00000087211</t>
  </si>
  <si>
    <t>LIM homeobox 1, opposite strand</t>
  </si>
  <si>
    <t>ENSMUSG00000037490</t>
  </si>
  <si>
    <t>solute carrier family 2 (facilitated glucose transporter), member 12</t>
  </si>
  <si>
    <t>ENSMUSG00000035279</t>
  </si>
  <si>
    <t>scavenger receptor cysteine rich family, 5 domains</t>
  </si>
  <si>
    <t>ENSMUSG00000021187</t>
  </si>
  <si>
    <t>tandem C2 domains, nuclear</t>
  </si>
  <si>
    <t>ENSMUSG00000037762</t>
  </si>
  <si>
    <t>solute carrier family 16 (monocarboxylic acid transporters), member 9</t>
  </si>
  <si>
    <t>ENSMUSG00000051228</t>
  </si>
  <si>
    <t>nyctalopin</t>
  </si>
  <si>
    <t>ENSMUSG00000032735</t>
  </si>
  <si>
    <t>actin binding LIM protein family, member 3</t>
  </si>
  <si>
    <t>ENSMUSG00000108709</t>
  </si>
  <si>
    <t>RIKEN cDNA 4933431G14 gene</t>
  </si>
  <si>
    <t>ENSMUSG00000046192</t>
  </si>
  <si>
    <t>IQ motif and ubiquitin domain containing</t>
  </si>
  <si>
    <t>ENSMUSG00000020913</t>
  </si>
  <si>
    <t>keratin 24</t>
  </si>
  <si>
    <t>ENSMUSG00000036395</t>
  </si>
  <si>
    <t>galactosidase, beta 1-like 2</t>
  </si>
  <si>
    <t>ENSMUSG00000047037</t>
  </si>
  <si>
    <t>non imprinted in Prader-Willi/Angelman syndrome 1 homolog (human)</t>
  </si>
  <si>
    <t>ENSMUSG00000037395</t>
  </si>
  <si>
    <t>REST corepressor 3</t>
  </si>
  <si>
    <t>ENSMUSG00000026012</t>
  </si>
  <si>
    <t>CD28 antigen</t>
  </si>
  <si>
    <t>ENSMUSG00000023915</t>
  </si>
  <si>
    <t>tumor necrosis factor receptor superfamily, member 21</t>
  </si>
  <si>
    <t>ENSMUSG00000021130</t>
  </si>
  <si>
    <t>UDP-N-acetyl-alpha-D-galactosamine:polypeptide N-acetylgalactosaminyltransferase 16</t>
  </si>
  <si>
    <t>ENSMUSG00000014791</t>
  </si>
  <si>
    <t>engulfment and cell motility 3</t>
  </si>
  <si>
    <t>ENSMUSG00000048834</t>
  </si>
  <si>
    <t>V-set and transmembrane domain containing 2A</t>
  </si>
  <si>
    <t>ENSMUSG00000070780</t>
  </si>
  <si>
    <t>RNA binding motif protein 47</t>
  </si>
  <si>
    <t>ENSMUSG00000022371</t>
  </si>
  <si>
    <t>collagen, type XIV, alpha 1</t>
  </si>
  <si>
    <t>ENSMUSG00000101609</t>
  </si>
  <si>
    <t>KCNQ1 overlapping transcript 1</t>
  </si>
  <si>
    <t>ENSMUSG00000021277</t>
  </si>
  <si>
    <t>TNF receptor-associated factor 3</t>
  </si>
  <si>
    <t>ENSMUSG00000048004</t>
  </si>
  <si>
    <t>transmembrane protein 196</t>
  </si>
  <si>
    <t>ENSMUSG00000026098</t>
  </si>
  <si>
    <t>postmeiotic segregation increased 1 (S. cerevisiae)</t>
  </si>
  <si>
    <t>ENSMUSG00000041078</t>
  </si>
  <si>
    <t>glutamate receptor, ionotropic, delta 1</t>
  </si>
  <si>
    <t>ENSMUSG00000056569</t>
  </si>
  <si>
    <t>myelin protein zero</t>
  </si>
  <si>
    <t>ENSMUSG00000024735</t>
  </si>
  <si>
    <t>pre-mRNA processing factor 19</t>
  </si>
  <si>
    <t>ENSMUSG00000032514</t>
  </si>
  <si>
    <t>tetratricopeptide repeat domain 21A</t>
  </si>
  <si>
    <t>ENSMUSG00000034402</t>
  </si>
  <si>
    <t>potassium voltage-gated channel, subfamily H (eag-related), member 5</t>
  </si>
  <si>
    <t>ENSMUSG00000030795</t>
  </si>
  <si>
    <t>fused in sarcoma</t>
  </si>
  <si>
    <t>ENSMUSG00000041762</t>
  </si>
  <si>
    <t>G protein-coupled receptor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</si>
</sst>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6" fillId="0" borderId="0" xfId="0" applyFont="1"/>
    <xf numFmtId="0" fontId="18" fillId="0" borderId="0" xfId="42"/>
    <xf numFmtId="0" fontId="0" fillId="33" borderId="0" xfId="0" applyFill="1"/>
    <xf numFmtId="0" fontId="0" fillId="34" borderId="0" xfId="0" applyFill="1"/>
    <xf numFmtId="0" fontId="19" fillId="34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5"/>
  <sheetViews>
    <sheetView tabSelected="1" topLeftCell="D1" workbookViewId="0">
      <pane ySplit="1" topLeftCell="A2" activePane="bottomLeft" state="frozen"/>
      <selection pane="bottomLeft" activeCell="D3" sqref="D3"/>
    </sheetView>
  </sheetViews>
  <sheetFormatPr baseColWidth="10" defaultRowHeight="16" x14ac:dyDescent="0.2"/>
  <cols>
    <col min="1" max="1" width="21" bestFit="1" customWidth="1"/>
    <col min="2" max="2" width="14" bestFit="1" customWidth="1"/>
    <col min="3" max="3" width="10.1640625" bestFit="1" customWidth="1"/>
    <col min="4" max="4" width="104.83203125" bestFit="1" customWidth="1"/>
    <col min="5" max="5" width="25.1640625" bestFit="1" customWidth="1"/>
    <col min="6" max="6" width="6.5" bestFit="1" customWidth="1"/>
    <col min="7" max="7" width="15.5" bestFit="1" customWidth="1"/>
    <col min="8" max="8" width="16.5" bestFit="1" customWidth="1"/>
    <col min="9" max="9" width="12.83203125" bestFit="1" customWidth="1"/>
    <col min="10" max="10" width="12.1640625" bestFit="1" customWidth="1"/>
    <col min="11" max="11" width="14.33203125" bestFit="1" customWidth="1"/>
    <col min="12" max="12" width="9.83203125" bestFit="1" customWidth="1"/>
    <col min="13" max="13" width="6.33203125" bestFit="1" customWidth="1"/>
    <col min="14" max="16" width="12.1640625" bestFit="1" customWidth="1"/>
    <col min="17" max="19" width="13.5" bestFit="1" customWidth="1"/>
    <col min="20" max="23" width="15.6640625" bestFit="1" customWidth="1"/>
  </cols>
  <sheetData>
    <row r="1" spans="1:23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">
      <c r="A2" t="s">
        <v>23</v>
      </c>
      <c r="B2" s="3" t="str">
        <f>HYPERLINK("http://www.ncbi.nlm.nih.gov/gene/229672","Bcl2l15")</f>
        <v>Bcl2l15</v>
      </c>
      <c r="C2">
        <v>229672</v>
      </c>
      <c r="D2" t="s">
        <v>24</v>
      </c>
      <c r="E2" s="3" t="str">
        <f>HYPERLINK("http://genome.ucsc.edu/cgi-bin/hgTracks?db=mm10&amp;lastVirtModeType=default&amp;lastVirtModeExtraState=&amp;virtModeType=default&amp;virtMode=0&amp;nonVirtPosition=&amp;position=chr3:103832695-103838648","chr3:103832695-103838648")</f>
        <v>chr3:103832695-103838648</v>
      </c>
      <c r="F2" t="s">
        <v>25</v>
      </c>
      <c r="G2">
        <v>-5.7959916394520796</v>
      </c>
      <c r="H2">
        <v>0.41361761880862802</v>
      </c>
      <c r="I2">
        <v>-14.012922505928699</v>
      </c>
      <c r="J2" s="1">
        <v>1.29945487614281E-44</v>
      </c>
      <c r="K2" s="1">
        <v>2.10160837118577E-40</v>
      </c>
      <c r="L2" t="s">
        <v>26</v>
      </c>
      <c r="M2" t="s">
        <v>27</v>
      </c>
      <c r="N2">
        <v>205.34962998728199</v>
      </c>
      <c r="O2">
        <v>472.91286260419201</v>
      </c>
      <c r="P2">
        <v>4.6772055246000104</v>
      </c>
      <c r="Q2">
        <v>330.77874155103598</v>
      </c>
      <c r="R2">
        <v>354.22905905887802</v>
      </c>
      <c r="S2">
        <v>733.73078720266301</v>
      </c>
      <c r="T2">
        <v>5.1644719631050799</v>
      </c>
      <c r="U2">
        <v>3.3444170601358598</v>
      </c>
      <c r="V2">
        <v>6.4346172008521103</v>
      </c>
      <c r="W2">
        <v>3.7653158743069701</v>
      </c>
    </row>
    <row r="3" spans="1:23" x14ac:dyDescent="0.2">
      <c r="A3" t="s">
        <v>28</v>
      </c>
      <c r="B3" s="3" t="str">
        <f>HYPERLINK("http://www.ncbi.nlm.nih.gov/gene/15207","Hes3")</f>
        <v>Hes3</v>
      </c>
      <c r="C3">
        <v>15207</v>
      </c>
      <c r="D3" t="s">
        <v>29</v>
      </c>
      <c r="E3" s="3" t="str">
        <f>HYPERLINK("http://genome.ucsc.edu/cgi-bin/hgTracks?db=mm10&amp;lastVirtModeType=default&amp;lastVirtModeExtraState=&amp;virtModeType=default&amp;virtMode=0&amp;nonVirtPosition=&amp;position=chr4:152285971-152291662","chr4:152285971-152291662")</f>
        <v>chr4:152285971-152291662</v>
      </c>
      <c r="F3" t="s">
        <v>30</v>
      </c>
      <c r="G3">
        <v>-5.2103368476127301</v>
      </c>
      <c r="H3">
        <v>0.42830127559635101</v>
      </c>
      <c r="I3">
        <v>-12.1651210129086</v>
      </c>
      <c r="J3" s="1">
        <v>4.7673832430432998E-34</v>
      </c>
      <c r="K3" s="1">
        <v>3.8551444594869702E-30</v>
      </c>
      <c r="L3" t="s">
        <v>26</v>
      </c>
      <c r="M3" t="s">
        <v>27</v>
      </c>
      <c r="N3">
        <v>133.96099695531899</v>
      </c>
      <c r="O3">
        <v>306.50887687937802</v>
      </c>
      <c r="P3">
        <v>4.5500870122756298</v>
      </c>
      <c r="Q3">
        <v>234.74620368138</v>
      </c>
      <c r="R3">
        <v>238.38477320408401</v>
      </c>
      <c r="S3">
        <v>446.39565375266898</v>
      </c>
      <c r="T3">
        <v>2.58223598155254</v>
      </c>
      <c r="U3">
        <v>6.0199507082445498</v>
      </c>
      <c r="V3">
        <v>5.3621810007100903</v>
      </c>
      <c r="W3">
        <v>4.2359803585953397</v>
      </c>
    </row>
    <row r="4" spans="1:23" x14ac:dyDescent="0.2">
      <c r="A4" t="s">
        <v>31</v>
      </c>
      <c r="B4" s="3" t="str">
        <f>HYPERLINK("http://www.ncbi.nlm.nih.gov/gene/27206","Nrk")</f>
        <v>Nrk</v>
      </c>
      <c r="C4">
        <v>27206</v>
      </c>
      <c r="D4" t="s">
        <v>32</v>
      </c>
      <c r="E4" s="3" t="str">
        <f>HYPERLINK("http://genome.ucsc.edu/cgi-bin/hgTracks?db=mm10&amp;lastVirtModeType=default&amp;lastVirtModeExtraState=&amp;virtModeType=default&amp;virtMode=0&amp;nonVirtPosition=&amp;position=chrX:138914429-139009090","chrX:138914429-139009090")</f>
        <v>chrX:138914429-139009090</v>
      </c>
      <c r="F4" t="s">
        <v>25</v>
      </c>
      <c r="G4">
        <v>-5.3125945500858602</v>
      </c>
      <c r="H4">
        <v>0.47352364210470899</v>
      </c>
      <c r="I4">
        <v>-11.219280470289799</v>
      </c>
      <c r="J4" s="1">
        <v>3.27927647435467E-29</v>
      </c>
      <c r="K4" s="1">
        <v>1.7678579473246E-25</v>
      </c>
      <c r="L4" t="s">
        <v>26</v>
      </c>
      <c r="M4" t="s">
        <v>27</v>
      </c>
      <c r="N4">
        <v>183.729137212236</v>
      </c>
      <c r="O4">
        <v>422.48296738438802</v>
      </c>
      <c r="P4">
        <v>4.6637645831211696</v>
      </c>
      <c r="Q4">
        <v>138.71366581172501</v>
      </c>
      <c r="R4">
        <v>469.40372476422198</v>
      </c>
      <c r="S4">
        <v>659.33151157721795</v>
      </c>
      <c r="T4">
        <v>6.4555899538813497</v>
      </c>
      <c r="U4">
        <v>4.0133004721630297</v>
      </c>
      <c r="V4">
        <v>5.3621810007100903</v>
      </c>
      <c r="W4">
        <v>2.8239869057302198</v>
      </c>
    </row>
    <row r="5" spans="1:23" x14ac:dyDescent="0.2">
      <c r="A5" t="s">
        <v>33</v>
      </c>
      <c r="B5" s="3" t="str">
        <f>HYPERLINK("http://www.ncbi.nlm.nih.gov/gene/13411","Dnah11")</f>
        <v>Dnah11</v>
      </c>
      <c r="C5">
        <v>13411</v>
      </c>
      <c r="D5" t="s">
        <v>34</v>
      </c>
      <c r="E5" s="3" t="str">
        <f>HYPERLINK("http://genome.ucsc.edu/cgi-bin/hgTracks?db=mm10&amp;lastVirtModeType=default&amp;lastVirtModeExtraState=&amp;virtModeType=default&amp;virtMode=0&amp;nonVirtPosition=&amp;position=chr12:117877981-118199043","chr12:117877981-118199043")</f>
        <v>chr12:117877981-118199043</v>
      </c>
      <c r="F5" t="s">
        <v>30</v>
      </c>
      <c r="G5">
        <v>-3.6385195062271198</v>
      </c>
      <c r="H5">
        <v>0.348539654658232</v>
      </c>
      <c r="I5">
        <v>-10.439327226036699</v>
      </c>
      <c r="J5" s="1">
        <v>1.63968619968792E-25</v>
      </c>
      <c r="K5" s="1">
        <v>6.6296612268881701E-22</v>
      </c>
      <c r="L5" t="s">
        <v>26</v>
      </c>
      <c r="M5" t="s">
        <v>27</v>
      </c>
      <c r="N5">
        <v>419.017074466108</v>
      </c>
      <c r="O5">
        <v>901.05580365888795</v>
      </c>
      <c r="P5">
        <v>57.488027571522998</v>
      </c>
      <c r="Q5">
        <v>789.60086692827804</v>
      </c>
      <c r="R5">
        <v>753.32266813088495</v>
      </c>
      <c r="S5">
        <v>1160.2438759175</v>
      </c>
      <c r="T5">
        <v>36.151303741735497</v>
      </c>
      <c r="U5">
        <v>75.583825559070405</v>
      </c>
      <c r="V5">
        <v>81.505151210793301</v>
      </c>
      <c r="W5">
        <v>36.711829774492898</v>
      </c>
    </row>
    <row r="6" spans="1:23" x14ac:dyDescent="0.2">
      <c r="A6" t="s">
        <v>35</v>
      </c>
      <c r="B6" s="3" t="str">
        <f>HYPERLINK("http://www.ncbi.nlm.nih.gov/gene/104382","Barhl2")</f>
        <v>Barhl2</v>
      </c>
      <c r="C6">
        <v>104382</v>
      </c>
      <c r="D6" t="s">
        <v>36</v>
      </c>
      <c r="E6" s="3" t="str">
        <f>HYPERLINK("http://genome.ucsc.edu/cgi-bin/hgTracks?db=mm10&amp;lastVirtModeType=default&amp;lastVirtModeExtraState=&amp;virtModeType=default&amp;virtMode=0&amp;nonVirtPosition=&amp;position=chr5:106452522-106458166","chr5:106452522-106458166")</f>
        <v>chr5:106452522-106458166</v>
      </c>
      <c r="F6" t="s">
        <v>30</v>
      </c>
      <c r="G6">
        <v>-5.4467757994745503</v>
      </c>
      <c r="H6">
        <v>0.525182033369607</v>
      </c>
      <c r="I6">
        <v>-10.371215032866999</v>
      </c>
      <c r="J6" s="1">
        <v>3.3523479655848999E-25</v>
      </c>
      <c r="K6" s="1">
        <v>1.08435047294809E-21</v>
      </c>
      <c r="L6" t="s">
        <v>26</v>
      </c>
      <c r="M6" t="s">
        <v>27</v>
      </c>
      <c r="N6">
        <v>163.57901898186401</v>
      </c>
      <c r="O6">
        <v>378.61306599367202</v>
      </c>
      <c r="P6">
        <v>2.3034837230078899</v>
      </c>
      <c r="Q6">
        <v>266.75704963793203</v>
      </c>
      <c r="R6">
        <v>350.21133816218003</v>
      </c>
      <c r="S6">
        <v>518.87081018090396</v>
      </c>
      <c r="T6">
        <v>0.64555899538813499</v>
      </c>
      <c r="U6">
        <v>5.3510672962173702</v>
      </c>
      <c r="V6">
        <v>3.2173086004260498</v>
      </c>
      <c r="W6">
        <v>0</v>
      </c>
    </row>
    <row r="7" spans="1:23" x14ac:dyDescent="0.2">
      <c r="A7" t="s">
        <v>37</v>
      </c>
      <c r="B7" s="3" t="str">
        <f>HYPERLINK("http://www.ncbi.nlm.nih.gov/gene/278304","Zfp385c")</f>
        <v>Zfp385c</v>
      </c>
      <c r="C7">
        <v>278304</v>
      </c>
      <c r="D7" t="s">
        <v>38</v>
      </c>
      <c r="E7" s="3" t="str">
        <f>HYPERLINK("http://genome.ucsc.edu/cgi-bin/hgTracks?db=mm10&amp;lastVirtModeType=default&amp;lastVirtModeExtraState=&amp;virtModeType=default&amp;virtMode=0&amp;nonVirtPosition=&amp;position=chr11:100626218-100650693","chr11:100626218-100650693")</f>
        <v>chr11:100626218-100650693</v>
      </c>
      <c r="F7" t="s">
        <v>30</v>
      </c>
      <c r="G7">
        <v>-4.7272524708562003</v>
      </c>
      <c r="H7">
        <v>0.47317546183422998</v>
      </c>
      <c r="I7">
        <v>-9.9904852473358492</v>
      </c>
      <c r="J7" s="1">
        <v>1.6775848854803101E-23</v>
      </c>
      <c r="K7" s="1">
        <v>4.52193005881218E-20</v>
      </c>
      <c r="L7" t="s">
        <v>26</v>
      </c>
      <c r="M7" t="s">
        <v>27</v>
      </c>
      <c r="N7">
        <v>121.956366877197</v>
      </c>
      <c r="O7">
        <v>277.50384916079702</v>
      </c>
      <c r="P7">
        <v>5.29575516449703</v>
      </c>
      <c r="Q7">
        <v>138.71366581172501</v>
      </c>
      <c r="R7">
        <v>360.92526055337498</v>
      </c>
      <c r="S7">
        <v>332.872621117292</v>
      </c>
      <c r="T7">
        <v>5.1644719631050799</v>
      </c>
      <c r="U7">
        <v>4.0133004721630297</v>
      </c>
      <c r="V7">
        <v>9.6519258012781606</v>
      </c>
      <c r="W7">
        <v>2.3533224214418502</v>
      </c>
    </row>
    <row r="8" spans="1:23" x14ac:dyDescent="0.2">
      <c r="A8" t="s">
        <v>39</v>
      </c>
      <c r="B8" s="3" t="str">
        <f>HYPERLINK("http://www.ncbi.nlm.nih.gov/gene/19051","Ppp1r17")</f>
        <v>Ppp1r17</v>
      </c>
      <c r="C8">
        <v>19051</v>
      </c>
      <c r="D8" t="s">
        <v>40</v>
      </c>
      <c r="E8" s="3" t="str">
        <f>HYPERLINK("http://genome.ucsc.edu/cgi-bin/hgTracks?db=mm10&amp;lastVirtModeType=default&amp;lastVirtModeExtraState=&amp;virtModeType=default&amp;virtMode=0&amp;nonVirtPosition=&amp;position=chr6:56017514-56032688","chr6:56017514-56032688")</f>
        <v>chr6:56017514-56032688</v>
      </c>
      <c r="F8" t="s">
        <v>25</v>
      </c>
      <c r="G8">
        <v>-5.0211004384782498</v>
      </c>
      <c r="H8">
        <v>0.52383152539379596</v>
      </c>
      <c r="I8">
        <v>-9.5853345876874805</v>
      </c>
      <c r="J8" s="1">
        <v>9.2158449832709395E-22</v>
      </c>
      <c r="K8" s="1">
        <v>2.12925515592058E-18</v>
      </c>
      <c r="L8" t="s">
        <v>26</v>
      </c>
      <c r="M8" t="s">
        <v>27</v>
      </c>
      <c r="N8">
        <v>587.06595640350804</v>
      </c>
      <c r="O8">
        <v>1351.8310390084901</v>
      </c>
      <c r="P8">
        <v>13.4921444497705</v>
      </c>
      <c r="Q8">
        <v>170.72451176827599</v>
      </c>
      <c r="R8">
        <v>1550.1706459760001</v>
      </c>
      <c r="S8">
        <v>2334.5979592812</v>
      </c>
      <c r="T8">
        <v>5.1644719631050799</v>
      </c>
      <c r="U8">
        <v>18.728735536760801</v>
      </c>
      <c r="V8">
        <v>15.0141068019882</v>
      </c>
      <c r="W8">
        <v>15.0612634972279</v>
      </c>
    </row>
    <row r="9" spans="1:23" x14ac:dyDescent="0.2">
      <c r="A9" t="s">
        <v>41</v>
      </c>
      <c r="B9" s="3" t="str">
        <f>HYPERLINK("http://www.ncbi.nlm.nih.gov/gene/213208","Il20rb")</f>
        <v>Il20rb</v>
      </c>
      <c r="C9">
        <v>213208</v>
      </c>
      <c r="D9" t="s">
        <v>42</v>
      </c>
      <c r="E9" s="3" t="str">
        <f>HYPERLINK("http://genome.ucsc.edu/cgi-bin/hgTracks?db=mm10&amp;lastVirtModeType=default&amp;lastVirtModeExtraState=&amp;virtModeType=default&amp;virtMode=0&amp;nonVirtPosition=&amp;position=chr9:100457718-100486473","chr9:100457718-100486473")</f>
        <v>chr9:100457718-100486473</v>
      </c>
      <c r="F9" t="s">
        <v>30</v>
      </c>
      <c r="G9">
        <v>-4.4065160941887997</v>
      </c>
      <c r="H9">
        <v>0.46330605257776902</v>
      </c>
      <c r="I9">
        <v>-9.5110263931834496</v>
      </c>
      <c r="J9" s="1">
        <v>1.8879048511100701E-21</v>
      </c>
      <c r="K9" s="1">
        <v>3.8166356446254002E-18</v>
      </c>
      <c r="L9" t="s">
        <v>26</v>
      </c>
      <c r="M9" t="s">
        <v>27</v>
      </c>
      <c r="N9">
        <v>110.616110676793</v>
      </c>
      <c r="O9">
        <v>249.529636398805</v>
      </c>
      <c r="P9">
        <v>6.4309663852841501</v>
      </c>
      <c r="Q9">
        <v>117.37310184069</v>
      </c>
      <c r="R9">
        <v>245.750594848031</v>
      </c>
      <c r="S9">
        <v>385.46521250769302</v>
      </c>
      <c r="T9">
        <v>3.8733539723288102</v>
      </c>
      <c r="U9">
        <v>8.69548435635323</v>
      </c>
      <c r="V9">
        <v>7.5070534009941197</v>
      </c>
      <c r="W9">
        <v>5.6479738114604503</v>
      </c>
    </row>
    <row r="10" spans="1:23" x14ac:dyDescent="0.2">
      <c r="A10" t="s">
        <v>43</v>
      </c>
      <c r="B10" s="3" t="str">
        <f>HYPERLINK("http://www.ncbi.nlm.nih.gov/gene/18545","Pcp2")</f>
        <v>Pcp2</v>
      </c>
      <c r="C10">
        <v>18545</v>
      </c>
      <c r="D10" t="s">
        <v>44</v>
      </c>
      <c r="E10" s="3" t="str">
        <f>HYPERLINK("http://genome.ucsc.edu/cgi-bin/hgTracks?db=mm10&amp;lastVirtModeType=default&amp;lastVirtModeExtraState=&amp;virtModeType=default&amp;virtMode=0&amp;nonVirtPosition=&amp;position=chr8:3623370-3625282","chr8:3623370-3625282")</f>
        <v>chr8:3623370-3625282</v>
      </c>
      <c r="F10" t="s">
        <v>30</v>
      </c>
      <c r="G10">
        <v>-5.1702825031131603</v>
      </c>
      <c r="H10">
        <v>0.56150131654053603</v>
      </c>
      <c r="I10">
        <v>-9.2079614968096095</v>
      </c>
      <c r="J10" s="1">
        <v>3.3237687484316702E-20</v>
      </c>
      <c r="K10" s="1">
        <v>5.9728124409317203E-17</v>
      </c>
      <c r="L10" t="s">
        <v>26</v>
      </c>
      <c r="M10" t="s">
        <v>27</v>
      </c>
      <c r="N10">
        <v>286.563232998535</v>
      </c>
      <c r="O10">
        <v>664.40806739510901</v>
      </c>
      <c r="P10">
        <v>3.1796072011038601</v>
      </c>
      <c r="Q10">
        <v>53.351409927586403</v>
      </c>
      <c r="R10">
        <v>616.72015764315097</v>
      </c>
      <c r="S10">
        <v>1323.1526346145899</v>
      </c>
      <c r="T10">
        <v>5.8100309584932104</v>
      </c>
      <c r="U10">
        <v>1.3377668240543401</v>
      </c>
      <c r="V10">
        <v>3.2173086004260498</v>
      </c>
      <c r="W10">
        <v>2.3533224214418502</v>
      </c>
    </row>
    <row r="11" spans="1:23" x14ac:dyDescent="0.2">
      <c r="A11" t="s">
        <v>45</v>
      </c>
      <c r="B11" s="3" t="str">
        <f>HYPERLINK("http://www.ncbi.nlm.nih.gov/gene/17868","Mybpc3")</f>
        <v>Mybpc3</v>
      </c>
      <c r="C11">
        <v>17868</v>
      </c>
      <c r="D11" t="s">
        <v>46</v>
      </c>
      <c r="E11" s="3" t="str">
        <f>HYPERLINK("http://genome.ucsc.edu/cgi-bin/hgTracks?db=mm10&amp;lastVirtModeType=default&amp;lastVirtModeExtraState=&amp;virtModeType=default&amp;virtMode=0&amp;nonVirtPosition=&amp;position=chr2:91118143-91136516","chr2:91118143-91136516")</f>
        <v>chr2:91118143-91136516</v>
      </c>
      <c r="F11" t="s">
        <v>25</v>
      </c>
      <c r="G11">
        <v>-4.7388308127657099</v>
      </c>
      <c r="H11">
        <v>0.51970939391371596</v>
      </c>
      <c r="I11">
        <v>-9.1182319739875108</v>
      </c>
      <c r="J11" s="1">
        <v>7.6359830740605397E-20</v>
      </c>
      <c r="K11" s="1">
        <v>1.2349675425678101E-16</v>
      </c>
      <c r="L11" t="s">
        <v>26</v>
      </c>
      <c r="M11" t="s">
        <v>27</v>
      </c>
      <c r="N11">
        <v>190.27740355192</v>
      </c>
      <c r="O11">
        <v>436.20779946713702</v>
      </c>
      <c r="P11">
        <v>5.8296066155062896</v>
      </c>
      <c r="Q11">
        <v>170.72451176827599</v>
      </c>
      <c r="R11">
        <v>397.75436877310699</v>
      </c>
      <c r="S11">
        <v>740.14451786002905</v>
      </c>
      <c r="T11">
        <v>12.265620912374599</v>
      </c>
      <c r="U11">
        <v>5.3510672962173702</v>
      </c>
      <c r="V11">
        <v>4.2897448005680703</v>
      </c>
      <c r="W11">
        <v>1.4119934528651099</v>
      </c>
    </row>
    <row r="12" spans="1:23" x14ac:dyDescent="0.2">
      <c r="A12" t="s">
        <v>47</v>
      </c>
      <c r="B12" s="3" t="str">
        <f>HYPERLINK("http://www.ncbi.nlm.nih.gov/gene/380702","Shisa6")</f>
        <v>Shisa6</v>
      </c>
      <c r="C12">
        <v>380702</v>
      </c>
      <c r="D12" t="s">
        <v>48</v>
      </c>
      <c r="E12" s="3" t="str">
        <f>HYPERLINK("http://genome.ucsc.edu/cgi-bin/hgTracks?db=mm10&amp;lastVirtModeType=default&amp;lastVirtModeExtraState=&amp;virtModeType=default&amp;virtMode=0&amp;nonVirtPosition=&amp;position=chr11:66211724-66526126","chr11:66211724-66526126")</f>
        <v>chr11:66211724-66526126</v>
      </c>
      <c r="F12" t="s">
        <v>30</v>
      </c>
      <c r="G12">
        <v>-2.00683762572223</v>
      </c>
      <c r="H12">
        <v>0.23698420260821201</v>
      </c>
      <c r="I12">
        <v>-8.4682337625684792</v>
      </c>
      <c r="J12" s="1">
        <v>2.4914192890335899E-17</v>
      </c>
      <c r="K12" s="1">
        <v>3.6630658328673001E-14</v>
      </c>
      <c r="L12" t="s">
        <v>26</v>
      </c>
      <c r="M12" t="s">
        <v>27</v>
      </c>
      <c r="N12">
        <v>797.92888001792301</v>
      </c>
      <c r="O12">
        <v>1414.2678811922699</v>
      </c>
      <c r="P12">
        <v>335.67462913716099</v>
      </c>
      <c r="Q12">
        <v>1109.7093264938001</v>
      </c>
      <c r="R12">
        <v>1474.50356908819</v>
      </c>
      <c r="S12">
        <v>1658.5907479948301</v>
      </c>
      <c r="T12">
        <v>280.81816299383797</v>
      </c>
      <c r="U12">
        <v>394.64121309603098</v>
      </c>
      <c r="V12">
        <v>287.41290163806099</v>
      </c>
      <c r="W12">
        <v>379.82623882071499</v>
      </c>
    </row>
    <row r="13" spans="1:23" x14ac:dyDescent="0.2">
      <c r="A13" t="s">
        <v>49</v>
      </c>
      <c r="B13" s="3" t="str">
        <f>HYPERLINK("http://www.ncbi.nlm.nih.gov/gene/74470","Cep72")</f>
        <v>Cep72</v>
      </c>
      <c r="C13">
        <v>74470</v>
      </c>
      <c r="D13" t="s">
        <v>50</v>
      </c>
      <c r="E13" s="3" t="str">
        <f>HYPERLINK("http://genome.ucsc.edu/cgi-bin/hgTracks?db=mm10&amp;lastVirtModeType=default&amp;lastVirtModeExtraState=&amp;virtModeType=default&amp;virtMode=0&amp;nonVirtPosition=&amp;position=chr13:74036494-74062285","chr13:74036494-74062285")</f>
        <v>chr13:74036494-74062285</v>
      </c>
      <c r="F13" t="s">
        <v>30</v>
      </c>
      <c r="G13">
        <v>-2.3192086554237399</v>
      </c>
      <c r="H13">
        <v>0.276745653479543</v>
      </c>
      <c r="I13">
        <v>-8.38028936051629</v>
      </c>
      <c r="J13" s="1">
        <v>5.2797740710918301E-17</v>
      </c>
      <c r="K13" s="1">
        <v>7.1158155043140096E-14</v>
      </c>
      <c r="L13" t="s">
        <v>26</v>
      </c>
      <c r="M13" t="s">
        <v>27</v>
      </c>
      <c r="N13">
        <v>187.02496283900001</v>
      </c>
      <c r="O13">
        <v>352.707121428194</v>
      </c>
      <c r="P13">
        <v>62.763343897105003</v>
      </c>
      <c r="Q13">
        <v>437.48156140620802</v>
      </c>
      <c r="R13">
        <v>283.91894336666201</v>
      </c>
      <c r="S13">
        <v>336.72085951171101</v>
      </c>
      <c r="T13">
        <v>52.290278626438898</v>
      </c>
      <c r="U13">
        <v>58.192856846363902</v>
      </c>
      <c r="V13">
        <v>71.853225409515204</v>
      </c>
      <c r="W13">
        <v>68.717014706102105</v>
      </c>
    </row>
    <row r="14" spans="1:23" x14ac:dyDescent="0.2">
      <c r="A14" t="s">
        <v>51</v>
      </c>
      <c r="B14" s="3" t="str">
        <f>HYPERLINK("http://www.ncbi.nlm.nih.gov/gene/17996","Neb")</f>
        <v>Neb</v>
      </c>
      <c r="C14">
        <v>17996</v>
      </c>
      <c r="D14" t="s">
        <v>52</v>
      </c>
      <c r="E14" s="3" t="str">
        <f>HYPERLINK("http://genome.ucsc.edu/cgi-bin/hgTracks?db=mm10&amp;lastVirtModeType=default&amp;lastVirtModeExtraState=&amp;virtModeType=default&amp;virtMode=0&amp;nonVirtPosition=&amp;position=chr2:52136646-52338798","chr2:52136646-52338798")</f>
        <v>chr2:52136646-52338798</v>
      </c>
      <c r="F14" t="s">
        <v>30</v>
      </c>
      <c r="G14">
        <v>-2.60277685849405</v>
      </c>
      <c r="H14">
        <v>0.31157781188484401</v>
      </c>
      <c r="I14">
        <v>-8.3535372520557107</v>
      </c>
      <c r="J14" s="1">
        <v>6.62485059356075E-17</v>
      </c>
      <c r="K14" s="1">
        <v>8.2418237422813806E-14</v>
      </c>
      <c r="L14" t="s">
        <v>26</v>
      </c>
      <c r="M14" t="s">
        <v>27</v>
      </c>
      <c r="N14">
        <v>304.210380724017</v>
      </c>
      <c r="O14">
        <v>597.68492803008905</v>
      </c>
      <c r="P14">
        <v>84.104470244463101</v>
      </c>
      <c r="Q14">
        <v>810.94143089931299</v>
      </c>
      <c r="R14">
        <v>368.96070234677097</v>
      </c>
      <c r="S14">
        <v>613.15265084418297</v>
      </c>
      <c r="T14">
        <v>66.492576524977807</v>
      </c>
      <c r="U14">
        <v>86.285960151505193</v>
      </c>
      <c r="V14">
        <v>81.505151210793301</v>
      </c>
      <c r="W14">
        <v>102.13419309057601</v>
      </c>
    </row>
    <row r="15" spans="1:23" x14ac:dyDescent="0.2">
      <c r="A15" t="s">
        <v>53</v>
      </c>
      <c r="B15" s="3" t="str">
        <f>HYPERLINK("http://www.ncbi.nlm.nih.gov/gene/18508","Pax6")</f>
        <v>Pax6</v>
      </c>
      <c r="C15">
        <v>18508</v>
      </c>
      <c r="D15" t="s">
        <v>54</v>
      </c>
      <c r="E15" s="3" t="str">
        <f>HYPERLINK("http://genome.ucsc.edu/cgi-bin/hgTracks?db=mm10&amp;lastVirtModeType=default&amp;lastVirtModeExtraState=&amp;virtModeType=default&amp;virtMode=0&amp;nonVirtPosition=&amp;position=chr2:105675743-105698410","chr2:105675743-105698410")</f>
        <v>chr2:105675743-105698410</v>
      </c>
      <c r="F15" t="s">
        <v>25</v>
      </c>
      <c r="G15">
        <v>-2.3634862341886098</v>
      </c>
      <c r="H15">
        <v>0.28995942185275198</v>
      </c>
      <c r="I15">
        <v>-8.1510930704946993</v>
      </c>
      <c r="J15" s="1">
        <v>3.60649414435746E-16</v>
      </c>
      <c r="K15" s="1">
        <v>4.1662735569066601E-13</v>
      </c>
      <c r="L15" t="s">
        <v>26</v>
      </c>
      <c r="M15" t="s">
        <v>27</v>
      </c>
      <c r="N15">
        <v>693.67178039459498</v>
      </c>
      <c r="O15">
        <v>1311.3271023096199</v>
      </c>
      <c r="P15">
        <v>230.43028895832401</v>
      </c>
      <c r="Q15">
        <v>1259.09327429104</v>
      </c>
      <c r="R15">
        <v>981.663139093224</v>
      </c>
      <c r="S15">
        <v>1693.22489354461</v>
      </c>
      <c r="T15">
        <v>298.24825586931797</v>
      </c>
      <c r="U15">
        <v>245.48021221397201</v>
      </c>
      <c r="V15">
        <v>219.84942102911401</v>
      </c>
      <c r="W15">
        <v>158.143266720893</v>
      </c>
    </row>
    <row r="16" spans="1:23" x14ac:dyDescent="0.2">
      <c r="A16" t="s">
        <v>55</v>
      </c>
      <c r="B16" s="3" t="str">
        <f>HYPERLINK("http://www.ncbi.nlm.nih.gov/gene/381112","Arhgef33")</f>
        <v>Arhgef33</v>
      </c>
      <c r="C16">
        <v>381112</v>
      </c>
      <c r="D16" t="s">
        <v>56</v>
      </c>
      <c r="E16" s="3" t="str">
        <f>HYPERLINK("http://genome.ucsc.edu/cgi-bin/hgTracks?db=mm10&amp;lastVirtModeType=default&amp;lastVirtModeExtraState=&amp;virtModeType=default&amp;virtMode=0&amp;nonVirtPosition=&amp;position=chr17:80307406-80388689","chr17:80307406-80388689")</f>
        <v>chr17:80307406-80388689</v>
      </c>
      <c r="F16" t="s">
        <v>25</v>
      </c>
      <c r="G16">
        <v>-4.4296268237832601</v>
      </c>
      <c r="H16">
        <v>0.55141226425321799</v>
      </c>
      <c r="I16">
        <v>-8.0332395758051103</v>
      </c>
      <c r="J16" s="1">
        <v>9.4932036404405396E-16</v>
      </c>
      <c r="K16" s="1">
        <v>1.0235572165123001E-12</v>
      </c>
      <c r="L16" t="s">
        <v>26</v>
      </c>
      <c r="M16" t="s">
        <v>27</v>
      </c>
      <c r="N16">
        <v>905.84935117830605</v>
      </c>
      <c r="O16">
        <v>2076.2624043737601</v>
      </c>
      <c r="P16">
        <v>28.039561281716502</v>
      </c>
      <c r="Q16">
        <v>298.767895594484</v>
      </c>
      <c r="R16">
        <v>2110.6427110653799</v>
      </c>
      <c r="S16">
        <v>3819.3766064614101</v>
      </c>
      <c r="T16">
        <v>33.569067760183003</v>
      </c>
      <c r="U16">
        <v>24.079802832978199</v>
      </c>
      <c r="V16">
        <v>49.332065206532803</v>
      </c>
      <c r="W16">
        <v>5.1773093271720798</v>
      </c>
    </row>
    <row r="17" spans="1:23" x14ac:dyDescent="0.2">
      <c r="A17" t="s">
        <v>57</v>
      </c>
      <c r="B17" s="3" t="str">
        <f>HYPERLINK("http://www.ncbi.nlm.nih.gov/gene/216166","Plk5")</f>
        <v>Plk5</v>
      </c>
      <c r="C17">
        <v>216166</v>
      </c>
      <c r="D17" t="s">
        <v>58</v>
      </c>
      <c r="E17" s="3" t="str">
        <f>HYPERLINK("http://genome.ucsc.edu/cgi-bin/hgTracks?db=mm10&amp;lastVirtModeType=default&amp;lastVirtModeExtraState=&amp;virtModeType=default&amp;virtMode=0&amp;nonVirtPosition=&amp;position=chr10:80356458-80365489","chr10:80356458-80365489")</f>
        <v>chr10:80356458-80365489</v>
      </c>
      <c r="F17" t="s">
        <v>25</v>
      </c>
      <c r="G17">
        <v>-2.78545697461557</v>
      </c>
      <c r="H17">
        <v>0.37517401885419899</v>
      </c>
      <c r="I17">
        <v>-7.4244399522187203</v>
      </c>
      <c r="J17" s="1">
        <v>1.1325811038016999E-13</v>
      </c>
      <c r="K17" s="1">
        <v>1.14482713698656E-10</v>
      </c>
      <c r="L17" t="s">
        <v>26</v>
      </c>
      <c r="M17" t="s">
        <v>27</v>
      </c>
      <c r="N17">
        <v>251.707112894815</v>
      </c>
      <c r="O17">
        <v>507.23807491389601</v>
      </c>
      <c r="P17">
        <v>60.0588913805041</v>
      </c>
      <c r="Q17">
        <v>362.78958750758699</v>
      </c>
      <c r="R17">
        <v>500.87587178835702</v>
      </c>
      <c r="S17">
        <v>658.04876544574495</v>
      </c>
      <c r="T17">
        <v>84.568228395845594</v>
      </c>
      <c r="U17">
        <v>39.464121309603101</v>
      </c>
      <c r="V17">
        <v>80.432715010651293</v>
      </c>
      <c r="W17">
        <v>35.7705008059162</v>
      </c>
    </row>
    <row r="18" spans="1:23" x14ac:dyDescent="0.2">
      <c r="A18" t="s">
        <v>59</v>
      </c>
      <c r="B18" s="3" t="str">
        <f>HYPERLINK("http://www.ncbi.nlm.nih.gov/gene/56460","Pkp3")</f>
        <v>Pkp3</v>
      </c>
      <c r="C18">
        <v>56460</v>
      </c>
      <c r="D18" t="s">
        <v>60</v>
      </c>
      <c r="E18" s="3" t="str">
        <f>HYPERLINK("http://genome.ucsc.edu/cgi-bin/hgTracks?db=mm10&amp;lastVirtModeType=default&amp;lastVirtModeExtraState=&amp;virtModeType=default&amp;virtMode=0&amp;nonVirtPosition=&amp;position=chr7:141078228-141090510","chr7:141078228-141090510")</f>
        <v>chr7:141078228-141090510</v>
      </c>
      <c r="F18" t="s">
        <v>25</v>
      </c>
      <c r="G18">
        <v>-3.9170023063027899</v>
      </c>
      <c r="H18">
        <v>0.53658198534569801</v>
      </c>
      <c r="I18">
        <v>-7.2999139242053204</v>
      </c>
      <c r="J18" s="1">
        <v>2.8795188160071102E-13</v>
      </c>
      <c r="K18" s="1">
        <v>2.7394386947813502E-10</v>
      </c>
      <c r="L18" t="s">
        <v>26</v>
      </c>
      <c r="M18" t="s">
        <v>27</v>
      </c>
      <c r="N18">
        <v>79.116780748462503</v>
      </c>
      <c r="O18">
        <v>178.71734393895099</v>
      </c>
      <c r="P18">
        <v>4.4163583555960502</v>
      </c>
      <c r="Q18">
        <v>266.75704963793203</v>
      </c>
      <c r="R18">
        <v>137.27213063718301</v>
      </c>
      <c r="S18">
        <v>132.12285154173799</v>
      </c>
      <c r="T18">
        <v>0.64555899538813499</v>
      </c>
      <c r="U18">
        <v>6.6888341202717196</v>
      </c>
      <c r="V18">
        <v>7.5070534009941197</v>
      </c>
      <c r="W18">
        <v>2.8239869057302198</v>
      </c>
    </row>
    <row r="19" spans="1:23" x14ac:dyDescent="0.2">
      <c r="A19" t="s">
        <v>61</v>
      </c>
      <c r="B19" s="3" t="str">
        <f>HYPERLINK("http://www.ncbi.nlm.nih.gov/gene/280635","Emilin3")</f>
        <v>Emilin3</v>
      </c>
      <c r="C19">
        <v>280635</v>
      </c>
      <c r="D19" t="s">
        <v>62</v>
      </c>
      <c r="E19" s="3" t="str">
        <f>HYPERLINK("http://genome.ucsc.edu/cgi-bin/hgTracks?db=mm10&amp;lastVirtModeType=default&amp;lastVirtModeExtraState=&amp;virtModeType=default&amp;virtMode=0&amp;nonVirtPosition=&amp;position=chr2:160906437-160912339","chr2:160906437-160912339")</f>
        <v>chr2:160906437-160912339</v>
      </c>
      <c r="F19" t="s">
        <v>30</v>
      </c>
      <c r="G19">
        <v>-3.5434956393361299</v>
      </c>
      <c r="H19">
        <v>0.50032825978238005</v>
      </c>
      <c r="I19">
        <v>-7.0823415828588097</v>
      </c>
      <c r="J19" s="1">
        <v>1.41738751958764E-12</v>
      </c>
      <c r="K19" s="1">
        <v>1.2735226863494999E-9</v>
      </c>
      <c r="L19" t="s">
        <v>26</v>
      </c>
      <c r="M19" t="s">
        <v>27</v>
      </c>
      <c r="N19">
        <v>46.959071332189602</v>
      </c>
      <c r="O19">
        <v>103.517561725622</v>
      </c>
      <c r="P19">
        <v>4.5402035371154197</v>
      </c>
      <c r="Q19">
        <v>117.37310184069</v>
      </c>
      <c r="R19">
        <v>79.015177635061704</v>
      </c>
      <c r="S19">
        <v>114.16440570111401</v>
      </c>
      <c r="T19">
        <v>3.8733539723288102</v>
      </c>
      <c r="U19">
        <v>2.67553364810869</v>
      </c>
      <c r="V19">
        <v>6.4346172008521103</v>
      </c>
      <c r="W19">
        <v>5.1773093271720798</v>
      </c>
    </row>
    <row r="20" spans="1:23" x14ac:dyDescent="0.2">
      <c r="A20" t="s">
        <v>63</v>
      </c>
      <c r="B20" s="3" t="str">
        <f>HYPERLINK("http://www.ncbi.nlm.nih.gov/gene/20957","Sycp1")</f>
        <v>Sycp1</v>
      </c>
      <c r="C20">
        <v>20957</v>
      </c>
      <c r="D20" t="s">
        <v>64</v>
      </c>
      <c r="E20" s="3" t="str">
        <f>HYPERLINK("http://genome.ucsc.edu/cgi-bin/hgTracks?db=mm10&amp;lastVirtModeType=default&amp;lastVirtModeExtraState=&amp;virtModeType=default&amp;virtMode=0&amp;nonVirtPosition=&amp;position=chr3:102818498-102936100","chr3:102818498-102936100")</f>
        <v>chr3:102818498-102936100</v>
      </c>
      <c r="F20" t="s">
        <v>30</v>
      </c>
      <c r="G20">
        <v>-4.18500584122713</v>
      </c>
      <c r="H20">
        <v>0.59344563715554</v>
      </c>
      <c r="I20">
        <v>-7.0520458475124999</v>
      </c>
      <c r="J20" s="1">
        <v>1.76306086433858E-12</v>
      </c>
      <c r="K20" s="1">
        <v>1.5007359662604101E-9</v>
      </c>
      <c r="L20" t="s">
        <v>26</v>
      </c>
      <c r="M20" t="s">
        <v>27</v>
      </c>
      <c r="N20">
        <v>115.95405652062701</v>
      </c>
      <c r="O20">
        <v>268.19533624533398</v>
      </c>
      <c r="P20">
        <v>1.77309672709664</v>
      </c>
      <c r="Q20">
        <v>160.05422978275899</v>
      </c>
      <c r="R20">
        <v>272.53540082601802</v>
      </c>
      <c r="S20">
        <v>371.99637812722398</v>
      </c>
      <c r="T20">
        <v>0</v>
      </c>
      <c r="U20">
        <v>6.0199507082445498</v>
      </c>
      <c r="V20">
        <v>1.07243620014202</v>
      </c>
      <c r="W20">
        <v>0</v>
      </c>
    </row>
    <row r="21" spans="1:23" x14ac:dyDescent="0.2">
      <c r="A21" t="s">
        <v>65</v>
      </c>
      <c r="B21" s="3" t="str">
        <f>HYPERLINK("http://www.ncbi.nlm.nih.gov/gene/20190","Ryr1")</f>
        <v>Ryr1</v>
      </c>
      <c r="C21">
        <v>20190</v>
      </c>
      <c r="D21" t="s">
        <v>66</v>
      </c>
      <c r="E21" s="3" t="str">
        <f>HYPERLINK("http://genome.ucsc.edu/cgi-bin/hgTracks?db=mm10&amp;lastVirtModeType=default&amp;lastVirtModeExtraState=&amp;virtModeType=default&amp;virtMode=0&amp;nonVirtPosition=&amp;position=chr7:29003339-29125151","chr7:29003339-29125151")</f>
        <v>chr7:29003339-29125151</v>
      </c>
      <c r="F21" t="s">
        <v>30</v>
      </c>
      <c r="G21">
        <v>-3.5691727333780601</v>
      </c>
      <c r="H21">
        <v>0.53376223235364995</v>
      </c>
      <c r="I21">
        <v>-6.6868214291588703</v>
      </c>
      <c r="J21" s="1">
        <v>2.28069889088234E-11</v>
      </c>
      <c r="K21" s="1">
        <v>1.844287158112E-8</v>
      </c>
      <c r="L21" t="s">
        <v>26</v>
      </c>
      <c r="M21" t="s">
        <v>27</v>
      </c>
      <c r="N21">
        <v>501.93126961451497</v>
      </c>
      <c r="O21">
        <v>1117.4978067642</v>
      </c>
      <c r="P21">
        <v>40.256366752247501</v>
      </c>
      <c r="Q21">
        <v>2272.77006291518</v>
      </c>
      <c r="R21">
        <v>387.04044638191198</v>
      </c>
      <c r="S21">
        <v>692.68291099552096</v>
      </c>
      <c r="T21">
        <v>85.859346386621894</v>
      </c>
      <c r="U21">
        <v>45.484072017847701</v>
      </c>
      <c r="V21">
        <v>11.796798201562201</v>
      </c>
      <c r="W21">
        <v>17.8852504029581</v>
      </c>
    </row>
    <row r="22" spans="1:23" x14ac:dyDescent="0.2">
      <c r="A22" t="s">
        <v>67</v>
      </c>
      <c r="B22" s="3" t="str">
        <f>HYPERLINK("http://www.ncbi.nlm.nih.gov/gene/64817","Svep1")</f>
        <v>Svep1</v>
      </c>
      <c r="C22">
        <v>64817</v>
      </c>
      <c r="D22" t="s">
        <v>68</v>
      </c>
      <c r="E22" s="3" t="str">
        <f>HYPERLINK("http://genome.ucsc.edu/cgi-bin/hgTracks?db=mm10&amp;lastVirtModeType=default&amp;lastVirtModeExtraState=&amp;virtModeType=default&amp;virtMode=0&amp;nonVirtPosition=&amp;position=chr4:58042795-58206596","chr4:58042795-58206596")</f>
        <v>chr4:58042795-58206596</v>
      </c>
      <c r="F22" t="s">
        <v>30</v>
      </c>
      <c r="G22">
        <v>-2.2688312466774301</v>
      </c>
      <c r="H22">
        <v>0.34283370400205598</v>
      </c>
      <c r="I22">
        <v>-6.6178768895599003</v>
      </c>
      <c r="J22" s="1">
        <v>3.6439428523235402E-11</v>
      </c>
      <c r="K22" s="1">
        <v>2.80635655955374E-8</v>
      </c>
      <c r="L22" t="s">
        <v>26</v>
      </c>
      <c r="M22" t="s">
        <v>27</v>
      </c>
      <c r="N22">
        <v>529.26937410184405</v>
      </c>
      <c r="O22">
        <v>995.47358095920401</v>
      </c>
      <c r="P22">
        <v>179.61621895882499</v>
      </c>
      <c r="Q22">
        <v>853.62255884138199</v>
      </c>
      <c r="R22">
        <v>948.18213162074096</v>
      </c>
      <c r="S22">
        <v>1184.61605241549</v>
      </c>
      <c r="T22">
        <v>81.340433418904993</v>
      </c>
      <c r="U22">
        <v>234.10919420951001</v>
      </c>
      <c r="V22">
        <v>216.632112428688</v>
      </c>
      <c r="W22">
        <v>186.383135778195</v>
      </c>
    </row>
    <row r="23" spans="1:23" x14ac:dyDescent="0.2">
      <c r="A23" t="s">
        <v>69</v>
      </c>
      <c r="B23" s="3" t="str">
        <f>HYPERLINK("http://www.ncbi.nlm.nih.gov/gene/116849","Iltifb")</f>
        <v>Iltifb</v>
      </c>
      <c r="C23">
        <v>116849</v>
      </c>
      <c r="D23" t="s">
        <v>70</v>
      </c>
      <c r="E23" s="3" t="str">
        <f>HYPERLINK("http://genome.ucsc.edu/cgi-bin/hgTracks?db=mm10&amp;lastVirtModeType=default&amp;lastVirtModeExtraState=&amp;virtModeType=default&amp;virtMode=0&amp;nonVirtPosition=&amp;position=chr10:118289629-118295038","chr10:118289629-118295038")</f>
        <v>chr10:118289629-118295038</v>
      </c>
      <c r="F23" t="s">
        <v>30</v>
      </c>
      <c r="G23">
        <v>-3.8832282069542399</v>
      </c>
      <c r="H23">
        <v>0.59553473799552603</v>
      </c>
      <c r="I23">
        <v>-6.5205737956186498</v>
      </c>
      <c r="J23" s="1">
        <v>7.00389379811342E-11</v>
      </c>
      <c r="K23" s="1">
        <v>5.1488170180403802E-8</v>
      </c>
      <c r="L23" t="s">
        <v>26</v>
      </c>
      <c r="M23" t="s">
        <v>27</v>
      </c>
      <c r="N23">
        <v>48.406740247006603</v>
      </c>
      <c r="O23">
        <v>111.626843363387</v>
      </c>
      <c r="P23">
        <v>0.99166290972124005</v>
      </c>
      <c r="Q23">
        <v>64.021691913103695</v>
      </c>
      <c r="R23">
        <v>111.156944808646</v>
      </c>
      <c r="S23">
        <v>159.70189336841199</v>
      </c>
      <c r="T23">
        <v>1.29111799077627</v>
      </c>
      <c r="U23">
        <v>2.67553364810869</v>
      </c>
      <c r="V23">
        <v>0</v>
      </c>
      <c r="W23">
        <v>0</v>
      </c>
    </row>
    <row r="24" spans="1:23" x14ac:dyDescent="0.2">
      <c r="A24" t="s">
        <v>71</v>
      </c>
      <c r="B24" s="3" t="str">
        <f>HYPERLINK("http://www.ncbi.nlm.nih.gov/gene/20537","Slc5a1")</f>
        <v>Slc5a1</v>
      </c>
      <c r="C24">
        <v>20537</v>
      </c>
      <c r="D24" t="s">
        <v>72</v>
      </c>
      <c r="E24" s="3" t="str">
        <f>HYPERLINK("http://genome.ucsc.edu/cgi-bin/hgTracks?db=mm10&amp;lastVirtModeType=default&amp;lastVirtModeExtraState=&amp;virtModeType=default&amp;virtMode=0&amp;nonVirtPosition=&amp;position=chr5:33104218-33162699","chr5:33104218-33162699")</f>
        <v>chr5:33104218-33162699</v>
      </c>
      <c r="F24" t="s">
        <v>25</v>
      </c>
      <c r="G24">
        <v>-3.4051092626950101</v>
      </c>
      <c r="H24">
        <v>0.52299112668222603</v>
      </c>
      <c r="I24">
        <v>-6.5108356317562901</v>
      </c>
      <c r="J24" s="1">
        <v>7.4733885360475498E-11</v>
      </c>
      <c r="K24" s="1">
        <v>5.25509186058683E-8</v>
      </c>
      <c r="L24" t="s">
        <v>26</v>
      </c>
      <c r="M24" t="s">
        <v>27</v>
      </c>
      <c r="N24">
        <v>64.187817567817206</v>
      </c>
      <c r="O24">
        <v>141.44436184646801</v>
      </c>
      <c r="P24">
        <v>6.2454093588287396</v>
      </c>
      <c r="Q24">
        <v>202.73535772482799</v>
      </c>
      <c r="R24">
        <v>83.702518681209398</v>
      </c>
      <c r="S24">
        <v>137.89520913336801</v>
      </c>
      <c r="T24">
        <v>2.58223598155254</v>
      </c>
      <c r="U24">
        <v>4.0133004721630297</v>
      </c>
      <c r="V24">
        <v>11.796798201562201</v>
      </c>
      <c r="W24">
        <v>6.5893027800371904</v>
      </c>
    </row>
    <row r="25" spans="1:23" x14ac:dyDescent="0.2">
      <c r="A25" t="s">
        <v>73</v>
      </c>
      <c r="B25" s="3" t="str">
        <f>HYPERLINK("http://www.ncbi.nlm.nih.gov/gene/16997","Ltbp2")</f>
        <v>Ltbp2</v>
      </c>
      <c r="C25">
        <v>16997</v>
      </c>
      <c r="D25" t="s">
        <v>74</v>
      </c>
      <c r="E25" s="3" t="str">
        <f>HYPERLINK("http://genome.ucsc.edu/cgi-bin/hgTracks?db=mm10&amp;lastVirtModeType=default&amp;lastVirtModeExtraState=&amp;virtModeType=default&amp;virtMode=0&amp;nonVirtPosition=&amp;position=chr12:84783211-84876495","chr12:84783211-84876495")</f>
        <v>chr12:84783211-84876495</v>
      </c>
      <c r="F25" t="s">
        <v>30</v>
      </c>
      <c r="G25">
        <v>-2.8600146707220699</v>
      </c>
      <c r="H25">
        <v>0.44249507657517401</v>
      </c>
      <c r="I25">
        <v>-6.46338190440001</v>
      </c>
      <c r="J25" s="1">
        <v>1.02388448289376E-10</v>
      </c>
      <c r="K25" s="1">
        <v>6.8997015591003296E-8</v>
      </c>
      <c r="L25" t="s">
        <v>26</v>
      </c>
      <c r="M25" t="s">
        <v>27</v>
      </c>
      <c r="N25">
        <v>153.77150385401001</v>
      </c>
      <c r="O25">
        <v>316.86990359119</v>
      </c>
      <c r="P25">
        <v>31.4477040511251</v>
      </c>
      <c r="Q25">
        <v>160.05422978275899</v>
      </c>
      <c r="R25">
        <v>297.98096650510598</v>
      </c>
      <c r="S25">
        <v>492.57451448570401</v>
      </c>
      <c r="T25">
        <v>49.062483649498198</v>
      </c>
      <c r="U25">
        <v>33.4441706013586</v>
      </c>
      <c r="V25">
        <v>26.810905003550399</v>
      </c>
      <c r="W25">
        <v>16.473256950092999</v>
      </c>
    </row>
    <row r="26" spans="1:23" x14ac:dyDescent="0.2">
      <c r="A26" t="s">
        <v>75</v>
      </c>
      <c r="B26" s="3" t="str">
        <f>HYPERLINK("http://www.ncbi.nlm.nih.gov/gene/240505","Cdc42bpg")</f>
        <v>Cdc42bpg</v>
      </c>
      <c r="C26">
        <v>240505</v>
      </c>
      <c r="D26" t="s">
        <v>76</v>
      </c>
      <c r="E26" s="3" t="str">
        <f>HYPERLINK("http://genome.ucsc.edu/cgi-bin/hgTracks?db=mm10&amp;lastVirtModeType=default&amp;lastVirtModeExtraState=&amp;virtModeType=default&amp;virtMode=0&amp;nonVirtPosition=&amp;position=chr19:6306456-6325652","chr19:6306456-6325652")</f>
        <v>chr19:6306456-6325652</v>
      </c>
      <c r="F26" t="s">
        <v>25</v>
      </c>
      <c r="G26">
        <v>-2.25303283813493</v>
      </c>
      <c r="H26">
        <v>0.34912076140529202</v>
      </c>
      <c r="I26">
        <v>-6.4534484545288899</v>
      </c>
      <c r="J26" s="1">
        <v>1.09333201070431E-10</v>
      </c>
      <c r="K26" s="1">
        <v>7.0729834436483203E-8</v>
      </c>
      <c r="L26" t="s">
        <v>26</v>
      </c>
      <c r="M26" t="s">
        <v>27</v>
      </c>
      <c r="N26">
        <v>285.25347776098897</v>
      </c>
      <c r="O26">
        <v>536.56248136844795</v>
      </c>
      <c r="P26">
        <v>96.771725055394299</v>
      </c>
      <c r="Q26">
        <v>554.85466324689799</v>
      </c>
      <c r="R26">
        <v>511.58979417955197</v>
      </c>
      <c r="S26">
        <v>543.24298667889502</v>
      </c>
      <c r="T26">
        <v>152.99748190698801</v>
      </c>
      <c r="U26">
        <v>93.643677683804</v>
      </c>
      <c r="V26">
        <v>90.084640811929503</v>
      </c>
      <c r="W26">
        <v>50.361099818855699</v>
      </c>
    </row>
    <row r="27" spans="1:23" x14ac:dyDescent="0.2">
      <c r="A27" t="s">
        <v>77</v>
      </c>
      <c r="B27" s="3" t="str">
        <f>HYPERLINK("http://www.ncbi.nlm.nih.gov/gene/100040294","Gm2694")</f>
        <v>Gm2694</v>
      </c>
      <c r="C27">
        <v>100040294</v>
      </c>
      <c r="D27" t="s">
        <v>78</v>
      </c>
      <c r="E27" s="3" t="str">
        <f>HYPERLINK("http://genome.ucsc.edu/cgi-bin/hgTracks?db=mm10&amp;lastVirtModeType=default&amp;lastVirtModeExtraState=&amp;virtModeType=default&amp;virtMode=0&amp;nonVirtPosition=&amp;position=chr8:87472811-87525554","chr8:87472811-87525554")</f>
        <v>chr8:87472811-87525554</v>
      </c>
      <c r="F27" t="s">
        <v>25</v>
      </c>
      <c r="G27">
        <v>-2.9377481238573102</v>
      </c>
      <c r="H27">
        <v>0.45822581736863799</v>
      </c>
      <c r="I27">
        <v>-6.4111361964005704</v>
      </c>
      <c r="J27" s="1">
        <v>1.4443908537926699E-10</v>
      </c>
      <c r="K27" s="1">
        <v>8.9846666455341596E-8</v>
      </c>
      <c r="L27" t="s">
        <v>26</v>
      </c>
      <c r="M27" t="s">
        <v>27</v>
      </c>
      <c r="N27">
        <v>231.78756580463599</v>
      </c>
      <c r="O27">
        <v>483.83698846583502</v>
      </c>
      <c r="P27">
        <v>42.750498808736303</v>
      </c>
      <c r="Q27">
        <v>309.43817758000102</v>
      </c>
      <c r="R27">
        <v>329.45311352924</v>
      </c>
      <c r="S27">
        <v>812.61967428826404</v>
      </c>
      <c r="T27">
        <v>80.049315428128693</v>
      </c>
      <c r="U27">
        <v>32.106403777304202</v>
      </c>
      <c r="V27">
        <v>38.6077032051126</v>
      </c>
      <c r="W27">
        <v>20.238572824399899</v>
      </c>
    </row>
    <row r="28" spans="1:23" x14ac:dyDescent="0.2">
      <c r="A28" t="s">
        <v>79</v>
      </c>
      <c r="B28" s="3" t="str">
        <f>HYPERLINK("http://www.ncbi.nlm.nih.gov/gene/16170","Il16")</f>
        <v>Il16</v>
      </c>
      <c r="C28">
        <v>16170</v>
      </c>
      <c r="D28" t="s">
        <v>80</v>
      </c>
      <c r="E28" s="3" t="str">
        <f>HYPERLINK("http://genome.ucsc.edu/cgi-bin/hgTracks?db=mm10&amp;lastVirtModeType=default&amp;lastVirtModeExtraState=&amp;virtModeType=default&amp;virtMode=0&amp;nonVirtPosition=&amp;position=chr7:83643062-83735490","chr7:83643062-83735490")</f>
        <v>chr7:83643062-83735490</v>
      </c>
      <c r="F28" t="s">
        <v>30</v>
      </c>
      <c r="G28">
        <v>-3.0662592409845901</v>
      </c>
      <c r="H28">
        <v>0.50054196887090396</v>
      </c>
      <c r="I28">
        <v>-6.1258784111576103</v>
      </c>
      <c r="J28" s="1">
        <v>9.0184658171762297E-10</v>
      </c>
      <c r="K28" s="1">
        <v>5.2806816810897102E-7</v>
      </c>
      <c r="L28" t="s">
        <v>26</v>
      </c>
      <c r="M28" t="s">
        <v>27</v>
      </c>
      <c r="N28">
        <v>546.34444134331204</v>
      </c>
      <c r="O28">
        <v>1167.5124385879999</v>
      </c>
      <c r="P28">
        <v>80.468443409797501</v>
      </c>
      <c r="Q28">
        <v>149.383947797242</v>
      </c>
      <c r="R28">
        <v>1187.23652497427</v>
      </c>
      <c r="S28">
        <v>2165.9168429924798</v>
      </c>
      <c r="T28">
        <v>81.985992414293094</v>
      </c>
      <c r="U28">
        <v>64.881690966635702</v>
      </c>
      <c r="V28">
        <v>68.635916809089096</v>
      </c>
      <c r="W28">
        <v>106.370173449172</v>
      </c>
    </row>
    <row r="29" spans="1:23" x14ac:dyDescent="0.2">
      <c r="A29" t="s">
        <v>81</v>
      </c>
      <c r="B29" s="3" t="str">
        <f>HYPERLINK("http://www.ncbi.nlm.nih.gov/gene/664805","Skor2")</f>
        <v>Skor2</v>
      </c>
      <c r="C29">
        <v>664805</v>
      </c>
      <c r="D29" t="s">
        <v>82</v>
      </c>
      <c r="E29" s="3" t="str">
        <f>HYPERLINK("http://genome.ucsc.edu/cgi-bin/hgTracks?db=mm10&amp;lastVirtModeType=default&amp;lastVirtModeExtraState=&amp;virtModeType=default&amp;virtMode=0&amp;nonVirtPosition=&amp;position=chr18:76856404-76900342","chr18:76856404-76900342")</f>
        <v>chr18:76856404-76900342</v>
      </c>
      <c r="F29" t="s">
        <v>25</v>
      </c>
      <c r="G29">
        <v>-3.6279594624890499</v>
      </c>
      <c r="H29">
        <v>0.59244505713727902</v>
      </c>
      <c r="I29">
        <v>-6.12370618808015</v>
      </c>
      <c r="J29" s="1">
        <v>9.1423413757813603E-10</v>
      </c>
      <c r="K29" s="1">
        <v>5.2806816810897102E-7</v>
      </c>
      <c r="L29" t="s">
        <v>26</v>
      </c>
      <c r="M29" t="s">
        <v>27</v>
      </c>
      <c r="N29">
        <v>86.266541604746394</v>
      </c>
      <c r="O29">
        <v>197.29491645405301</v>
      </c>
      <c r="P29">
        <v>2.9952604677661698</v>
      </c>
      <c r="Q29">
        <v>394.80043346413902</v>
      </c>
      <c r="R29">
        <v>80.354417933961102</v>
      </c>
      <c r="S29">
        <v>116.72989796406</v>
      </c>
      <c r="T29">
        <v>1.9366769861644</v>
      </c>
      <c r="U29">
        <v>4.6821838841902004</v>
      </c>
      <c r="V29">
        <v>5.3621810007100903</v>
      </c>
      <c r="W29">
        <v>0</v>
      </c>
    </row>
    <row r="30" spans="1:23" x14ac:dyDescent="0.2">
      <c r="A30" t="s">
        <v>83</v>
      </c>
      <c r="B30" s="3" t="str">
        <f>HYPERLINK("http://www.ncbi.nlm.nih.gov/gene/76873","4930447F24Rik")</f>
        <v>4930447F24Rik</v>
      </c>
      <c r="C30">
        <v>76873</v>
      </c>
      <c r="D30" t="s">
        <v>84</v>
      </c>
      <c r="E30" s="3" t="str">
        <f>HYPERLINK("http://genome.ucsc.edu/cgi-bin/hgTracks?db=mm10&amp;lastVirtModeType=default&amp;lastVirtModeExtraState=&amp;virtModeType=default&amp;virtMode=0&amp;nonVirtPosition=&amp;position=chr9:108133717-108138567","chr9:108133717-108138567")</f>
        <v>chr9:108133717-108138567</v>
      </c>
      <c r="F30" t="s">
        <v>25</v>
      </c>
      <c r="G30">
        <v>-3.2518691940349602</v>
      </c>
      <c r="H30">
        <v>0.53565277875650996</v>
      </c>
      <c r="I30">
        <v>-6.0708528416187901</v>
      </c>
      <c r="J30" s="1">
        <v>1.2723273896874699E-9</v>
      </c>
      <c r="K30" s="1">
        <v>7.0956382322122405E-7</v>
      </c>
      <c r="L30" t="s">
        <v>26</v>
      </c>
      <c r="M30" t="s">
        <v>27</v>
      </c>
      <c r="N30">
        <v>41.2021081234059</v>
      </c>
      <c r="O30">
        <v>90.331227104113196</v>
      </c>
      <c r="P30">
        <v>4.3552688878752797</v>
      </c>
      <c r="Q30">
        <v>74.691973898620901</v>
      </c>
      <c r="R30">
        <v>77.006317186712707</v>
      </c>
      <c r="S30">
        <v>119.295390227006</v>
      </c>
      <c r="T30">
        <v>7.1011489492694801</v>
      </c>
      <c r="U30">
        <v>5.3510672962173702</v>
      </c>
      <c r="V30">
        <v>2.14487240028404</v>
      </c>
      <c r="W30">
        <v>2.8239869057302198</v>
      </c>
    </row>
    <row r="31" spans="1:23" x14ac:dyDescent="0.2">
      <c r="A31" t="s">
        <v>85</v>
      </c>
      <c r="B31" s="3" t="str">
        <f>HYPERLINK("http://www.ncbi.nlm.nih.gov/gene/215748","Cnksr3")</f>
        <v>Cnksr3</v>
      </c>
      <c r="C31">
        <v>215748</v>
      </c>
      <c r="D31" t="s">
        <v>86</v>
      </c>
      <c r="E31" s="3" t="str">
        <f>HYPERLINK("http://genome.ucsc.edu/cgi-bin/hgTracks?db=mm10&amp;lastVirtModeType=default&amp;lastVirtModeExtraState=&amp;virtModeType=default&amp;virtMode=0&amp;nonVirtPosition=&amp;position=chr10:7119061-7212237","chr10:7119061-7212237")</f>
        <v>chr10:7119061-7212237</v>
      </c>
      <c r="F31" t="s">
        <v>30</v>
      </c>
      <c r="G31">
        <v>-2.1187105098893602</v>
      </c>
      <c r="H31">
        <v>0.35033248159336799</v>
      </c>
      <c r="I31">
        <v>-6.0477135898250802</v>
      </c>
      <c r="J31" s="1">
        <v>1.4691582841361699E-9</v>
      </c>
      <c r="K31" s="1">
        <v>7.9202323097780995E-7</v>
      </c>
      <c r="L31" t="s">
        <v>26</v>
      </c>
      <c r="M31" t="s">
        <v>27</v>
      </c>
      <c r="N31">
        <v>692.20311397145394</v>
      </c>
      <c r="O31">
        <v>1272.2391707907</v>
      </c>
      <c r="P31">
        <v>257.17607135702099</v>
      </c>
      <c r="Q31">
        <v>544.18438126138096</v>
      </c>
      <c r="R31">
        <v>1389.46181010808</v>
      </c>
      <c r="S31">
        <v>1883.0713210026399</v>
      </c>
      <c r="T31">
        <v>228.52788436739999</v>
      </c>
      <c r="U31">
        <v>248.15574586208101</v>
      </c>
      <c r="V31">
        <v>257.38468803408398</v>
      </c>
      <c r="W31">
        <v>294.63596716452003</v>
      </c>
    </row>
    <row r="32" spans="1:23" x14ac:dyDescent="0.2">
      <c r="A32" t="s">
        <v>87</v>
      </c>
      <c r="B32" s="3" t="str">
        <f>HYPERLINK("http://www.ncbi.nlm.nih.gov/gene/105243","Slc9a3")</f>
        <v>Slc9a3</v>
      </c>
      <c r="C32">
        <v>105243</v>
      </c>
      <c r="D32" t="s">
        <v>88</v>
      </c>
      <c r="E32" s="3" t="str">
        <f>HYPERLINK("http://genome.ucsc.edu/cgi-bin/hgTracks?db=mm10&amp;lastVirtModeType=default&amp;lastVirtModeExtraState=&amp;virtModeType=default&amp;virtMode=0&amp;nonVirtPosition=&amp;position=chr13:74121514-74166064","chr13:74121514-74166064")</f>
        <v>chr13:74121514-74166064</v>
      </c>
      <c r="F32" t="s">
        <v>25</v>
      </c>
      <c r="G32">
        <v>-3.07684445254114</v>
      </c>
      <c r="H32">
        <v>0.51153241561961105</v>
      </c>
      <c r="I32">
        <v>-6.0149549834768701</v>
      </c>
      <c r="J32" s="1">
        <v>1.7993669610474901E-9</v>
      </c>
      <c r="K32" s="1">
        <v>9.3874715680712898E-7</v>
      </c>
      <c r="L32" t="s">
        <v>26</v>
      </c>
      <c r="M32" t="s">
        <v>27</v>
      </c>
      <c r="N32">
        <v>89.6367889920691</v>
      </c>
      <c r="O32">
        <v>192.82244919966399</v>
      </c>
      <c r="P32">
        <v>12.247543836373</v>
      </c>
      <c r="Q32">
        <v>234.74620368138</v>
      </c>
      <c r="R32">
        <v>105.130363463599</v>
      </c>
      <c r="S32">
        <v>238.59078045401299</v>
      </c>
      <c r="T32">
        <v>24.531241824749099</v>
      </c>
      <c r="U32">
        <v>10.7021345924347</v>
      </c>
      <c r="V32">
        <v>8.5794896011361406</v>
      </c>
      <c r="W32">
        <v>5.1773093271720798</v>
      </c>
    </row>
    <row r="33" spans="1:23" x14ac:dyDescent="0.2">
      <c r="A33" t="s">
        <v>89</v>
      </c>
      <c r="B33" s="3" t="str">
        <f>HYPERLINK("http://www.ncbi.nlm.nih.gov/gene/208936","Adamts18")</f>
        <v>Adamts18</v>
      </c>
      <c r="C33">
        <v>208936</v>
      </c>
      <c r="D33" t="s">
        <v>90</v>
      </c>
      <c r="E33" s="3" t="str">
        <f>HYPERLINK("http://genome.ucsc.edu/cgi-bin/hgTracks?db=mm10&amp;lastVirtModeType=default&amp;lastVirtModeExtraState=&amp;virtModeType=default&amp;virtMode=0&amp;nonVirtPosition=&amp;position=chr8:113697123-113848839","chr8:113697123-113848839")</f>
        <v>chr8:113697123-113848839</v>
      </c>
      <c r="F33" t="s">
        <v>30</v>
      </c>
      <c r="G33">
        <v>-3.3248753346201401</v>
      </c>
      <c r="H33">
        <v>0.558217408130805</v>
      </c>
      <c r="I33">
        <v>-5.9562372763570801</v>
      </c>
      <c r="J33" s="1">
        <v>2.5811151124271698E-9</v>
      </c>
      <c r="K33" s="1">
        <v>1.3045117097901401E-6</v>
      </c>
      <c r="L33" t="s">
        <v>26</v>
      </c>
      <c r="M33" t="s">
        <v>27</v>
      </c>
      <c r="N33">
        <v>198.397500763838</v>
      </c>
      <c r="O33">
        <v>440.37292902420199</v>
      </c>
      <c r="P33">
        <v>16.915929568564898</v>
      </c>
      <c r="Q33">
        <v>448.151843391726</v>
      </c>
      <c r="R33">
        <v>366.28222174897201</v>
      </c>
      <c r="S33">
        <v>506.684721931909</v>
      </c>
      <c r="T33">
        <v>35.505744746347403</v>
      </c>
      <c r="U33">
        <v>8.69548435635323</v>
      </c>
      <c r="V33">
        <v>22.521160202982401</v>
      </c>
      <c r="W33">
        <v>0.94132896857674198</v>
      </c>
    </row>
    <row r="34" spans="1:23" x14ac:dyDescent="0.2">
      <c r="A34" t="s">
        <v>91</v>
      </c>
      <c r="B34" s="3" t="str">
        <f>HYPERLINK("http://www.ncbi.nlm.nih.gov/gene/19260","Ptpn22")</f>
        <v>Ptpn22</v>
      </c>
      <c r="C34">
        <v>19260</v>
      </c>
      <c r="D34" t="s">
        <v>92</v>
      </c>
      <c r="E34" s="3" t="str">
        <f>HYPERLINK("http://genome.ucsc.edu/cgi-bin/hgTracks?db=mm10&amp;lastVirtModeType=default&amp;lastVirtModeExtraState=&amp;virtModeType=default&amp;virtMode=0&amp;nonVirtPosition=&amp;position=chr3:103860276-103912252","chr3:103860276-103912252")</f>
        <v>chr3:103860276-103912252</v>
      </c>
      <c r="F34" t="s">
        <v>25</v>
      </c>
      <c r="G34">
        <v>-2.8321918643463802</v>
      </c>
      <c r="H34">
        <v>0.48141204304415702</v>
      </c>
      <c r="I34">
        <v>-5.8830930909773702</v>
      </c>
      <c r="J34" s="1">
        <v>4.0266928938778501E-9</v>
      </c>
      <c r="K34" s="1">
        <v>1.9734455809905002E-6</v>
      </c>
      <c r="L34" t="s">
        <v>26</v>
      </c>
      <c r="M34" t="s">
        <v>27</v>
      </c>
      <c r="N34">
        <v>149.21707305977901</v>
      </c>
      <c r="O34">
        <v>312.25898222298002</v>
      </c>
      <c r="P34">
        <v>26.935641187378199</v>
      </c>
      <c r="Q34">
        <v>565.52494523241603</v>
      </c>
      <c r="R34">
        <v>119.19238660204201</v>
      </c>
      <c r="S34">
        <v>252.05961483448101</v>
      </c>
      <c r="T34">
        <v>19.366769861643998</v>
      </c>
      <c r="U34">
        <v>40.801888133657499</v>
      </c>
      <c r="V34">
        <v>31.1006498041185</v>
      </c>
      <c r="W34">
        <v>16.473256950092999</v>
      </c>
    </row>
    <row r="35" spans="1:23" x14ac:dyDescent="0.2">
      <c r="A35" t="s">
        <v>93</v>
      </c>
      <c r="B35" s="3" t="str">
        <f>HYPERLINK("http://www.ncbi.nlm.nih.gov/gene/20513","Slc1a6")</f>
        <v>Slc1a6</v>
      </c>
      <c r="C35">
        <v>20513</v>
      </c>
      <c r="D35" t="s">
        <v>94</v>
      </c>
      <c r="E35" s="3" t="str">
        <f>HYPERLINK("http://genome.ucsc.edu/cgi-bin/hgTracks?db=mm10&amp;lastVirtModeType=default&amp;lastVirtModeExtraState=&amp;virtModeType=default&amp;virtMode=0&amp;nonVirtPosition=&amp;position=chr10:78780495-78814825","chr10:78780495-78814825")</f>
        <v>chr10:78780495-78814825</v>
      </c>
      <c r="F35" t="s">
        <v>25</v>
      </c>
      <c r="G35">
        <v>-2.3434672607378801</v>
      </c>
      <c r="H35">
        <v>0.401624687073803</v>
      </c>
      <c r="I35">
        <v>-5.8349681584868396</v>
      </c>
      <c r="J35" s="1">
        <v>5.38008404784451E-9</v>
      </c>
      <c r="K35" s="1">
        <v>2.5591793913467502E-6</v>
      </c>
      <c r="L35" t="s">
        <v>26</v>
      </c>
      <c r="M35" t="s">
        <v>27</v>
      </c>
      <c r="N35">
        <v>496.37492584130098</v>
      </c>
      <c r="O35">
        <v>954.40742029480498</v>
      </c>
      <c r="P35">
        <v>152.850555001175</v>
      </c>
      <c r="Q35">
        <v>288.09761360896601</v>
      </c>
      <c r="R35">
        <v>1262.2339817126399</v>
      </c>
      <c r="S35">
        <v>1312.89066556281</v>
      </c>
      <c r="T35">
        <v>173.65536975940799</v>
      </c>
      <c r="U35">
        <v>121.067897576918</v>
      </c>
      <c r="V35">
        <v>153.358376620309</v>
      </c>
      <c r="W35">
        <v>163.32057604806499</v>
      </c>
    </row>
    <row r="36" spans="1:23" x14ac:dyDescent="0.2">
      <c r="A36" t="s">
        <v>95</v>
      </c>
      <c r="B36" s="3" t="str">
        <f>HYPERLINK("http://www.ncbi.nlm.nih.gov/gene/330355","Dnah6")</f>
        <v>Dnah6</v>
      </c>
      <c r="C36">
        <v>330355</v>
      </c>
      <c r="D36" t="s">
        <v>96</v>
      </c>
      <c r="E36" s="3" t="str">
        <f>HYPERLINK("http://genome.ucsc.edu/cgi-bin/hgTracks?db=mm10&amp;lastVirtModeType=default&amp;lastVirtModeExtraState=&amp;virtModeType=default&amp;virtMode=0&amp;nonVirtPosition=&amp;position=chr6:73017606-73221631","chr6:73017606-73221631")</f>
        <v>chr6:73017606-73221631</v>
      </c>
      <c r="F36" t="s">
        <v>30</v>
      </c>
      <c r="G36">
        <v>-2.4311916361149399</v>
      </c>
      <c r="H36">
        <v>0.42690705109458499</v>
      </c>
      <c r="I36">
        <v>-5.69489688652693</v>
      </c>
      <c r="J36" s="1">
        <v>1.2344650434417E-8</v>
      </c>
      <c r="K36" s="1">
        <v>5.7042866135950298E-6</v>
      </c>
      <c r="L36" t="s">
        <v>26</v>
      </c>
      <c r="M36" t="s">
        <v>27</v>
      </c>
      <c r="N36">
        <v>250.16377205592099</v>
      </c>
      <c r="O36">
        <v>492.85782987965098</v>
      </c>
      <c r="P36">
        <v>68.143228688123102</v>
      </c>
      <c r="Q36">
        <v>789.60086692827804</v>
      </c>
      <c r="R36">
        <v>307.355648597401</v>
      </c>
      <c r="S36">
        <v>381.61697411327299</v>
      </c>
      <c r="T36">
        <v>36.796862737123703</v>
      </c>
      <c r="U36">
        <v>116.385713692728</v>
      </c>
      <c r="V36">
        <v>71.853225409515204</v>
      </c>
      <c r="W36">
        <v>47.537112913125398</v>
      </c>
    </row>
    <row r="37" spans="1:23" x14ac:dyDescent="0.2">
      <c r="A37" t="s">
        <v>97</v>
      </c>
      <c r="B37" s="3" t="str">
        <f>HYPERLINK("http://www.ncbi.nlm.nih.gov/gene/110380","Shroom2")</f>
        <v>Shroom2</v>
      </c>
      <c r="C37">
        <v>110380</v>
      </c>
      <c r="D37" s="6" t="s">
        <v>98</v>
      </c>
      <c r="E37" s="3" t="str">
        <f>HYPERLINK("http://genome.ucsc.edu/cgi-bin/hgTracks?db=mm10&amp;lastVirtModeType=default&amp;lastVirtModeExtraState=&amp;virtModeType=default&amp;virtMode=0&amp;nonVirtPosition=&amp;position=chrX:152609508-152644149","chrX:152609508-152644149")</f>
        <v>chrX:152609508-152644149</v>
      </c>
      <c r="F37" t="s">
        <v>30</v>
      </c>
      <c r="G37" s="4">
        <v>1.2790681477029899</v>
      </c>
      <c r="H37">
        <v>0.22548624948540399</v>
      </c>
      <c r="I37">
        <v>5.6724884582631097</v>
      </c>
      <c r="J37" s="1">
        <v>1.40738005377781E-8</v>
      </c>
      <c r="K37" s="1">
        <v>6.3226548915968004E-6</v>
      </c>
      <c r="L37" t="s">
        <v>26</v>
      </c>
      <c r="M37" t="s">
        <v>27</v>
      </c>
      <c r="N37">
        <v>1816.90840181108</v>
      </c>
      <c r="O37">
        <v>977.89249373417499</v>
      </c>
      <c r="P37">
        <v>2446.1703328687499</v>
      </c>
      <c r="Q37">
        <v>1003.00650663862</v>
      </c>
      <c r="R37">
        <v>1082.77578166013</v>
      </c>
      <c r="S37">
        <v>847.89519290377598</v>
      </c>
      <c r="T37">
        <v>2886.2942683803499</v>
      </c>
      <c r="U37">
        <v>1938.4241280547401</v>
      </c>
      <c r="V37">
        <v>2279.9993615019298</v>
      </c>
      <c r="W37">
        <v>2679.9635735379802</v>
      </c>
    </row>
    <row r="38" spans="1:23" x14ac:dyDescent="0.2">
      <c r="A38" t="s">
        <v>99</v>
      </c>
      <c r="B38" s="3" t="str">
        <f>HYPERLINK("http://www.ncbi.nlm.nih.gov/gene/12555","Cdh15")</f>
        <v>Cdh15</v>
      </c>
      <c r="C38">
        <v>12555</v>
      </c>
      <c r="D38" t="s">
        <v>100</v>
      </c>
      <c r="E38" s="3" t="str">
        <f>HYPERLINK("http://genome.ucsc.edu/cgi-bin/hgTracks?db=mm10&amp;lastVirtModeType=default&amp;lastVirtModeExtraState=&amp;virtModeType=default&amp;virtMode=0&amp;nonVirtPosition=&amp;position=chr8:122848373-122867397","chr8:122848373-122867397")</f>
        <v>chr8:122848373-122867397</v>
      </c>
      <c r="F38" t="s">
        <v>25</v>
      </c>
      <c r="G38">
        <v>-3.0017227418134702</v>
      </c>
      <c r="H38">
        <v>0.53672613178418704</v>
      </c>
      <c r="I38">
        <v>-5.5926524982771504</v>
      </c>
      <c r="J38" s="1">
        <v>2.2362658719315801E-8</v>
      </c>
      <c r="K38" s="1">
        <v>9.7748994450674202E-6</v>
      </c>
      <c r="L38" t="s">
        <v>26</v>
      </c>
      <c r="M38" t="s">
        <v>27</v>
      </c>
      <c r="N38">
        <v>158.36530617263199</v>
      </c>
      <c r="O38">
        <v>340.96086457124301</v>
      </c>
      <c r="P38">
        <v>21.418637373674599</v>
      </c>
      <c r="Q38">
        <v>149.383947797242</v>
      </c>
      <c r="R38">
        <v>318.06957098859601</v>
      </c>
      <c r="S38">
        <v>555.42907492789004</v>
      </c>
      <c r="T38">
        <v>23.885682829360999</v>
      </c>
      <c r="U38">
        <v>12.0399014164891</v>
      </c>
      <c r="V38">
        <v>45.042320405964702</v>
      </c>
      <c r="W38">
        <v>4.7066448428837102</v>
      </c>
    </row>
    <row r="39" spans="1:23" x14ac:dyDescent="0.2">
      <c r="A39" t="s">
        <v>101</v>
      </c>
      <c r="B39" s="3" t="str">
        <f>HYPERLINK("http://www.ncbi.nlm.nih.gov/gene/63953","Dusp10")</f>
        <v>Dusp10</v>
      </c>
      <c r="C39">
        <v>63953</v>
      </c>
      <c r="D39" t="s">
        <v>102</v>
      </c>
      <c r="E39" s="3" t="str">
        <f>HYPERLINK("http://genome.ucsc.edu/cgi-bin/hgTracks?db=mm10&amp;lastVirtModeType=default&amp;lastVirtModeExtraState=&amp;virtModeType=default&amp;virtMode=0&amp;nonVirtPosition=&amp;position=chr1:184034460-184075636","chr1:184034460-184075636")</f>
        <v>chr1:184034460-184075636</v>
      </c>
      <c r="F39" t="s">
        <v>25</v>
      </c>
      <c r="G39">
        <v>-1.2256711415720201</v>
      </c>
      <c r="H39">
        <v>0.22200655934591301</v>
      </c>
      <c r="I39">
        <v>-5.5208780550590797</v>
      </c>
      <c r="J39" s="1">
        <v>3.373098195384E-8</v>
      </c>
      <c r="K39" s="1">
        <v>1.43560834510383E-5</v>
      </c>
      <c r="L39" t="s">
        <v>26</v>
      </c>
      <c r="M39" t="s">
        <v>27</v>
      </c>
      <c r="N39">
        <v>339.67969187008703</v>
      </c>
      <c r="O39">
        <v>505.05113386694097</v>
      </c>
      <c r="P39">
        <v>215.65111037244699</v>
      </c>
      <c r="Q39">
        <v>384.130151478622</v>
      </c>
      <c r="R39">
        <v>523.64295686964601</v>
      </c>
      <c r="S39">
        <v>607.380293252554</v>
      </c>
      <c r="T39">
        <v>229.81900235817599</v>
      </c>
      <c r="U39">
        <v>228.75812691329301</v>
      </c>
      <c r="V39">
        <v>194.11095222570501</v>
      </c>
      <c r="W39">
        <v>209.916359992613</v>
      </c>
    </row>
    <row r="40" spans="1:23" x14ac:dyDescent="0.2">
      <c r="A40" t="s">
        <v>103</v>
      </c>
      <c r="B40" s="3" t="str">
        <f>HYPERLINK("http://www.ncbi.nlm.nih.gov/gene/230157","Tmeff1")</f>
        <v>Tmeff1</v>
      </c>
      <c r="C40">
        <v>230157</v>
      </c>
      <c r="D40" s="5" t="s">
        <v>104</v>
      </c>
      <c r="E40" s="3" t="str">
        <f>HYPERLINK("http://genome.ucsc.edu/cgi-bin/hgTracks?db=mm10&amp;lastVirtModeType=default&amp;lastVirtModeExtraState=&amp;virtModeType=default&amp;virtMode=0&amp;nonVirtPosition=&amp;position=chr4:48585192-48663131","chr4:48585192-48663131")</f>
        <v>chr4:48585192-48663131</v>
      </c>
      <c r="F40" t="s">
        <v>25</v>
      </c>
      <c r="G40" s="4">
        <v>1.1781226583328199</v>
      </c>
      <c r="H40">
        <v>0.216536771672621</v>
      </c>
      <c r="I40">
        <v>5.4407510060877904</v>
      </c>
      <c r="J40" s="1">
        <v>5.3056426743438798E-8</v>
      </c>
      <c r="K40" s="1">
        <v>2.20020920441445E-5</v>
      </c>
      <c r="L40" t="s">
        <v>26</v>
      </c>
      <c r="M40" t="s">
        <v>27</v>
      </c>
      <c r="N40">
        <v>1659.5448718080099</v>
      </c>
      <c r="O40">
        <v>941.53466580760301</v>
      </c>
      <c r="P40">
        <v>2198.05252630833</v>
      </c>
      <c r="Q40">
        <v>885.63340479793396</v>
      </c>
      <c r="R40">
        <v>960.235294310835</v>
      </c>
      <c r="S40">
        <v>978.73529831404096</v>
      </c>
      <c r="T40">
        <v>2067.07990323281</v>
      </c>
      <c r="U40">
        <v>2389.25154776106</v>
      </c>
      <c r="V40">
        <v>1718.0427926275099</v>
      </c>
      <c r="W40">
        <v>2617.8358616119199</v>
      </c>
    </row>
    <row r="41" spans="1:23" x14ac:dyDescent="0.2">
      <c r="A41" t="s">
        <v>105</v>
      </c>
      <c r="B41" s="3" t="str">
        <f>HYPERLINK("http://www.ncbi.nlm.nih.gov/gene/227545","Proser2")</f>
        <v>Proser2</v>
      </c>
      <c r="C41">
        <v>227545</v>
      </c>
      <c r="D41" t="s">
        <v>106</v>
      </c>
      <c r="E41" s="3" t="str">
        <f>HYPERLINK("http://genome.ucsc.edu/cgi-bin/hgTracks?db=mm10&amp;lastVirtModeType=default&amp;lastVirtModeExtraState=&amp;virtModeType=default&amp;virtMode=0&amp;nonVirtPosition=&amp;position=chr2:6098499-6130185","chr2:6098499-6130185")</f>
        <v>chr2:6098499-6130185</v>
      </c>
      <c r="F41" t="s">
        <v>30</v>
      </c>
      <c r="G41">
        <v>-2.0364530977031099</v>
      </c>
      <c r="H41">
        <v>0.37653340911632399</v>
      </c>
      <c r="I41">
        <v>-5.4084260477241797</v>
      </c>
      <c r="J41" s="1">
        <v>6.3581030534538798E-8</v>
      </c>
      <c r="K41" s="1">
        <v>2.5707400170877398E-5</v>
      </c>
      <c r="L41" t="s">
        <v>26</v>
      </c>
      <c r="M41" t="s">
        <v>27</v>
      </c>
      <c r="N41">
        <v>159.98634720300501</v>
      </c>
      <c r="O41">
        <v>294.59819907027401</v>
      </c>
      <c r="P41">
        <v>59.027458302553299</v>
      </c>
      <c r="Q41">
        <v>426.81127942069099</v>
      </c>
      <c r="R41">
        <v>190.17212244370799</v>
      </c>
      <c r="S41">
        <v>266.81119534642301</v>
      </c>
      <c r="T41">
        <v>52.290278626438898</v>
      </c>
      <c r="U41">
        <v>74.914942147043206</v>
      </c>
      <c r="V41">
        <v>70.780789209373197</v>
      </c>
      <c r="W41">
        <v>38.123823227358002</v>
      </c>
    </row>
    <row r="42" spans="1:23" x14ac:dyDescent="0.2">
      <c r="A42" t="s">
        <v>107</v>
      </c>
      <c r="B42" s="3" t="str">
        <f>HYPERLINK("http://www.ncbi.nlm.nih.gov/gene/208151","Tmem132b")</f>
        <v>Tmem132b</v>
      </c>
      <c r="C42">
        <v>208151</v>
      </c>
      <c r="D42" s="5" t="s">
        <v>108</v>
      </c>
      <c r="E42" s="3" t="str">
        <f>HYPERLINK("http://genome.ucsc.edu/cgi-bin/hgTracks?db=mm10&amp;lastVirtModeType=default&amp;lastVirtModeExtraState=&amp;virtModeType=default&amp;virtMode=0&amp;nonVirtPosition=&amp;position=chr5:125532417-125792583","chr5:125532417-125792583")</f>
        <v>chr5:125532417-125792583</v>
      </c>
      <c r="F42" t="s">
        <v>25</v>
      </c>
      <c r="G42" s="4">
        <v>1.7345601369592001</v>
      </c>
      <c r="H42">
        <v>0.32636710241713501</v>
      </c>
      <c r="I42">
        <v>5.3147517752638898</v>
      </c>
      <c r="J42" s="1">
        <v>1.0680281596541201E-7</v>
      </c>
      <c r="K42" s="1">
        <v>4.2129803478258803E-5</v>
      </c>
      <c r="L42" t="s">
        <v>26</v>
      </c>
      <c r="M42" t="s">
        <v>27</v>
      </c>
      <c r="N42">
        <v>4176.6871235009603</v>
      </c>
      <c r="O42">
        <v>1646.72845469244</v>
      </c>
      <c r="P42">
        <v>6074.1561251073599</v>
      </c>
      <c r="Q42">
        <v>1397.8069401027601</v>
      </c>
      <c r="R42">
        <v>1689.4516370615299</v>
      </c>
      <c r="S42">
        <v>1852.9267869130199</v>
      </c>
      <c r="T42">
        <v>6922.3291075469697</v>
      </c>
      <c r="U42">
        <v>5966.4400352823704</v>
      </c>
      <c r="V42">
        <v>3267.71310183273</v>
      </c>
      <c r="W42">
        <v>8140.1422557673704</v>
      </c>
    </row>
    <row r="43" spans="1:23" x14ac:dyDescent="0.2">
      <c r="A43" t="s">
        <v>109</v>
      </c>
      <c r="B43" s="3" t="str">
        <f>HYPERLINK("http://www.ncbi.nlm.nih.gov/gene/104885","Tmem179")</f>
        <v>Tmem179</v>
      </c>
      <c r="C43">
        <v>104885</v>
      </c>
      <c r="D43" s="5" t="s">
        <v>110</v>
      </c>
      <c r="E43" s="3" t="str">
        <f>HYPERLINK("http://genome.ucsc.edu/cgi-bin/hgTracks?db=mm10&amp;lastVirtModeType=default&amp;lastVirtModeExtraState=&amp;virtModeType=default&amp;virtMode=0&amp;nonVirtPosition=&amp;position=chr12:112500183-112511160","chr12:112500183-112511160")</f>
        <v>chr12:112500183-112511160</v>
      </c>
      <c r="F43" t="s">
        <v>30</v>
      </c>
      <c r="G43" s="4">
        <v>1.26028662064399</v>
      </c>
      <c r="H43">
        <v>0.23845318647194699</v>
      </c>
      <c r="I43">
        <v>5.2852580386559902</v>
      </c>
      <c r="J43" s="1">
        <v>1.2552768928612399E-7</v>
      </c>
      <c r="K43" s="1">
        <v>4.8337126638678298E-5</v>
      </c>
      <c r="L43" t="s">
        <v>26</v>
      </c>
      <c r="M43" t="s">
        <v>27</v>
      </c>
      <c r="N43">
        <v>1383.3636515814801</v>
      </c>
      <c r="O43">
        <v>762.38905999733504</v>
      </c>
      <c r="P43">
        <v>1849.0945952695899</v>
      </c>
      <c r="Q43">
        <v>992.33622465310702</v>
      </c>
      <c r="R43">
        <v>742.60874573968999</v>
      </c>
      <c r="S43">
        <v>552.22220959920696</v>
      </c>
      <c r="T43">
        <v>1892.77897447801</v>
      </c>
      <c r="U43">
        <v>2025.37897161828</v>
      </c>
      <c r="V43">
        <v>1709.4633030263799</v>
      </c>
      <c r="W43">
        <v>1768.7571319557001</v>
      </c>
    </row>
    <row r="44" spans="1:23" x14ac:dyDescent="0.2">
      <c r="A44" t="s">
        <v>111</v>
      </c>
      <c r="B44" s="3" t="str">
        <f>HYPERLINK("http://www.ncbi.nlm.nih.gov/gene/21419","Tfap2b")</f>
        <v>Tfap2b</v>
      </c>
      <c r="C44">
        <v>21419</v>
      </c>
      <c r="D44" t="s">
        <v>112</v>
      </c>
      <c r="E44" s="3" t="str">
        <f>HYPERLINK("http://genome.ucsc.edu/cgi-bin/hgTracks?db=mm10&amp;lastVirtModeType=default&amp;lastVirtModeExtraState=&amp;virtModeType=default&amp;virtMode=0&amp;nonVirtPosition=&amp;position=chr1:19208913-19238845","chr1:19208913-19238845")</f>
        <v>chr1:19208913-19238845</v>
      </c>
      <c r="F44" t="s">
        <v>25</v>
      </c>
      <c r="G44">
        <v>-2.8803502248977302</v>
      </c>
      <c r="H44">
        <v>0.54603715987552404</v>
      </c>
      <c r="I44">
        <v>-5.2750077037876801</v>
      </c>
      <c r="J44" s="1">
        <v>1.32750510923056E-7</v>
      </c>
      <c r="K44" s="1">
        <v>4.9929628212990203E-5</v>
      </c>
      <c r="L44" t="s">
        <v>26</v>
      </c>
      <c r="M44" t="s">
        <v>27</v>
      </c>
      <c r="N44">
        <v>270.51256193862002</v>
      </c>
      <c r="O44">
        <v>580.57862286582599</v>
      </c>
      <c r="P44">
        <v>37.963016243215101</v>
      </c>
      <c r="Q44">
        <v>586.86550920344996</v>
      </c>
      <c r="R44">
        <v>480.78726730486699</v>
      </c>
      <c r="S44">
        <v>674.08309208916</v>
      </c>
      <c r="T44">
        <v>27.113477806301599</v>
      </c>
      <c r="U44">
        <v>36.119704249467297</v>
      </c>
      <c r="V44">
        <v>85.794896011361402</v>
      </c>
      <c r="W44">
        <v>2.8239869057302198</v>
      </c>
    </row>
    <row r="45" spans="1:23" x14ac:dyDescent="0.2">
      <c r="A45" t="s">
        <v>113</v>
      </c>
      <c r="B45" s="3" t="str">
        <f>HYPERLINK("http://www.ncbi.nlm.nih.gov/gene/18753","Prkcd")</f>
        <v>Prkcd</v>
      </c>
      <c r="C45">
        <v>18753</v>
      </c>
      <c r="D45" t="s">
        <v>114</v>
      </c>
      <c r="E45" s="3" t="str">
        <f>HYPERLINK("http://genome.ucsc.edu/cgi-bin/hgTracks?db=mm10&amp;lastVirtModeType=default&amp;lastVirtModeExtraState=&amp;virtModeType=default&amp;virtMode=0&amp;nonVirtPosition=&amp;position=chr14:30595353-30610310","chr14:30595353-30610310")</f>
        <v>chr14:30595353-30610310</v>
      </c>
      <c r="F45" t="s">
        <v>30</v>
      </c>
      <c r="G45">
        <v>-1.3138491831719299</v>
      </c>
      <c r="H45">
        <v>0.25182925174991</v>
      </c>
      <c r="I45">
        <v>-5.2172222807408497</v>
      </c>
      <c r="J45" s="1">
        <v>1.8162625083712501E-7</v>
      </c>
      <c r="K45" s="1">
        <v>6.6569637270556901E-5</v>
      </c>
      <c r="L45" t="s">
        <v>26</v>
      </c>
      <c r="M45" t="s">
        <v>27</v>
      </c>
      <c r="N45">
        <v>733.02213540815103</v>
      </c>
      <c r="O45">
        <v>1124.3438935028801</v>
      </c>
      <c r="P45">
        <v>439.53081683710201</v>
      </c>
      <c r="Q45">
        <v>832.28199487034703</v>
      </c>
      <c r="R45">
        <v>1070.72261897003</v>
      </c>
      <c r="S45">
        <v>1470.02706666827</v>
      </c>
      <c r="T45">
        <v>352.47521148192101</v>
      </c>
      <c r="U45">
        <v>484.94047371969901</v>
      </c>
      <c r="V45">
        <v>485.81359866433399</v>
      </c>
      <c r="W45">
        <v>434.89398348245498</v>
      </c>
    </row>
    <row r="46" spans="1:23" x14ac:dyDescent="0.2">
      <c r="A46" t="s">
        <v>115</v>
      </c>
      <c r="B46" s="3" t="str">
        <f>HYPERLINK("http://www.ncbi.nlm.nih.gov/gene/12319","Car8")</f>
        <v>Car8</v>
      </c>
      <c r="C46">
        <v>12319</v>
      </c>
      <c r="D46" t="s">
        <v>116</v>
      </c>
      <c r="E46" s="3" t="str">
        <f>HYPERLINK("http://genome.ucsc.edu/cgi-bin/hgTracks?db=mm10&amp;lastVirtModeType=default&amp;lastVirtModeExtraState=&amp;virtModeType=default&amp;virtMode=0&amp;nonVirtPosition=&amp;position=chr4:8141492-8239041","chr4:8141492-8239041")</f>
        <v>chr4:8141492-8239041</v>
      </c>
      <c r="F46" t="s">
        <v>30</v>
      </c>
      <c r="G46">
        <v>-2.9809339853346701</v>
      </c>
      <c r="H46">
        <v>0.57176267012349602</v>
      </c>
      <c r="I46">
        <v>-5.2135862327122702</v>
      </c>
      <c r="J46" s="1">
        <v>1.8522436636214999E-7</v>
      </c>
      <c r="K46" s="1">
        <v>6.6569637270556901E-5</v>
      </c>
      <c r="L46" t="s">
        <v>26</v>
      </c>
      <c r="M46" t="s">
        <v>27</v>
      </c>
      <c r="N46">
        <v>5724.3599245183304</v>
      </c>
      <c r="O46">
        <v>12551.168895225201</v>
      </c>
      <c r="P46">
        <v>604.25319648817697</v>
      </c>
      <c r="Q46">
        <v>618.87635516000205</v>
      </c>
      <c r="R46">
        <v>12235.2993707445</v>
      </c>
      <c r="S46">
        <v>24799.330959771101</v>
      </c>
      <c r="T46">
        <v>540.97843813525697</v>
      </c>
      <c r="U46">
        <v>775.23587453949199</v>
      </c>
      <c r="V46">
        <v>284.19559303763498</v>
      </c>
      <c r="W46">
        <v>816.60288024032297</v>
      </c>
    </row>
    <row r="47" spans="1:23" x14ac:dyDescent="0.2">
      <c r="A47" t="s">
        <v>117</v>
      </c>
      <c r="B47" s="3" t="str">
        <f>HYPERLINK("http://www.ncbi.nlm.nih.gov/gene/12845","Comp")</f>
        <v>Comp</v>
      </c>
      <c r="C47">
        <v>12845</v>
      </c>
      <c r="D47" t="s">
        <v>118</v>
      </c>
      <c r="E47" s="3" t="str">
        <f>HYPERLINK("http://genome.ucsc.edu/cgi-bin/hgTracks?db=mm10&amp;lastVirtModeType=default&amp;lastVirtModeExtraState=&amp;virtModeType=default&amp;virtMode=0&amp;nonVirtPosition=&amp;position=chr8:70373547-70382066","chr8:70373547-70382066")</f>
        <v>chr8:70373547-70382066</v>
      </c>
      <c r="F47" t="s">
        <v>25</v>
      </c>
      <c r="G47">
        <v>-2.8150178022133598</v>
      </c>
      <c r="H47">
        <v>0.54532974505898701</v>
      </c>
      <c r="I47">
        <v>-5.1620470508332001</v>
      </c>
      <c r="J47" s="1">
        <v>2.4426387253525702E-7</v>
      </c>
      <c r="K47" s="1">
        <v>8.4555319014131198E-5</v>
      </c>
      <c r="L47" t="s">
        <v>26</v>
      </c>
      <c r="M47" t="s">
        <v>27</v>
      </c>
      <c r="N47">
        <v>65.674823579394698</v>
      </c>
      <c r="O47">
        <v>140.758939575933</v>
      </c>
      <c r="P47">
        <v>9.36173658199111</v>
      </c>
      <c r="Q47">
        <v>224.075921695863</v>
      </c>
      <c r="R47">
        <v>30.8025268746851</v>
      </c>
      <c r="S47">
        <v>167.39837015725101</v>
      </c>
      <c r="T47">
        <v>7.7467079446576097</v>
      </c>
      <c r="U47">
        <v>10.0332511804076</v>
      </c>
      <c r="V47">
        <v>10.7243620014202</v>
      </c>
      <c r="W47">
        <v>8.9426252014790393</v>
      </c>
    </row>
    <row r="48" spans="1:23" x14ac:dyDescent="0.2">
      <c r="A48" t="s">
        <v>119</v>
      </c>
      <c r="B48" s="3" t="str">
        <f>HYPERLINK("http://www.ncbi.nlm.nih.gov/gene/229687","Chil5")</f>
        <v>Chil5</v>
      </c>
      <c r="C48">
        <v>229687</v>
      </c>
      <c r="D48" t="s">
        <v>120</v>
      </c>
      <c r="E48" s="3" t="str">
        <f>HYPERLINK("http://genome.ucsc.edu/cgi-bin/hgTracks?db=mm10&amp;lastVirtModeType=default&amp;lastVirtModeExtraState=&amp;virtModeType=default&amp;virtMode=0&amp;nonVirtPosition=&amp;position=chr3:106016918-106032895","chr3:106016918-106032895")</f>
        <v>chr3:106016918-106032895</v>
      </c>
      <c r="F48" t="s">
        <v>30</v>
      </c>
      <c r="G48">
        <v>-2.9690105666478002</v>
      </c>
      <c r="H48">
        <v>0.57528581502418097</v>
      </c>
      <c r="I48">
        <v>-5.1609312955561197</v>
      </c>
      <c r="J48" s="1">
        <v>2.4572435501540602E-7</v>
      </c>
      <c r="K48" s="1">
        <v>8.4555319014131198E-5</v>
      </c>
      <c r="L48" t="s">
        <v>26</v>
      </c>
      <c r="M48" t="s">
        <v>27</v>
      </c>
      <c r="N48">
        <v>37.900862491347503</v>
      </c>
      <c r="O48">
        <v>83.100024059212004</v>
      </c>
      <c r="P48">
        <v>4.0014913154492104</v>
      </c>
      <c r="Q48">
        <v>32.010845956551798</v>
      </c>
      <c r="R48">
        <v>57.587332852672098</v>
      </c>
      <c r="S48">
        <v>159.70189336841199</v>
      </c>
      <c r="T48">
        <v>5.8100309584932104</v>
      </c>
      <c r="U48">
        <v>3.3444170601358598</v>
      </c>
      <c r="V48">
        <v>2.14487240028404</v>
      </c>
      <c r="W48">
        <v>4.7066448428837102</v>
      </c>
    </row>
    <row r="49" spans="1:23" x14ac:dyDescent="0.2">
      <c r="A49" t="s">
        <v>121</v>
      </c>
      <c r="B49" s="3" t="str">
        <f>HYPERLINK("http://www.ncbi.nlm.nih.gov/gene/22255","Uncx")</f>
        <v>Uncx</v>
      </c>
      <c r="C49">
        <v>22255</v>
      </c>
      <c r="D49" t="s">
        <v>122</v>
      </c>
      <c r="E49" s="3" t="str">
        <f>HYPERLINK("http://genome.ucsc.edu/cgi-bin/hgTracks?db=mm10&amp;lastVirtModeType=default&amp;lastVirtModeExtraState=&amp;virtModeType=default&amp;virtMode=0&amp;nonVirtPosition=&amp;position=chr5:139543897-139548178","chr5:139543897-139548178")</f>
        <v>chr5:139543897-139548178</v>
      </c>
      <c r="F49" t="s">
        <v>25</v>
      </c>
      <c r="G49">
        <v>-3.0713736546773598</v>
      </c>
      <c r="H49">
        <v>0.59938601697277505</v>
      </c>
      <c r="I49">
        <v>-5.1241997105462396</v>
      </c>
      <c r="J49" s="1">
        <v>2.9880414385789402E-7</v>
      </c>
      <c r="K49">
        <v>1.00678321221119E-4</v>
      </c>
      <c r="L49" t="s">
        <v>26</v>
      </c>
      <c r="M49" t="s">
        <v>27</v>
      </c>
      <c r="N49">
        <v>140.99178130129201</v>
      </c>
      <c r="O49">
        <v>317.46957689268999</v>
      </c>
      <c r="P49">
        <v>8.6334346077442401</v>
      </c>
      <c r="Q49">
        <v>576.19522721793305</v>
      </c>
      <c r="R49">
        <v>115.174665705344</v>
      </c>
      <c r="S49">
        <v>261.03883775479301</v>
      </c>
      <c r="T49">
        <v>0.64555899538813499</v>
      </c>
      <c r="U49">
        <v>14.7154350645978</v>
      </c>
      <c r="V49">
        <v>18.231415402414299</v>
      </c>
      <c r="W49">
        <v>0.94132896857674198</v>
      </c>
    </row>
    <row r="50" spans="1:23" x14ac:dyDescent="0.2">
      <c r="A50" t="s">
        <v>123</v>
      </c>
      <c r="B50" s="3" t="str">
        <f>HYPERLINK("http://www.ncbi.nlm.nih.gov/gene/53313","Atp2a3")</f>
        <v>Atp2a3</v>
      </c>
      <c r="C50">
        <v>53313</v>
      </c>
      <c r="D50" t="s">
        <v>124</v>
      </c>
      <c r="E50" s="3" t="str">
        <f>HYPERLINK("http://genome.ucsc.edu/cgi-bin/hgTracks?db=mm10&amp;lastVirtModeType=default&amp;lastVirtModeExtraState=&amp;virtModeType=default&amp;virtMode=0&amp;nonVirtPosition=&amp;position=chr11:72961168-72993043","chr11:72961168-72993043")</f>
        <v>chr11:72961168-72993043</v>
      </c>
      <c r="F50" t="s">
        <v>25</v>
      </c>
      <c r="G50">
        <v>-2.81022718572624</v>
      </c>
      <c r="H50">
        <v>0.55007799590712902</v>
      </c>
      <c r="I50">
        <v>-5.1087794942459297</v>
      </c>
      <c r="J50" s="1">
        <v>3.2424649410936598E-7</v>
      </c>
      <c r="K50">
        <v>1.0702119488226099E-4</v>
      </c>
      <c r="L50" t="s">
        <v>26</v>
      </c>
      <c r="M50" t="s">
        <v>27</v>
      </c>
      <c r="N50">
        <v>888.13010035541299</v>
      </c>
      <c r="O50">
        <v>1899.7117643075101</v>
      </c>
      <c r="P50">
        <v>129.44385239133899</v>
      </c>
      <c r="Q50">
        <v>437.48156140620802</v>
      </c>
      <c r="R50">
        <v>1957.2996968414</v>
      </c>
      <c r="S50">
        <v>3304.3540346749301</v>
      </c>
      <c r="T50">
        <v>178.81984172251299</v>
      </c>
      <c r="U50">
        <v>183.274054895445</v>
      </c>
      <c r="V50">
        <v>141.561578418746</v>
      </c>
      <c r="W50">
        <v>14.1199345286511</v>
      </c>
    </row>
    <row r="51" spans="1:23" x14ac:dyDescent="0.2">
      <c r="A51" t="s">
        <v>125</v>
      </c>
      <c r="B51" s="3" t="str">
        <f>HYPERLINK("http://www.ncbi.nlm.nih.gov/gene/227157","Mpp4")</f>
        <v>Mpp4</v>
      </c>
      <c r="C51">
        <v>227157</v>
      </c>
      <c r="D51" t="s">
        <v>126</v>
      </c>
      <c r="E51" s="3" t="str">
        <f>HYPERLINK("http://genome.ucsc.edu/cgi-bin/hgTracks?db=mm10&amp;lastVirtModeType=default&amp;lastVirtModeExtraState=&amp;virtModeType=default&amp;virtMode=0&amp;nonVirtPosition=&amp;position=chr1:59120934-59163389","chr1:59120934-59163389")</f>
        <v>chr1:59120934-59163389</v>
      </c>
      <c r="F51" t="s">
        <v>30</v>
      </c>
      <c r="G51">
        <v>-2.8325090114358402</v>
      </c>
      <c r="H51">
        <v>0.55862753739145798</v>
      </c>
      <c r="I51">
        <v>-5.0704786675257703</v>
      </c>
      <c r="J51" s="1">
        <v>3.9681639500022402E-7</v>
      </c>
      <c r="K51">
        <v>1.28354231126772E-4</v>
      </c>
      <c r="L51" t="s">
        <v>26</v>
      </c>
      <c r="M51" t="s">
        <v>27</v>
      </c>
      <c r="N51">
        <v>70.457022937097307</v>
      </c>
      <c r="O51">
        <v>152.5753967389</v>
      </c>
      <c r="P51">
        <v>8.86824258574552</v>
      </c>
      <c r="Q51">
        <v>320.10845956551799</v>
      </c>
      <c r="R51">
        <v>54.239232105423703</v>
      </c>
      <c r="S51">
        <v>83.378498545757097</v>
      </c>
      <c r="T51">
        <v>9.6833849308220206</v>
      </c>
      <c r="U51">
        <v>14.046551652570599</v>
      </c>
      <c r="V51">
        <v>7.5070534009941197</v>
      </c>
      <c r="W51">
        <v>4.2359803585953397</v>
      </c>
    </row>
    <row r="52" spans="1:23" x14ac:dyDescent="0.2">
      <c r="A52" t="s">
        <v>127</v>
      </c>
      <c r="B52" s="3" t="str">
        <f>HYPERLINK("http://www.ncbi.nlm.nih.gov/gene/60510","Syt9")</f>
        <v>Syt9</v>
      </c>
      <c r="C52">
        <v>60510</v>
      </c>
      <c r="D52" t="s">
        <v>128</v>
      </c>
      <c r="E52" s="3" t="str">
        <f>HYPERLINK("http://genome.ucsc.edu/cgi-bin/hgTracks?db=mm10&amp;lastVirtModeType=default&amp;lastVirtModeExtraState=&amp;virtModeType=default&amp;virtMode=0&amp;nonVirtPosition=&amp;position=chr7:107370789-107548655","chr7:107370789-107548655")</f>
        <v>chr7:107370789-107548655</v>
      </c>
      <c r="F52" t="s">
        <v>25</v>
      </c>
      <c r="G52">
        <v>-1.6877300360807701</v>
      </c>
      <c r="H52">
        <v>0.33390567863698101</v>
      </c>
      <c r="I52">
        <v>-5.0545113307751102</v>
      </c>
      <c r="J52" s="1">
        <v>4.3149414250094799E-7</v>
      </c>
      <c r="K52">
        <v>1.3683440718956501E-4</v>
      </c>
      <c r="L52" t="s">
        <v>26</v>
      </c>
      <c r="M52" t="s">
        <v>27</v>
      </c>
      <c r="N52">
        <v>374.81897111163698</v>
      </c>
      <c r="O52">
        <v>634.01067372018599</v>
      </c>
      <c r="P52">
        <v>180.425194155226</v>
      </c>
      <c r="Q52">
        <v>480.16268934827701</v>
      </c>
      <c r="R52">
        <v>622.07711883874902</v>
      </c>
      <c r="S52">
        <v>799.79221297353195</v>
      </c>
      <c r="T52">
        <v>123.947327114522</v>
      </c>
      <c r="U52">
        <v>215.380458672749</v>
      </c>
      <c r="V52">
        <v>259.52956043436802</v>
      </c>
      <c r="W52">
        <v>122.843430399265</v>
      </c>
    </row>
    <row r="53" spans="1:23" x14ac:dyDescent="0.2">
      <c r="A53" t="s">
        <v>129</v>
      </c>
      <c r="B53" s="3" t="str">
        <f>HYPERLINK("http://www.ncbi.nlm.nih.gov/gene/11831","Aqp6")</f>
        <v>Aqp6</v>
      </c>
      <c r="C53">
        <v>11831</v>
      </c>
      <c r="D53" t="s">
        <v>130</v>
      </c>
      <c r="E53" s="3" t="str">
        <f>HYPERLINK("http://genome.ucsc.edu/cgi-bin/hgTracks?db=mm10&amp;lastVirtModeType=default&amp;lastVirtModeExtraState=&amp;virtModeType=default&amp;virtMode=0&amp;nonVirtPosition=&amp;position=chr15:99601399-99605477","chr15:99601399-99605477")</f>
        <v>chr15:99601399-99605477</v>
      </c>
      <c r="F53" t="s">
        <v>25</v>
      </c>
      <c r="G53">
        <v>-3.0179646275655401</v>
      </c>
      <c r="H53">
        <v>0.60537851203179605</v>
      </c>
      <c r="I53">
        <v>-4.9852523133609798</v>
      </c>
      <c r="J53" s="1">
        <v>6.1881005829713097E-7</v>
      </c>
      <c r="K53">
        <v>1.9246182832383701E-4</v>
      </c>
      <c r="L53" t="s">
        <v>26</v>
      </c>
      <c r="M53" t="s">
        <v>27</v>
      </c>
      <c r="N53">
        <v>104.55403731433501</v>
      </c>
      <c r="O53">
        <v>236.54101964975001</v>
      </c>
      <c r="P53">
        <v>5.5638005627729799</v>
      </c>
      <c r="Q53">
        <v>480.16268934827701</v>
      </c>
      <c r="R53">
        <v>133.25440974048499</v>
      </c>
      <c r="S53">
        <v>96.205959860489003</v>
      </c>
      <c r="T53">
        <v>3.22779497694067</v>
      </c>
      <c r="U53">
        <v>4.0133004721630297</v>
      </c>
      <c r="V53">
        <v>15.0141068019882</v>
      </c>
      <c r="W53">
        <v>0</v>
      </c>
    </row>
    <row r="54" spans="1:23" x14ac:dyDescent="0.2">
      <c r="A54" t="s">
        <v>131</v>
      </c>
      <c r="B54" s="3" t="str">
        <f>HYPERLINK("http://www.ncbi.nlm.nih.gov/gene/56720","Tdo2")</f>
        <v>Tdo2</v>
      </c>
      <c r="C54">
        <v>56720</v>
      </c>
      <c r="D54" t="s">
        <v>132</v>
      </c>
      <c r="E54" s="3" t="str">
        <f>HYPERLINK("http://genome.ucsc.edu/cgi-bin/hgTracks?db=mm10&amp;lastVirtModeType=default&amp;lastVirtModeExtraState=&amp;virtModeType=default&amp;virtMode=0&amp;nonVirtPosition=&amp;position=chr3:81958413-81975728","chr3:81958413-81975728")</f>
        <v>chr3:81958413-81975728</v>
      </c>
      <c r="F54" t="s">
        <v>30</v>
      </c>
      <c r="G54">
        <v>-2.5567832278559099</v>
      </c>
      <c r="H54">
        <v>0.51551188106976398</v>
      </c>
      <c r="I54">
        <v>-4.9596979657388296</v>
      </c>
      <c r="J54" s="1">
        <v>7.0602865849804498E-7</v>
      </c>
      <c r="K54">
        <v>2.1304669159469199E-4</v>
      </c>
      <c r="L54" t="s">
        <v>26</v>
      </c>
      <c r="M54" t="s">
        <v>27</v>
      </c>
      <c r="N54">
        <v>66.067682578734505</v>
      </c>
      <c r="O54">
        <v>135.68632066372601</v>
      </c>
      <c r="P54">
        <v>13.8537040149908</v>
      </c>
      <c r="Q54">
        <v>128.04338382620699</v>
      </c>
      <c r="R54">
        <v>137.27213063718301</v>
      </c>
      <c r="S54">
        <v>141.743447527787</v>
      </c>
      <c r="T54">
        <v>26.467918810913499</v>
      </c>
      <c r="U54">
        <v>11.3710180044619</v>
      </c>
      <c r="V54">
        <v>12.869234401704199</v>
      </c>
      <c r="W54">
        <v>4.7066448428837102</v>
      </c>
    </row>
    <row r="55" spans="1:23" x14ac:dyDescent="0.2">
      <c r="A55" t="s">
        <v>133</v>
      </c>
      <c r="B55" s="3" t="str">
        <f>HYPERLINK("http://www.ncbi.nlm.nih.gov/gene/108115","Slco4a1")</f>
        <v>Slco4a1</v>
      </c>
      <c r="C55">
        <v>108115</v>
      </c>
      <c r="D55" t="s">
        <v>134</v>
      </c>
      <c r="E55" s="3" t="str">
        <f>HYPERLINK("http://genome.ucsc.edu/cgi-bin/hgTracks?db=mm10&amp;lastVirtModeType=default&amp;lastVirtModeExtraState=&amp;virtModeType=default&amp;virtMode=0&amp;nonVirtPosition=&amp;position=chr2:180460977-180474853","chr2:180460977-180474853")</f>
        <v>chr2:180460977-180474853</v>
      </c>
      <c r="F55" t="s">
        <v>25</v>
      </c>
      <c r="G55">
        <v>-2.1774153643243701</v>
      </c>
      <c r="H55">
        <v>0.43915073160750101</v>
      </c>
      <c r="I55">
        <v>-4.9582414592684101</v>
      </c>
      <c r="J55" s="1">
        <v>7.11341207327854E-7</v>
      </c>
      <c r="K55">
        <v>2.1304669159469199E-4</v>
      </c>
      <c r="L55" t="s">
        <v>26</v>
      </c>
      <c r="M55" t="s">
        <v>27</v>
      </c>
      <c r="N55">
        <v>119.348424485319</v>
      </c>
      <c r="O55">
        <v>226.42906837574299</v>
      </c>
      <c r="P55">
        <v>39.037941567500397</v>
      </c>
      <c r="Q55">
        <v>202.73535772482799</v>
      </c>
      <c r="R55">
        <v>228.340470962339</v>
      </c>
      <c r="S55">
        <v>248.211376440062</v>
      </c>
      <c r="T55">
        <v>52.290278626438898</v>
      </c>
      <c r="U55">
        <v>18.728735536760801</v>
      </c>
      <c r="V55">
        <v>61.128863408095</v>
      </c>
      <c r="W55">
        <v>24.003888698706898</v>
      </c>
    </row>
    <row r="56" spans="1:23" x14ac:dyDescent="0.2">
      <c r="A56" t="s">
        <v>135</v>
      </c>
      <c r="B56" s="3" t="str">
        <f>HYPERLINK("http://www.ncbi.nlm.nih.gov/gene/19118","Prm1")</f>
        <v>Prm1</v>
      </c>
      <c r="C56">
        <v>19118</v>
      </c>
      <c r="D56" t="s">
        <v>136</v>
      </c>
      <c r="E56" s="3" t="str">
        <f>HYPERLINK("http://genome.ucsc.edu/cgi-bin/hgTracks?db=mm10&amp;lastVirtModeType=default&amp;lastVirtModeExtraState=&amp;virtModeType=default&amp;virtMode=0&amp;nonVirtPosition=&amp;position=chr16:10796331-10796823","chr16:10796331-10796823")</f>
        <v>chr16:10796331-10796823</v>
      </c>
      <c r="F56" t="s">
        <v>30</v>
      </c>
      <c r="G56">
        <v>-3.0313317650553602</v>
      </c>
      <c r="H56">
        <v>0.614162430215763</v>
      </c>
      <c r="I56">
        <v>-4.9357167028116802</v>
      </c>
      <c r="J56" s="1">
        <v>7.9856955235696599E-7</v>
      </c>
      <c r="K56">
        <v>2.3482300673216699E-4</v>
      </c>
      <c r="L56" t="s">
        <v>26</v>
      </c>
      <c r="M56" t="s">
        <v>27</v>
      </c>
      <c r="N56">
        <v>138.462764361822</v>
      </c>
      <c r="O56">
        <v>321.48171015158198</v>
      </c>
      <c r="P56">
        <v>1.1985550195025301</v>
      </c>
      <c r="Q56">
        <v>96.032537869655499</v>
      </c>
      <c r="R56">
        <v>866.48847338788005</v>
      </c>
      <c r="S56">
        <v>1.92411919720978</v>
      </c>
      <c r="T56">
        <v>2.58223598155254</v>
      </c>
      <c r="U56">
        <v>0.66888341202717205</v>
      </c>
      <c r="V56">
        <v>1.07243620014202</v>
      </c>
      <c r="W56">
        <v>0.47066448428837099</v>
      </c>
    </row>
    <row r="57" spans="1:23" x14ac:dyDescent="0.2">
      <c r="A57" t="s">
        <v>137</v>
      </c>
      <c r="B57" s="3" t="str">
        <f>HYPERLINK("http://www.ncbi.nlm.nih.gov/gene/635702","Naaladl2")</f>
        <v>Naaladl2</v>
      </c>
      <c r="C57">
        <v>635702</v>
      </c>
      <c r="D57" t="s">
        <v>138</v>
      </c>
      <c r="E57" s="3" t="str">
        <f>HYPERLINK("http://genome.ucsc.edu/cgi-bin/hgTracks?db=mm10&amp;lastVirtModeType=default&amp;lastVirtModeExtraState=&amp;virtModeType=default&amp;virtMode=0&amp;nonVirtPosition=&amp;position=chr3:23798102-24784006","chr3:23798102-24784006")</f>
        <v>chr3:23798102-24784006</v>
      </c>
      <c r="F57" t="s">
        <v>30</v>
      </c>
      <c r="G57">
        <v>-1.05798395710369</v>
      </c>
      <c r="H57">
        <v>0.21699663736059699</v>
      </c>
      <c r="I57">
        <v>-4.8755776585863702</v>
      </c>
      <c r="J57" s="1">
        <v>1.08490504250223E-6</v>
      </c>
      <c r="K57">
        <v>3.1332445093550901E-4</v>
      </c>
      <c r="L57" t="s">
        <v>26</v>
      </c>
      <c r="M57" t="s">
        <v>27</v>
      </c>
      <c r="N57">
        <v>246.69678606817601</v>
      </c>
      <c r="O57">
        <v>353.792754100742</v>
      </c>
      <c r="P57">
        <v>166.37481004375101</v>
      </c>
      <c r="Q57">
        <v>352.11930552207002</v>
      </c>
      <c r="R57">
        <v>332.13159412703902</v>
      </c>
      <c r="S57">
        <v>377.12736265311702</v>
      </c>
      <c r="T57">
        <v>165.26310281936199</v>
      </c>
      <c r="U57">
        <v>144.47881699786899</v>
      </c>
      <c r="V57">
        <v>191.96607982542099</v>
      </c>
      <c r="W57">
        <v>163.79124053235299</v>
      </c>
    </row>
    <row r="58" spans="1:23" x14ac:dyDescent="0.2">
      <c r="A58" t="s">
        <v>139</v>
      </c>
      <c r="B58" s="3" t="str">
        <f>HYPERLINK("http://www.ncbi.nlm.nih.gov/gene/56410","Cbln3")</f>
        <v>Cbln3</v>
      </c>
      <c r="C58">
        <v>56410</v>
      </c>
      <c r="D58" t="s">
        <v>140</v>
      </c>
      <c r="E58" s="3" t="str">
        <f>HYPERLINK("http://genome.ucsc.edu/cgi-bin/hgTracks?db=mm10&amp;lastVirtModeType=default&amp;lastVirtModeExtraState=&amp;virtModeType=default&amp;virtMode=0&amp;nonVirtPosition=&amp;position=chr14:55878919-55884256","chr14:55878919-55884256")</f>
        <v>chr14:55878919-55884256</v>
      </c>
      <c r="F58" t="s">
        <v>30</v>
      </c>
      <c r="G58">
        <v>-2.92970910490763</v>
      </c>
      <c r="H58">
        <v>0.61398549740024599</v>
      </c>
      <c r="I58">
        <v>-4.7716259053555596</v>
      </c>
      <c r="J58" s="1">
        <v>1.8274468868044E-6</v>
      </c>
      <c r="K58">
        <v>5.1851400877697598E-4</v>
      </c>
      <c r="L58" t="s">
        <v>26</v>
      </c>
      <c r="M58" t="s">
        <v>27</v>
      </c>
      <c r="N58">
        <v>3105.2320535316799</v>
      </c>
      <c r="O58">
        <v>7200.7377930532402</v>
      </c>
      <c r="P58">
        <v>33.602748890520502</v>
      </c>
      <c r="Q58">
        <v>245.41648566689699</v>
      </c>
      <c r="R58">
        <v>7793.0392992953202</v>
      </c>
      <c r="S58">
        <v>13563.757594197499</v>
      </c>
      <c r="T58">
        <v>20.012328857032202</v>
      </c>
      <c r="U58">
        <v>47.490722253929199</v>
      </c>
      <c r="V58">
        <v>62.201299608237001</v>
      </c>
      <c r="W58">
        <v>4.7066448428837102</v>
      </c>
    </row>
    <row r="59" spans="1:23" x14ac:dyDescent="0.2">
      <c r="A59" t="s">
        <v>141</v>
      </c>
      <c r="B59" s="3" t="str">
        <f>HYPERLINK("http://www.ncbi.nlm.nih.gov/gene/20491","Sla")</f>
        <v>Sla</v>
      </c>
      <c r="C59">
        <v>20491</v>
      </c>
      <c r="D59" t="s">
        <v>142</v>
      </c>
      <c r="E59" s="3" t="str">
        <f>HYPERLINK("http://genome.ucsc.edu/cgi-bin/hgTracks?db=mm10&amp;lastVirtModeType=default&amp;lastVirtModeExtraState=&amp;virtModeType=default&amp;virtMode=0&amp;nonVirtPosition=&amp;position=chr15:66780818-66831829","chr15:66780818-66831829")</f>
        <v>chr15:66780818-66831829</v>
      </c>
      <c r="F59" t="s">
        <v>30</v>
      </c>
      <c r="G59">
        <v>-1.55134171157297</v>
      </c>
      <c r="H59">
        <v>0.32664925124661798</v>
      </c>
      <c r="I59">
        <v>-4.7492584343985396</v>
      </c>
      <c r="J59" s="1">
        <v>2.0416390567516501E-6</v>
      </c>
      <c r="K59">
        <v>5.6694901367922797E-4</v>
      </c>
      <c r="L59" t="s">
        <v>26</v>
      </c>
      <c r="M59" t="s">
        <v>27</v>
      </c>
      <c r="N59">
        <v>504.88865692088899</v>
      </c>
      <c r="O59">
        <v>827.87107758115405</v>
      </c>
      <c r="P59">
        <v>262.65184142569001</v>
      </c>
      <c r="Q59">
        <v>512.17353530482899</v>
      </c>
      <c r="R59">
        <v>1030.5454100030499</v>
      </c>
      <c r="S59">
        <v>940.89428743558199</v>
      </c>
      <c r="T59">
        <v>171.71869277324399</v>
      </c>
      <c r="U59">
        <v>226.08259326518399</v>
      </c>
      <c r="V59">
        <v>365.70074424842801</v>
      </c>
      <c r="W59">
        <v>287.10533541590598</v>
      </c>
    </row>
    <row r="60" spans="1:23" x14ac:dyDescent="0.2">
      <c r="A60" t="s">
        <v>143</v>
      </c>
      <c r="B60" s="3" t="str">
        <f>HYPERLINK("http://www.ncbi.nlm.nih.gov/gene/380912","Zfp395")</f>
        <v>Zfp395</v>
      </c>
      <c r="C60">
        <v>380912</v>
      </c>
      <c r="D60" t="s">
        <v>144</v>
      </c>
      <c r="E60" s="3" t="str">
        <f>HYPERLINK("http://genome.ucsc.edu/cgi-bin/hgTracks?db=mm10&amp;lastVirtModeType=default&amp;lastVirtModeExtraState=&amp;virtModeType=default&amp;virtMode=0&amp;nonVirtPosition=&amp;position=chr14:65358675-65398930","chr14:65358675-65398930")</f>
        <v>chr14:65358675-65398930</v>
      </c>
      <c r="F60" t="s">
        <v>25</v>
      </c>
      <c r="G60">
        <v>-1.76781754825694</v>
      </c>
      <c r="H60">
        <v>0.37243576072666801</v>
      </c>
      <c r="I60">
        <v>-4.7466375001361696</v>
      </c>
      <c r="J60" s="1">
        <v>2.0682614114310602E-6</v>
      </c>
      <c r="K60">
        <v>5.6694901367922797E-4</v>
      </c>
      <c r="L60" t="s">
        <v>26</v>
      </c>
      <c r="M60" t="s">
        <v>27</v>
      </c>
      <c r="N60">
        <v>240.468314268234</v>
      </c>
      <c r="O60">
        <v>419.51122339160901</v>
      </c>
      <c r="P60">
        <v>106.186132425702</v>
      </c>
      <c r="Q60">
        <v>522.84381729034601</v>
      </c>
      <c r="R60">
        <v>426.54803519944301</v>
      </c>
      <c r="S60">
        <v>309.14181768503801</v>
      </c>
      <c r="T60">
        <v>113.618383188312</v>
      </c>
      <c r="U60">
        <v>113.71018004461899</v>
      </c>
      <c r="V60">
        <v>147.99619561959801</v>
      </c>
      <c r="W60">
        <v>49.419770850278901</v>
      </c>
    </row>
    <row r="61" spans="1:23" x14ac:dyDescent="0.2">
      <c r="A61" t="s">
        <v>145</v>
      </c>
      <c r="B61" s="3" t="str">
        <f>HYPERLINK("http://www.ncbi.nlm.nih.gov/gene/72147","Zbtb46")</f>
        <v>Zbtb46</v>
      </c>
      <c r="C61">
        <v>72147</v>
      </c>
      <c r="D61" t="s">
        <v>146</v>
      </c>
      <c r="E61" s="3" t="str">
        <f>HYPERLINK("http://genome.ucsc.edu/cgi-bin/hgTracks?db=mm10&amp;lastVirtModeType=default&amp;lastVirtModeExtraState=&amp;virtModeType=default&amp;virtMode=0&amp;nonVirtPosition=&amp;position=chr2:181390885-181424388","chr2:181390885-181424388")</f>
        <v>chr2:181390885-181424388</v>
      </c>
      <c r="F61" t="s">
        <v>30</v>
      </c>
      <c r="G61">
        <v>-2.0263711189847502</v>
      </c>
      <c r="H61">
        <v>0.42940959481176699</v>
      </c>
      <c r="I61">
        <v>-4.7189702872685499</v>
      </c>
      <c r="J61" s="1">
        <v>2.3704143561420798E-6</v>
      </c>
      <c r="K61">
        <v>6.3894518969809895E-4</v>
      </c>
      <c r="L61" t="s">
        <v>26</v>
      </c>
      <c r="M61" t="s">
        <v>27</v>
      </c>
      <c r="N61">
        <v>442.81374283291598</v>
      </c>
      <c r="O61">
        <v>817.93556585249803</v>
      </c>
      <c r="P61">
        <v>161.47237556822799</v>
      </c>
      <c r="Q61">
        <v>373.45986949310497</v>
      </c>
      <c r="R61">
        <v>951.53023236798902</v>
      </c>
      <c r="S61">
        <v>1128.8165956964001</v>
      </c>
      <c r="T61">
        <v>264.033629113747</v>
      </c>
      <c r="U61">
        <v>135.114449229489</v>
      </c>
      <c r="V61">
        <v>178.02440922357499</v>
      </c>
      <c r="W61">
        <v>68.717014706102105</v>
      </c>
    </row>
    <row r="62" spans="1:23" x14ac:dyDescent="0.2">
      <c r="A62" t="s">
        <v>147</v>
      </c>
      <c r="B62" s="3" t="str">
        <f>HYPERLINK("http://www.ncbi.nlm.nih.gov/gene/17702","Msx2")</f>
        <v>Msx2</v>
      </c>
      <c r="C62">
        <v>17702</v>
      </c>
      <c r="D62" t="s">
        <v>148</v>
      </c>
      <c r="E62" s="3" t="str">
        <f>HYPERLINK("http://genome.ucsc.edu/cgi-bin/hgTracks?db=mm10&amp;lastVirtModeType=default&amp;lastVirtModeExtraState=&amp;virtModeType=default&amp;virtMode=0&amp;nonVirtPosition=&amp;position=chr13:53466880-53472780","chr13:53466880-53472780")</f>
        <v>chr13:53466880-53472780</v>
      </c>
      <c r="F62" t="s">
        <v>30</v>
      </c>
      <c r="G62">
        <v>-2.72345097073701</v>
      </c>
      <c r="H62">
        <v>0.579171559903495</v>
      </c>
      <c r="I62">
        <v>-4.7023216595628599</v>
      </c>
      <c r="J62" s="1">
        <v>2.5721985876291801E-6</v>
      </c>
      <c r="K62">
        <v>6.8196996324142297E-4</v>
      </c>
      <c r="L62" t="s">
        <v>26</v>
      </c>
      <c r="M62" t="s">
        <v>27</v>
      </c>
      <c r="N62">
        <v>72.842130826500707</v>
      </c>
      <c r="O62">
        <v>157.987366389724</v>
      </c>
      <c r="P62">
        <v>8.9832041540828893</v>
      </c>
      <c r="Q62">
        <v>266.75704963793203</v>
      </c>
      <c r="R62">
        <v>77.006317186712707</v>
      </c>
      <c r="S62">
        <v>130.198732344528</v>
      </c>
      <c r="T62">
        <v>15.4934158893152</v>
      </c>
      <c r="U62">
        <v>4.0133004721630297</v>
      </c>
      <c r="V62">
        <v>15.0141068019882</v>
      </c>
      <c r="W62">
        <v>1.4119934528651099</v>
      </c>
    </row>
    <row r="63" spans="1:23" x14ac:dyDescent="0.2">
      <c r="A63" t="s">
        <v>149</v>
      </c>
      <c r="B63" s="3" t="str">
        <f>HYPERLINK("http://www.ncbi.nlm.nih.gov/gene/80718","Rab27b")</f>
        <v>Rab27b</v>
      </c>
      <c r="C63">
        <v>80718</v>
      </c>
      <c r="D63" s="5" t="s">
        <v>150</v>
      </c>
      <c r="E63" s="3" t="str">
        <f>HYPERLINK("http://genome.ucsc.edu/cgi-bin/hgTracks?db=mm10&amp;lastVirtModeType=default&amp;lastVirtModeExtraState=&amp;virtModeType=default&amp;virtMode=0&amp;nonVirtPosition=&amp;position=chr18:69979130-70053588","chr18:69979130-70053588")</f>
        <v>chr18:69979130-70053588</v>
      </c>
      <c r="F63" t="s">
        <v>30</v>
      </c>
      <c r="G63" s="4">
        <v>0.94257105936826502</v>
      </c>
      <c r="H63">
        <v>0.20117620263845601</v>
      </c>
      <c r="I63">
        <v>4.6853009799683303</v>
      </c>
      <c r="J63" s="1">
        <v>2.7954882275962802E-6</v>
      </c>
      <c r="K63">
        <v>7.1263943621568005E-4</v>
      </c>
      <c r="L63" t="s">
        <v>26</v>
      </c>
      <c r="M63" t="s">
        <v>27</v>
      </c>
      <c r="N63">
        <v>1000.73900329688</v>
      </c>
      <c r="O63">
        <v>653.61668184785594</v>
      </c>
      <c r="P63">
        <v>1261.08074438364</v>
      </c>
      <c r="Q63">
        <v>736.24945700069202</v>
      </c>
      <c r="R63">
        <v>613.37205689590303</v>
      </c>
      <c r="S63">
        <v>611.22853164697301</v>
      </c>
      <c r="T63">
        <v>1083.2479942612899</v>
      </c>
      <c r="U63">
        <v>1453.48365433504</v>
      </c>
      <c r="V63">
        <v>1361.9939741803601</v>
      </c>
      <c r="W63">
        <v>1145.5973547578899</v>
      </c>
    </row>
    <row r="64" spans="1:23" x14ac:dyDescent="0.2">
      <c r="A64" t="s">
        <v>151</v>
      </c>
      <c r="B64" s="3" t="str">
        <f>HYPERLINK("http://www.ncbi.nlm.nih.gov/gene/54634","Magix")</f>
        <v>Magix</v>
      </c>
      <c r="C64">
        <v>54634</v>
      </c>
      <c r="D64" t="s">
        <v>152</v>
      </c>
      <c r="E64" s="3" t="str">
        <f>HYPERLINK("http://genome.ucsc.edu/cgi-bin/hgTracks?db=mm10&amp;lastVirtModeType=default&amp;lastVirtModeExtraState=&amp;virtModeType=default&amp;virtMode=0&amp;nonVirtPosition=&amp;position=chrX:7673165-7681089","chrX:7673165-7681089")</f>
        <v>chrX:7673165-7681089</v>
      </c>
      <c r="F64" t="s">
        <v>30</v>
      </c>
      <c r="G64">
        <v>-2.6414010282714599</v>
      </c>
      <c r="H64">
        <v>0.563878601514752</v>
      </c>
      <c r="I64">
        <v>-4.6843434405488003</v>
      </c>
      <c r="J64" s="1">
        <v>2.8085874391960398E-6</v>
      </c>
      <c r="K64">
        <v>7.1263943621568005E-4</v>
      </c>
      <c r="L64" t="s">
        <v>26</v>
      </c>
      <c r="M64" t="s">
        <v>27</v>
      </c>
      <c r="N64">
        <v>22.0080693398255</v>
      </c>
      <c r="O64">
        <v>46.940247752265499</v>
      </c>
      <c r="P64">
        <v>3.3089355304954799</v>
      </c>
      <c r="Q64">
        <v>53.351409927586403</v>
      </c>
      <c r="R64">
        <v>36.159488070282499</v>
      </c>
      <c r="S64">
        <v>51.309845258927503</v>
      </c>
      <c r="T64">
        <v>4.5189129677169397</v>
      </c>
      <c r="U64">
        <v>2.67553364810869</v>
      </c>
      <c r="V64">
        <v>3.2173086004260498</v>
      </c>
      <c r="W64">
        <v>2.8239869057302198</v>
      </c>
    </row>
    <row r="65" spans="1:23" x14ac:dyDescent="0.2">
      <c r="A65" t="s">
        <v>153</v>
      </c>
      <c r="B65" s="3" t="str">
        <f>HYPERLINK("http://www.ncbi.nlm.nih.gov/gene/66106","Smpx")</f>
        <v>Smpx</v>
      </c>
      <c r="C65">
        <v>66106</v>
      </c>
      <c r="D65" t="s">
        <v>154</v>
      </c>
      <c r="E65" s="3" t="str">
        <f>HYPERLINK("http://genome.ucsc.edu/cgi-bin/hgTracks?db=mm10&amp;lastVirtModeType=default&amp;lastVirtModeExtraState=&amp;virtModeType=default&amp;virtMode=0&amp;nonVirtPosition=&amp;position=chrX:157698972-157752591","chrX:157698972-157752591")</f>
        <v>chrX:157698972-157752591</v>
      </c>
      <c r="F65" t="s">
        <v>25</v>
      </c>
      <c r="G65">
        <v>-2.8704378165291802</v>
      </c>
      <c r="H65">
        <v>0.61288202712518702</v>
      </c>
      <c r="I65">
        <v>-4.6835079011753598</v>
      </c>
      <c r="J65" s="1">
        <v>2.8200657835777899E-6</v>
      </c>
      <c r="K65">
        <v>7.1263943621568005E-4</v>
      </c>
      <c r="L65" t="s">
        <v>26</v>
      </c>
      <c r="M65" t="s">
        <v>27</v>
      </c>
      <c r="N65">
        <v>27.593174761155801</v>
      </c>
      <c r="O65">
        <v>62.942889244789697</v>
      </c>
      <c r="P65">
        <v>1.0808888984304299</v>
      </c>
      <c r="Q65">
        <v>21.340563971034602</v>
      </c>
      <c r="R65">
        <v>62.944294048269498</v>
      </c>
      <c r="S65">
        <v>104.543809715065</v>
      </c>
      <c r="T65">
        <v>2.58223598155254</v>
      </c>
      <c r="U65">
        <v>0.66888341202717205</v>
      </c>
      <c r="V65">
        <v>1.07243620014202</v>
      </c>
      <c r="W65">
        <v>0</v>
      </c>
    </row>
    <row r="66" spans="1:23" x14ac:dyDescent="0.2">
      <c r="A66" t="s">
        <v>155</v>
      </c>
      <c r="B66" s="3" t="str">
        <f>HYPERLINK("http://www.ncbi.nlm.nih.gov/gene/14399","Gabra6")</f>
        <v>Gabra6</v>
      </c>
      <c r="C66">
        <v>14399</v>
      </c>
      <c r="D66" t="s">
        <v>156</v>
      </c>
      <c r="E66" s="3" t="str">
        <f>HYPERLINK("http://genome.ucsc.edu/cgi-bin/hgTracks?db=mm10&amp;lastVirtModeType=default&amp;lastVirtModeExtraState=&amp;virtModeType=default&amp;virtMode=0&amp;nonVirtPosition=&amp;position=chr11:42306436-42321072","chr11:42306436-42321072")</f>
        <v>chr11:42306436-42321072</v>
      </c>
      <c r="F66" t="s">
        <v>30</v>
      </c>
      <c r="G66">
        <v>-2.8415319160989698</v>
      </c>
      <c r="H66">
        <v>0.61315545676348904</v>
      </c>
      <c r="I66">
        <v>-4.6342764869089796</v>
      </c>
      <c r="J66" s="1">
        <v>3.5818800319676302E-6</v>
      </c>
      <c r="K66">
        <v>8.9122685780019303E-4</v>
      </c>
      <c r="L66" t="s">
        <v>26</v>
      </c>
      <c r="M66" t="s">
        <v>27</v>
      </c>
      <c r="N66">
        <v>1480.5002816055101</v>
      </c>
      <c r="O66">
        <v>3440.4769524983799</v>
      </c>
      <c r="P66">
        <v>10.517778435850801</v>
      </c>
      <c r="Q66">
        <v>85.362255884138193</v>
      </c>
      <c r="R66">
        <v>3111.0552143431901</v>
      </c>
      <c r="S66">
        <v>7125.0133872678198</v>
      </c>
      <c r="T66">
        <v>8.3922669400457508</v>
      </c>
      <c r="U66">
        <v>19.397618948788001</v>
      </c>
      <c r="V66">
        <v>12.869234401704199</v>
      </c>
      <c r="W66">
        <v>1.4119934528651099</v>
      </c>
    </row>
    <row r="67" spans="1:23" x14ac:dyDescent="0.2">
      <c r="A67" t="s">
        <v>157</v>
      </c>
      <c r="B67" s="3" t="str">
        <f>HYPERLINK("http://www.ncbi.nlm.nih.gov/gene/641454","5830444B04Rik")</f>
        <v>5830444B04Rik</v>
      </c>
      <c r="C67">
        <v>641454</v>
      </c>
      <c r="D67" t="s">
        <v>158</v>
      </c>
      <c r="E67" s="3" t="str">
        <f>HYPERLINK("http://genome.ucsc.edu/cgi-bin/hgTracks?db=mm10&amp;lastVirtModeType=default&amp;lastVirtModeExtraState=&amp;virtModeType=default&amp;virtMode=0&amp;nonVirtPosition=&amp;position=chr4:155408308-155421704","chr4:155408308-155421704")</f>
        <v>chr4:155408308-155421704</v>
      </c>
      <c r="F67" t="s">
        <v>30</v>
      </c>
      <c r="G67">
        <v>-2.39685080127951</v>
      </c>
      <c r="H67">
        <v>0.518554446311279</v>
      </c>
      <c r="I67">
        <v>-4.62217770637091</v>
      </c>
      <c r="J67" s="1">
        <v>3.7973249737128201E-6</v>
      </c>
      <c r="K67">
        <v>9.3051722424026498E-4</v>
      </c>
      <c r="L67" t="s">
        <v>26</v>
      </c>
      <c r="M67" t="s">
        <v>27</v>
      </c>
      <c r="N67">
        <v>72.713228428126897</v>
      </c>
      <c r="O67">
        <v>147.12148557930999</v>
      </c>
      <c r="P67">
        <v>16.907035564739701</v>
      </c>
      <c r="Q67">
        <v>160.05422978275899</v>
      </c>
      <c r="R67">
        <v>100.443022417451</v>
      </c>
      <c r="S67">
        <v>180.867204537719</v>
      </c>
      <c r="T67">
        <v>32.923508764794903</v>
      </c>
      <c r="U67">
        <v>17.390968712706499</v>
      </c>
      <c r="V67">
        <v>10.7243620014202</v>
      </c>
      <c r="W67">
        <v>6.5893027800371904</v>
      </c>
    </row>
    <row r="68" spans="1:23" x14ac:dyDescent="0.2">
      <c r="A68" t="s">
        <v>159</v>
      </c>
      <c r="B68" s="3" t="str">
        <f>HYPERLINK("http://www.ncbi.nlm.nih.gov/gene/225659","Cep76")</f>
        <v>Cep76</v>
      </c>
      <c r="C68">
        <v>225659</v>
      </c>
      <c r="D68" t="s">
        <v>160</v>
      </c>
      <c r="E68" s="3" t="str">
        <f>HYPERLINK("http://genome.ucsc.edu/cgi-bin/hgTracks?db=mm10&amp;lastVirtModeType=default&amp;lastVirtModeExtraState=&amp;virtModeType=default&amp;virtMode=0&amp;nonVirtPosition=&amp;position=chr18:67617396-67641336","chr18:67617396-67641336")</f>
        <v>chr18:67617396-67641336</v>
      </c>
      <c r="F68" t="s">
        <v>30</v>
      </c>
      <c r="G68">
        <v>-2.0354878675224799</v>
      </c>
      <c r="H68">
        <v>0.44128628977073198</v>
      </c>
      <c r="I68">
        <v>-4.6126243092211396</v>
      </c>
      <c r="J68" s="1">
        <v>3.9761659944060297E-6</v>
      </c>
      <c r="K68">
        <v>9.5979899444072799E-4</v>
      </c>
      <c r="L68" t="s">
        <v>26</v>
      </c>
      <c r="M68" t="s">
        <v>27</v>
      </c>
      <c r="N68">
        <v>876.90604741383504</v>
      </c>
      <c r="O68">
        <v>1629.93510254591</v>
      </c>
      <c r="P68">
        <v>312.13425606478302</v>
      </c>
      <c r="Q68">
        <v>362.78958750758699</v>
      </c>
      <c r="R68">
        <v>1981.4060222215901</v>
      </c>
      <c r="S68">
        <v>2545.6096979085401</v>
      </c>
      <c r="T68">
        <v>303.412727832423</v>
      </c>
      <c r="U68">
        <v>262.20229751465098</v>
      </c>
      <c r="V68">
        <v>346.39689264587201</v>
      </c>
      <c r="W68">
        <v>336.52510626618499</v>
      </c>
    </row>
    <row r="69" spans="1:23" x14ac:dyDescent="0.2">
      <c r="A69" t="s">
        <v>161</v>
      </c>
      <c r="B69" s="3" t="str">
        <f>HYPERLINK("http://www.ncbi.nlm.nih.gov/gene/22772","Zic2")</f>
        <v>Zic2</v>
      </c>
      <c r="C69">
        <v>22772</v>
      </c>
      <c r="D69" t="s">
        <v>162</v>
      </c>
      <c r="E69" s="3" t="str">
        <f>HYPERLINK("http://genome.ucsc.edu/cgi-bin/hgTracks?db=mm10&amp;lastVirtModeType=default&amp;lastVirtModeExtraState=&amp;virtModeType=default&amp;virtMode=0&amp;nonVirtPosition=&amp;position=chr14:122475383-122480328","chr14:122475383-122480328")</f>
        <v>chr14:122475383-122480328</v>
      </c>
      <c r="F69" t="s">
        <v>25</v>
      </c>
      <c r="G69">
        <v>-2.42567002804758</v>
      </c>
      <c r="H69">
        <v>0.52656229663236098</v>
      </c>
      <c r="I69">
        <v>-4.6066154822724599</v>
      </c>
      <c r="J69" s="1">
        <v>4.0927580831431999E-6</v>
      </c>
      <c r="K69">
        <v>9.7341435998051396E-4</v>
      </c>
      <c r="L69" t="s">
        <v>26</v>
      </c>
      <c r="M69" t="s">
        <v>27</v>
      </c>
      <c r="N69">
        <v>742.36995837421603</v>
      </c>
      <c r="O69">
        <v>1510.25397526807</v>
      </c>
      <c r="P69">
        <v>166.45694570382599</v>
      </c>
      <c r="Q69">
        <v>298.767895594484</v>
      </c>
      <c r="R69">
        <v>1586.3301340462799</v>
      </c>
      <c r="S69">
        <v>2645.6638961634499</v>
      </c>
      <c r="T69">
        <v>252.41356719676099</v>
      </c>
      <c r="U69">
        <v>131.77003216935299</v>
      </c>
      <c r="V69">
        <v>240.225708831812</v>
      </c>
      <c r="W69">
        <v>41.418474617376603</v>
      </c>
    </row>
    <row r="70" spans="1:23" x14ac:dyDescent="0.2">
      <c r="A70" t="s">
        <v>163</v>
      </c>
      <c r="B70" s="3" t="str">
        <f>HYPERLINK("http://www.ncbi.nlm.nih.gov/gene/268354","Fam19a2")</f>
        <v>Fam19a2</v>
      </c>
      <c r="C70">
        <v>268354</v>
      </c>
      <c r="D70" s="5" t="s">
        <v>164</v>
      </c>
      <c r="E70" s="3" t="str">
        <f>HYPERLINK("http://genome.ucsc.edu/cgi-bin/hgTracks?db=mm10&amp;lastVirtModeType=default&amp;lastVirtModeExtraState=&amp;virtModeType=default&amp;virtMode=0&amp;nonVirtPosition=&amp;position=chr10:123264075-123741204","chr10:123264075-123741204")</f>
        <v>chr10:123264075-123741204</v>
      </c>
      <c r="F70" t="s">
        <v>25</v>
      </c>
      <c r="G70" s="4">
        <v>1.0800092834125601</v>
      </c>
      <c r="H70">
        <v>0.23643391751521001</v>
      </c>
      <c r="I70">
        <v>4.5679118070827602</v>
      </c>
      <c r="J70" s="1">
        <v>4.92607204859044E-6</v>
      </c>
      <c r="K70">
        <v>1.15462845278048E-3</v>
      </c>
      <c r="L70" t="s">
        <v>26</v>
      </c>
      <c r="M70" t="s">
        <v>27</v>
      </c>
      <c r="N70">
        <v>1077.6533320573401</v>
      </c>
      <c r="O70">
        <v>639.94677731161505</v>
      </c>
      <c r="P70">
        <v>1405.93324811664</v>
      </c>
      <c r="Q70">
        <v>576.19522721793305</v>
      </c>
      <c r="R70">
        <v>820.28468307585297</v>
      </c>
      <c r="S70">
        <v>523.36042164106004</v>
      </c>
      <c r="T70">
        <v>1580.3284207101501</v>
      </c>
      <c r="U70">
        <v>1423.38390079382</v>
      </c>
      <c r="V70">
        <v>1188.2593097573599</v>
      </c>
      <c r="W70">
        <v>1431.7613612052201</v>
      </c>
    </row>
    <row r="71" spans="1:23" x14ac:dyDescent="0.2">
      <c r="A71" t="s">
        <v>165</v>
      </c>
      <c r="B71" s="3" t="str">
        <f>HYPERLINK("http://www.ncbi.nlm.nih.gov/gene/81006","Gpr63")</f>
        <v>Gpr63</v>
      </c>
      <c r="C71">
        <v>81006</v>
      </c>
      <c r="D71" t="s">
        <v>166</v>
      </c>
      <c r="E71" s="3" t="str">
        <f>HYPERLINK("http://genome.ucsc.edu/cgi-bin/hgTracks?db=mm10&amp;lastVirtModeType=default&amp;lastVirtModeExtraState=&amp;virtModeType=default&amp;virtMode=0&amp;nonVirtPosition=&amp;position=chr4:24973418-25009233","chr4:24973418-25009233")</f>
        <v>chr4:24973418-25009233</v>
      </c>
      <c r="F71" t="s">
        <v>25</v>
      </c>
      <c r="G71">
        <v>-1.9139586670272799</v>
      </c>
      <c r="H71">
        <v>0.420604267365082</v>
      </c>
      <c r="I71">
        <v>-4.5504974997459504</v>
      </c>
      <c r="J71" s="1">
        <v>5.3519223151688697E-6</v>
      </c>
      <c r="K71">
        <v>1.23652342290323E-3</v>
      </c>
      <c r="L71" t="s">
        <v>26</v>
      </c>
      <c r="M71" t="s">
        <v>27</v>
      </c>
      <c r="N71">
        <v>186.44312085102499</v>
      </c>
      <c r="O71">
        <v>336.30048636778503</v>
      </c>
      <c r="P71">
        <v>74.050096713455503</v>
      </c>
      <c r="Q71">
        <v>202.73535772482799</v>
      </c>
      <c r="R71">
        <v>287.93666426336</v>
      </c>
      <c r="S71">
        <v>518.229437115167</v>
      </c>
      <c r="T71">
        <v>126.529563096074</v>
      </c>
      <c r="U71">
        <v>68.226108026771499</v>
      </c>
      <c r="V71">
        <v>48.259629006390803</v>
      </c>
      <c r="W71">
        <v>53.185086724585901</v>
      </c>
    </row>
    <row r="72" spans="1:23" x14ac:dyDescent="0.2">
      <c r="A72" t="s">
        <v>167</v>
      </c>
      <c r="B72" s="3" t="str">
        <f>HYPERLINK("http://www.ncbi.nlm.nih.gov/gene/19212","Pter")</f>
        <v>Pter</v>
      </c>
      <c r="C72">
        <v>19212</v>
      </c>
      <c r="D72" s="5" t="s">
        <v>168</v>
      </c>
      <c r="E72" s="3" t="str">
        <f>HYPERLINK("http://genome.ucsc.edu/cgi-bin/hgTracks?db=mm10&amp;lastVirtModeType=default&amp;lastVirtModeExtraState=&amp;virtModeType=default&amp;virtMode=0&amp;nonVirtPosition=&amp;position=chr2:12924040-13003454","chr2:12924040-13003454")</f>
        <v>chr2:12924040-13003454</v>
      </c>
      <c r="F72" t="s">
        <v>25</v>
      </c>
      <c r="G72" s="4">
        <v>1.39128604044697</v>
      </c>
      <c r="H72">
        <v>0.30615564490277802</v>
      </c>
      <c r="I72">
        <v>4.5443749400367501</v>
      </c>
      <c r="J72" s="1">
        <v>5.5098507706897799E-6</v>
      </c>
      <c r="K72">
        <v>1.2550819227375499E-3</v>
      </c>
      <c r="L72" t="s">
        <v>26</v>
      </c>
      <c r="M72" t="s">
        <v>27</v>
      </c>
      <c r="N72">
        <v>1327.05664995546</v>
      </c>
      <c r="O72">
        <v>649.42447376078405</v>
      </c>
      <c r="P72">
        <v>1835.2807821014601</v>
      </c>
      <c r="Q72">
        <v>576.19522721793305</v>
      </c>
      <c r="R72">
        <v>749.30494723418701</v>
      </c>
      <c r="S72">
        <v>622.77324683023198</v>
      </c>
      <c r="T72">
        <v>2104.52232496532</v>
      </c>
      <c r="U72">
        <v>1640.77100970265</v>
      </c>
      <c r="V72">
        <v>1085.3054345437199</v>
      </c>
      <c r="W72">
        <v>2510.5243591941698</v>
      </c>
    </row>
    <row r="73" spans="1:23" x14ac:dyDescent="0.2">
      <c r="A73" t="s">
        <v>169</v>
      </c>
      <c r="B73" s="3" t="str">
        <f>HYPERLINK("http://www.ncbi.nlm.nih.gov/gene/54216","Pcdh7")</f>
        <v>Pcdh7</v>
      </c>
      <c r="C73">
        <v>54216</v>
      </c>
      <c r="D73" s="5" t="s">
        <v>170</v>
      </c>
      <c r="E73" s="3" t="str">
        <f>HYPERLINK("http://genome.ucsc.edu/cgi-bin/hgTracks?db=mm10&amp;lastVirtModeType=default&amp;lastVirtModeExtraState=&amp;virtModeType=default&amp;virtMode=0&amp;nonVirtPosition=&amp;position=chr5:57718080-58133235","chr5:57718080-58133235")</f>
        <v>chr5:57718080-58133235</v>
      </c>
      <c r="F73" t="s">
        <v>25</v>
      </c>
      <c r="G73" s="4">
        <v>1.2272437106590299</v>
      </c>
      <c r="H73">
        <v>0.270813626161099</v>
      </c>
      <c r="I73">
        <v>4.5316911414530496</v>
      </c>
      <c r="J73" s="1">
        <v>5.8513358821932299E-6</v>
      </c>
      <c r="K73">
        <v>1.31435632253765E-3</v>
      </c>
      <c r="L73" t="s">
        <v>26</v>
      </c>
      <c r="M73" t="s">
        <v>27</v>
      </c>
      <c r="N73">
        <v>3512.9592100152399</v>
      </c>
      <c r="O73">
        <v>1912.7693006530601</v>
      </c>
      <c r="P73">
        <v>4713.1016420368796</v>
      </c>
      <c r="Q73">
        <v>1515.1800419434501</v>
      </c>
      <c r="R73">
        <v>2105.95537001923</v>
      </c>
      <c r="S73">
        <v>2117.1724899964902</v>
      </c>
      <c r="T73">
        <v>6480.7667547014798</v>
      </c>
      <c r="U73">
        <v>3960.4586826128798</v>
      </c>
      <c r="V73">
        <v>4473.1313907923604</v>
      </c>
      <c r="W73">
        <v>3938.0497400407999</v>
      </c>
    </row>
    <row r="74" spans="1:23" x14ac:dyDescent="0.2">
      <c r="A74" t="s">
        <v>171</v>
      </c>
      <c r="B74" s="3" t="str">
        <f>HYPERLINK("http://www.ncbi.nlm.nih.gov/gene/13813","Eomes")</f>
        <v>Eomes</v>
      </c>
      <c r="C74">
        <v>13813</v>
      </c>
      <c r="D74" t="s">
        <v>172</v>
      </c>
      <c r="E74" s="3" t="str">
        <f>HYPERLINK("http://genome.ucsc.edu/cgi-bin/hgTracks?db=mm10&amp;lastVirtModeType=default&amp;lastVirtModeExtraState=&amp;virtModeType=default&amp;virtMode=0&amp;nonVirtPosition=&amp;position=chr9:118478188-118486132","chr9:118478188-118486132")</f>
        <v>chr9:118478188-118486132</v>
      </c>
      <c r="F74" t="s">
        <v>25</v>
      </c>
      <c r="G74">
        <v>-2.7674846755038298</v>
      </c>
      <c r="H74">
        <v>0.61121689790163403</v>
      </c>
      <c r="I74">
        <v>-4.5278274946338604</v>
      </c>
      <c r="J74" s="1">
        <v>5.9593198873016103E-6</v>
      </c>
      <c r="K74">
        <v>1.3202750758538201E-3</v>
      </c>
      <c r="L74" t="s">
        <v>26</v>
      </c>
      <c r="M74" t="s">
        <v>27</v>
      </c>
      <c r="N74">
        <v>88.438521687702803</v>
      </c>
      <c r="O74">
        <v>199.83000780713101</v>
      </c>
      <c r="P74">
        <v>4.8949070981312603</v>
      </c>
      <c r="Q74">
        <v>309.43817758000102</v>
      </c>
      <c r="R74">
        <v>125.218967947089</v>
      </c>
      <c r="S74">
        <v>164.832877894304</v>
      </c>
      <c r="T74">
        <v>0.64555899538813499</v>
      </c>
      <c r="U74">
        <v>17.390968712706499</v>
      </c>
      <c r="V74">
        <v>1.07243620014202</v>
      </c>
      <c r="W74">
        <v>0.47066448428837099</v>
      </c>
    </row>
    <row r="75" spans="1:23" x14ac:dyDescent="0.2">
      <c r="A75" t="s">
        <v>173</v>
      </c>
      <c r="B75" s="3" t="str">
        <f>HYPERLINK("http://www.ncbi.nlm.nih.gov/gene/14396","Gabra3")</f>
        <v>Gabra3</v>
      </c>
      <c r="C75">
        <v>14396</v>
      </c>
      <c r="D75" s="5" t="s">
        <v>174</v>
      </c>
      <c r="E75" s="3" t="str">
        <f>HYPERLINK("http://genome.ucsc.edu/cgi-bin/hgTracks?db=mm10&amp;lastVirtModeType=default&amp;lastVirtModeExtraState=&amp;virtModeType=default&amp;virtMode=0&amp;nonVirtPosition=&amp;position=chrX:72432675-72656246","chrX:72432675-72656246")</f>
        <v>chrX:72432675-72656246</v>
      </c>
      <c r="F75" t="s">
        <v>30</v>
      </c>
      <c r="G75" s="4">
        <v>1.0978636900394001</v>
      </c>
      <c r="H75">
        <v>0.24363492321076499</v>
      </c>
      <c r="I75">
        <v>4.5061835781631698</v>
      </c>
      <c r="J75" s="1">
        <v>6.6003989656334103E-6</v>
      </c>
      <c r="K75">
        <v>1.44254395231337E-3</v>
      </c>
      <c r="L75" t="s">
        <v>26</v>
      </c>
      <c r="M75" t="s">
        <v>27</v>
      </c>
      <c r="N75">
        <v>1366.56757375599</v>
      </c>
      <c r="O75">
        <v>811.94060010114799</v>
      </c>
      <c r="P75">
        <v>1782.5378039971299</v>
      </c>
      <c r="Q75">
        <v>896.30368678345098</v>
      </c>
      <c r="R75">
        <v>826.31126442089999</v>
      </c>
      <c r="S75">
        <v>713.20684909909198</v>
      </c>
      <c r="T75">
        <v>2416.3273197377898</v>
      </c>
      <c r="U75">
        <v>1557.8294666112799</v>
      </c>
      <c r="V75">
        <v>1545.3805644046499</v>
      </c>
      <c r="W75">
        <v>1610.6138652348</v>
      </c>
    </row>
    <row r="76" spans="1:23" x14ac:dyDescent="0.2">
      <c r="A76" t="s">
        <v>175</v>
      </c>
      <c r="B76" s="3" t="str">
        <f>HYPERLINK("http://www.ncbi.nlm.nih.gov/gene/623230","Tmem200b")</f>
        <v>Tmem200b</v>
      </c>
      <c r="C76">
        <v>623230</v>
      </c>
      <c r="D76" t="s">
        <v>176</v>
      </c>
      <c r="E76" s="3" t="str">
        <f>HYPERLINK("http://genome.ucsc.edu/cgi-bin/hgTracks?db=mm10&amp;lastVirtModeType=default&amp;lastVirtModeExtraState=&amp;virtModeType=default&amp;virtMode=0&amp;nonVirtPosition=&amp;position=chr4:131921770-131923140","chr4:131921770-131923140")</f>
        <v>chr4:131921770-131923140</v>
      </c>
      <c r="F76" t="s">
        <v>25</v>
      </c>
      <c r="G76">
        <v>-1.7936496812371701</v>
      </c>
      <c r="H76">
        <v>0.39873421727841502</v>
      </c>
      <c r="I76">
        <v>-4.4983590660461301</v>
      </c>
      <c r="J76" s="1">
        <v>6.8479969051817796E-6</v>
      </c>
      <c r="K76">
        <v>1.4767020526333999E-3</v>
      </c>
      <c r="L76" t="s">
        <v>26</v>
      </c>
      <c r="M76" t="s">
        <v>27</v>
      </c>
      <c r="N76">
        <v>97.229078557433695</v>
      </c>
      <c r="O76">
        <v>170.72449455998401</v>
      </c>
      <c r="P76">
        <v>42.107516555520803</v>
      </c>
      <c r="Q76">
        <v>149.383947797242</v>
      </c>
      <c r="R76">
        <v>146.646812729479</v>
      </c>
      <c r="S76">
        <v>216.142723153232</v>
      </c>
      <c r="T76">
        <v>63.910340543425299</v>
      </c>
      <c r="U76">
        <v>40.1330047216303</v>
      </c>
      <c r="V76">
        <v>30.0282136039765</v>
      </c>
      <c r="W76">
        <v>34.358507353051102</v>
      </c>
    </row>
    <row r="77" spans="1:23" x14ac:dyDescent="0.2">
      <c r="A77" t="s">
        <v>177</v>
      </c>
      <c r="B77" s="3" t="str">
        <f>HYPERLINK("http://www.ncbi.nlm.nih.gov/gene/72930","Ppp2r2b")</f>
        <v>Ppp2r2b</v>
      </c>
      <c r="C77">
        <v>72930</v>
      </c>
      <c r="D77" s="5" t="s">
        <v>178</v>
      </c>
      <c r="E77" s="3" t="str">
        <f>HYPERLINK("http://genome.ucsc.edu/cgi-bin/hgTracks?db=mm10&amp;lastVirtModeType=default&amp;lastVirtModeExtraState=&amp;virtModeType=default&amp;virtMode=0&amp;nonVirtPosition=&amp;position=chr18:42645220-43059471","chr18:42645220-43059471")</f>
        <v>chr18:42645220-43059471</v>
      </c>
      <c r="F77" t="s">
        <v>30</v>
      </c>
      <c r="G77" s="4">
        <v>1.1192827420910001</v>
      </c>
      <c r="H77">
        <v>0.249096780570982</v>
      </c>
      <c r="I77">
        <v>4.4933649464491996</v>
      </c>
      <c r="J77" s="1">
        <v>7.0106488681578303E-6</v>
      </c>
      <c r="K77">
        <v>1.4918845282199499E-3</v>
      </c>
      <c r="L77" t="s">
        <v>26</v>
      </c>
      <c r="M77" t="s">
        <v>27</v>
      </c>
      <c r="N77">
        <v>2032.8334910252099</v>
      </c>
      <c r="O77">
        <v>1174.74914577911</v>
      </c>
      <c r="P77">
        <v>2676.3967499597902</v>
      </c>
      <c r="Q77">
        <v>842.95227685586497</v>
      </c>
      <c r="R77">
        <v>1331.2048571059499</v>
      </c>
      <c r="S77">
        <v>1350.0903033755301</v>
      </c>
      <c r="T77">
        <v>2713.2844576163302</v>
      </c>
      <c r="U77">
        <v>2635.40064338706</v>
      </c>
      <c r="V77">
        <v>2162.03137948631</v>
      </c>
      <c r="W77">
        <v>3194.8705193494602</v>
      </c>
    </row>
    <row r="78" spans="1:23" x14ac:dyDescent="0.2">
      <c r="A78" t="s">
        <v>179</v>
      </c>
      <c r="B78" s="3" t="str">
        <f>HYPERLINK("http://www.ncbi.nlm.nih.gov/gene/21679","Tead4")</f>
        <v>Tead4</v>
      </c>
      <c r="C78">
        <v>21679</v>
      </c>
      <c r="D78" t="s">
        <v>180</v>
      </c>
      <c r="E78" s="3" t="str">
        <f>HYPERLINK("http://genome.ucsc.edu/cgi-bin/hgTracks?db=mm10&amp;lastVirtModeType=default&amp;lastVirtModeExtraState=&amp;virtModeType=default&amp;virtMode=0&amp;nonVirtPosition=&amp;position=chr6:128227142-128300813","chr6:128227142-128300813")</f>
        <v>chr6:128227142-128300813</v>
      </c>
      <c r="F78" t="s">
        <v>30</v>
      </c>
      <c r="G78">
        <v>-2.31666700021084</v>
      </c>
      <c r="H78">
        <v>0.51704387391925</v>
      </c>
      <c r="I78">
        <v>-4.4806004230361598</v>
      </c>
      <c r="J78" s="1">
        <v>7.44333474214981E-6</v>
      </c>
      <c r="K78">
        <v>1.56339029590635E-3</v>
      </c>
      <c r="L78" t="s">
        <v>26</v>
      </c>
      <c r="M78" t="s">
        <v>27</v>
      </c>
      <c r="N78">
        <v>52.289847242484797</v>
      </c>
      <c r="O78">
        <v>104.589286788404</v>
      </c>
      <c r="P78">
        <v>13.065267583045401</v>
      </c>
      <c r="Q78">
        <v>117.37310184069</v>
      </c>
      <c r="R78">
        <v>94.416441072404197</v>
      </c>
      <c r="S78">
        <v>101.97831745211801</v>
      </c>
      <c r="T78">
        <v>10.328943926210201</v>
      </c>
      <c r="U78">
        <v>20.0665023608152</v>
      </c>
      <c r="V78">
        <v>17.158979202272299</v>
      </c>
      <c r="W78">
        <v>4.7066448428837102</v>
      </c>
    </row>
    <row r="79" spans="1:23" x14ac:dyDescent="0.2">
      <c r="A79" t="s">
        <v>181</v>
      </c>
      <c r="B79" s="3" t="str">
        <f>HYPERLINK("http://www.ncbi.nlm.nih.gov/gene/20897","Stra6")</f>
        <v>Stra6</v>
      </c>
      <c r="C79">
        <v>20897</v>
      </c>
      <c r="D79" t="s">
        <v>182</v>
      </c>
      <c r="E79" s="3" t="str">
        <f>HYPERLINK("http://genome.ucsc.edu/cgi-bin/hgTracks?db=mm10&amp;lastVirtModeType=default&amp;lastVirtModeExtraState=&amp;virtModeType=default&amp;virtMode=0&amp;nonVirtPosition=&amp;position=chr9:58129348-58153997","chr9:58129348-58153997")</f>
        <v>chr9:58129348-58153997</v>
      </c>
      <c r="F79" t="s">
        <v>25</v>
      </c>
      <c r="G79">
        <v>-1.6244115263574099</v>
      </c>
      <c r="H79">
        <v>0.36323177563222198</v>
      </c>
      <c r="I79">
        <v>-4.4721074402977097</v>
      </c>
      <c r="J79" s="1">
        <v>7.7452494107011792E-6</v>
      </c>
      <c r="K79">
        <v>1.60594767588808E-3</v>
      </c>
      <c r="L79" t="s">
        <v>26</v>
      </c>
      <c r="M79" t="s">
        <v>27</v>
      </c>
      <c r="N79">
        <v>170.09735198543299</v>
      </c>
      <c r="O79">
        <v>284.88388971623402</v>
      </c>
      <c r="P79">
        <v>84.007448687333294</v>
      </c>
      <c r="Q79">
        <v>192.065075739311</v>
      </c>
      <c r="R79">
        <v>244.411354549132</v>
      </c>
      <c r="S79">
        <v>418.17523886025901</v>
      </c>
      <c r="T79">
        <v>91.023818349726994</v>
      </c>
      <c r="U79">
        <v>57.523973434336803</v>
      </c>
      <c r="V79">
        <v>78.287842610367306</v>
      </c>
      <c r="W79">
        <v>109.194160354902</v>
      </c>
    </row>
    <row r="80" spans="1:23" x14ac:dyDescent="0.2">
      <c r="A80" t="s">
        <v>183</v>
      </c>
      <c r="B80" s="3" t="str">
        <f>HYPERLINK("http://www.ncbi.nlm.nih.gov/gene/320265","Fam19a1")</f>
        <v>Fam19a1</v>
      </c>
      <c r="C80">
        <v>320265</v>
      </c>
      <c r="D80" s="5" t="s">
        <v>184</v>
      </c>
      <c r="E80" s="3" t="str">
        <f>HYPERLINK("http://genome.ucsc.edu/cgi-bin/hgTracks?db=mm10&amp;lastVirtModeType=default&amp;lastVirtModeExtraState=&amp;virtModeType=default&amp;virtMode=0&amp;nonVirtPosition=&amp;position=chr6:96113153-96657198","chr6:96113153-96657198")</f>
        <v>chr6:96113153-96657198</v>
      </c>
      <c r="F80" t="s">
        <v>25</v>
      </c>
      <c r="G80" s="4">
        <v>1.3692216891465401</v>
      </c>
      <c r="H80">
        <v>0.306929948448741</v>
      </c>
      <c r="I80">
        <v>4.4610234226628602</v>
      </c>
      <c r="J80" s="1">
        <v>8.1569173491212002E-6</v>
      </c>
      <c r="K80">
        <v>1.66989650996629E-3</v>
      </c>
      <c r="L80" t="s">
        <v>26</v>
      </c>
      <c r="M80" t="s">
        <v>27</v>
      </c>
      <c r="N80">
        <v>439.51507166503802</v>
      </c>
      <c r="O80">
        <v>221.236020854152</v>
      </c>
      <c r="P80">
        <v>603.22435977320197</v>
      </c>
      <c r="Q80">
        <v>245.41648566689699</v>
      </c>
      <c r="R80">
        <v>215.61768812279499</v>
      </c>
      <c r="S80">
        <v>202.67388877276301</v>
      </c>
      <c r="T80">
        <v>880.54246970941495</v>
      </c>
      <c r="U80">
        <v>652.16132672649201</v>
      </c>
      <c r="V80">
        <v>454.71294886021502</v>
      </c>
      <c r="W80">
        <v>425.48069379668698</v>
      </c>
    </row>
    <row r="81" spans="1:23" x14ac:dyDescent="0.2">
      <c r="A81" t="s">
        <v>185</v>
      </c>
      <c r="B81" s="3" t="str">
        <f>HYPERLINK("http://www.ncbi.nlm.nih.gov/gene/80797","Clca3a2")</f>
        <v>Clca3a2</v>
      </c>
      <c r="C81">
        <v>80797</v>
      </c>
      <c r="D81" t="s">
        <v>186</v>
      </c>
      <c r="E81" s="3" t="str">
        <f>HYPERLINK("http://genome.ucsc.edu/cgi-bin/hgTracks?db=mm10&amp;lastVirtModeType=default&amp;lastVirtModeExtraState=&amp;virtModeType=default&amp;virtMode=0&amp;nonVirtPosition=&amp;position=chr3:144796558-144819494","chr3:144796558-144819494")</f>
        <v>chr3:144796558-144819494</v>
      </c>
      <c r="F81" t="s">
        <v>30</v>
      </c>
      <c r="G81">
        <v>-2.6145094608530899</v>
      </c>
      <c r="H81">
        <v>0.58696128548672</v>
      </c>
      <c r="I81">
        <v>-4.4543133005528404</v>
      </c>
      <c r="J81" s="1">
        <v>8.4162127993372203E-6</v>
      </c>
      <c r="K81">
        <v>1.70144262004601E-3</v>
      </c>
      <c r="L81" t="s">
        <v>26</v>
      </c>
      <c r="M81" t="s">
        <v>27</v>
      </c>
      <c r="N81">
        <v>65.659782218957204</v>
      </c>
      <c r="O81">
        <v>142.07629029580499</v>
      </c>
      <c r="P81">
        <v>8.34740116132153</v>
      </c>
      <c r="Q81">
        <v>245.41648566689699</v>
      </c>
      <c r="R81">
        <v>105.130363463599</v>
      </c>
      <c r="S81">
        <v>75.682021756918004</v>
      </c>
      <c r="T81">
        <v>6.4555899538813497</v>
      </c>
      <c r="U81">
        <v>6.6888341202717196</v>
      </c>
      <c r="V81">
        <v>19.3038516025563</v>
      </c>
      <c r="W81">
        <v>0.94132896857674198</v>
      </c>
    </row>
    <row r="82" spans="1:23" x14ac:dyDescent="0.2">
      <c r="A82" t="s">
        <v>187</v>
      </c>
      <c r="B82" s="3" t="str">
        <f>HYPERLINK("http://www.ncbi.nlm.nih.gov/gene/224792","Adgrf5")</f>
        <v>Adgrf5</v>
      </c>
      <c r="C82">
        <v>224792</v>
      </c>
      <c r="D82" s="5" t="s">
        <v>188</v>
      </c>
      <c r="E82" s="3" t="str">
        <f>HYPERLINK("http://genome.ucsc.edu/cgi-bin/hgTracks?db=mm10&amp;lastVirtModeType=default&amp;lastVirtModeExtraState=&amp;virtModeType=default&amp;virtMode=0&amp;nonVirtPosition=&amp;position=chr17:43389465-43459557","chr17:43389465-43459557")</f>
        <v>chr17:43389465-43459557</v>
      </c>
      <c r="F82" t="s">
        <v>25</v>
      </c>
      <c r="G82" s="4">
        <v>0.77245522950257395</v>
      </c>
      <c r="H82">
        <v>0.17416561103675299</v>
      </c>
      <c r="I82">
        <v>4.43517652482823</v>
      </c>
      <c r="J82" s="1">
        <v>9.1996873837626395E-6</v>
      </c>
      <c r="K82">
        <v>1.8368709142912701E-3</v>
      </c>
      <c r="L82" t="s">
        <v>26</v>
      </c>
      <c r="M82" t="s">
        <v>27</v>
      </c>
      <c r="N82">
        <v>845.93139975734596</v>
      </c>
      <c r="O82">
        <v>599.474324654474</v>
      </c>
      <c r="P82">
        <v>1030.7742060845001</v>
      </c>
      <c r="Q82">
        <v>618.87635516000205</v>
      </c>
      <c r="R82">
        <v>579.22142927396897</v>
      </c>
      <c r="S82">
        <v>600.32518952945099</v>
      </c>
      <c r="T82">
        <v>1112.94370804914</v>
      </c>
      <c r="U82">
        <v>925.065758833578</v>
      </c>
      <c r="V82">
        <v>1120.69582914841</v>
      </c>
      <c r="W82">
        <v>964.39152830687203</v>
      </c>
    </row>
    <row r="83" spans="1:23" x14ac:dyDescent="0.2">
      <c r="A83" t="s">
        <v>189</v>
      </c>
      <c r="B83" s="3" t="str">
        <f>HYPERLINK("http://www.ncbi.nlm.nih.gov/gene/102075","Plekhg4")</f>
        <v>Plekhg4</v>
      </c>
      <c r="C83">
        <v>102075</v>
      </c>
      <c r="D83" t="s">
        <v>190</v>
      </c>
      <c r="E83" s="3" t="str">
        <f>HYPERLINK("http://genome.ucsc.edu/cgi-bin/hgTracks?db=mm10&amp;lastVirtModeType=default&amp;lastVirtModeExtraState=&amp;virtModeType=default&amp;virtMode=0&amp;nonVirtPosition=&amp;position=chr8:105375380-105382862","chr8:105375380-105382862")</f>
        <v>chr8:105375380-105382862</v>
      </c>
      <c r="F83" t="s">
        <v>25</v>
      </c>
      <c r="G83">
        <v>-2.1925952649268199</v>
      </c>
      <c r="H83">
        <v>0.49541108588184901</v>
      </c>
      <c r="I83">
        <v>-4.4258098524862897</v>
      </c>
      <c r="J83" s="1">
        <v>9.60811318127546E-6</v>
      </c>
      <c r="K83">
        <v>1.89502456683863E-3</v>
      </c>
      <c r="L83" t="s">
        <v>26</v>
      </c>
      <c r="M83" t="s">
        <v>27</v>
      </c>
      <c r="N83">
        <v>53.493511799366097</v>
      </c>
      <c r="O83">
        <v>105.383902514383</v>
      </c>
      <c r="P83">
        <v>14.575718763103501</v>
      </c>
      <c r="Q83">
        <v>170.72451176827599</v>
      </c>
      <c r="R83">
        <v>56.917712703222399</v>
      </c>
      <c r="S83">
        <v>88.509483071649896</v>
      </c>
      <c r="T83">
        <v>14.202297898538999</v>
      </c>
      <c r="U83">
        <v>20.0665023608152</v>
      </c>
      <c r="V83">
        <v>11.796798201562201</v>
      </c>
      <c r="W83">
        <v>12.237276591497601</v>
      </c>
    </row>
    <row r="84" spans="1:23" x14ac:dyDescent="0.2">
      <c r="A84" t="s">
        <v>191</v>
      </c>
      <c r="B84" s="3" t="str">
        <f>HYPERLINK("http://www.ncbi.nlm.nih.gov/gene/12723","Clcn1")</f>
        <v>Clcn1</v>
      </c>
      <c r="C84">
        <v>12723</v>
      </c>
      <c r="D84" t="s">
        <v>192</v>
      </c>
      <c r="E84" s="3" t="str">
        <f>HYPERLINK("http://genome.ucsc.edu/cgi-bin/hgTracks?db=mm10&amp;lastVirtModeType=default&amp;lastVirtModeExtraState=&amp;virtModeType=default&amp;virtMode=0&amp;nonVirtPosition=&amp;position=chr6:42286684-42314656","chr6:42286684-42314656")</f>
        <v>chr6:42286684-42314656</v>
      </c>
      <c r="F84" t="s">
        <v>25</v>
      </c>
      <c r="G84">
        <v>-2.2821757008637502</v>
      </c>
      <c r="H84">
        <v>0.516225511567867</v>
      </c>
      <c r="I84">
        <v>-4.4208890295490804</v>
      </c>
      <c r="J84" s="1">
        <v>9.8295646756939501E-6</v>
      </c>
      <c r="K84">
        <v>1.9027217580334999E-3</v>
      </c>
      <c r="L84" t="s">
        <v>26</v>
      </c>
      <c r="M84" t="s">
        <v>27</v>
      </c>
      <c r="N84">
        <v>92.839506217309193</v>
      </c>
      <c r="O84">
        <v>186.57006373426</v>
      </c>
      <c r="P84">
        <v>22.541588079596501</v>
      </c>
      <c r="Q84">
        <v>384.130151478622</v>
      </c>
      <c r="R84">
        <v>72.318976140564999</v>
      </c>
      <c r="S84">
        <v>103.261063583592</v>
      </c>
      <c r="T84">
        <v>25.822359815525399</v>
      </c>
      <c r="U84">
        <v>29.430870129195601</v>
      </c>
      <c r="V84">
        <v>16.086543002130298</v>
      </c>
      <c r="W84">
        <v>18.826579371534802</v>
      </c>
    </row>
    <row r="85" spans="1:23" x14ac:dyDescent="0.2">
      <c r="A85" t="s">
        <v>193</v>
      </c>
      <c r="B85" s="3" t="str">
        <f>HYPERLINK("http://www.ncbi.nlm.nih.gov/gene/20277","Scnn1b")</f>
        <v>Scnn1b</v>
      </c>
      <c r="C85">
        <v>20277</v>
      </c>
      <c r="D85" t="s">
        <v>194</v>
      </c>
      <c r="E85" s="3" t="str">
        <f>HYPERLINK("http://genome.ucsc.edu/cgi-bin/hgTracks?db=mm10&amp;lastVirtModeType=default&amp;lastVirtModeExtraState=&amp;virtModeType=default&amp;virtMode=0&amp;nonVirtPosition=&amp;position=chr7:121865037-121918728","chr7:121865037-121918728")</f>
        <v>chr7:121865037-121918728</v>
      </c>
      <c r="F85" t="s">
        <v>25</v>
      </c>
      <c r="G85">
        <v>-2.7041134104503901</v>
      </c>
      <c r="H85">
        <v>0.61182775677508505</v>
      </c>
      <c r="I85">
        <v>-4.41972986760792</v>
      </c>
      <c r="J85" s="1">
        <v>9.8824353969463693E-6</v>
      </c>
      <c r="K85">
        <v>1.9027217580334999E-3</v>
      </c>
      <c r="L85" t="s">
        <v>26</v>
      </c>
      <c r="M85" t="s">
        <v>27</v>
      </c>
      <c r="N85">
        <v>48.747219378000601</v>
      </c>
      <c r="O85">
        <v>110.179739980189</v>
      </c>
      <c r="P85">
        <v>2.6728289263596201</v>
      </c>
      <c r="Q85">
        <v>256.08676765241501</v>
      </c>
      <c r="R85">
        <v>46.873410461477299</v>
      </c>
      <c r="S85">
        <v>27.5790418266735</v>
      </c>
      <c r="T85">
        <v>4.5189129677169397</v>
      </c>
      <c r="U85">
        <v>0</v>
      </c>
      <c r="V85">
        <v>4.2897448005680703</v>
      </c>
      <c r="W85">
        <v>1.88265793715348</v>
      </c>
    </row>
    <row r="86" spans="1:23" x14ac:dyDescent="0.2">
      <c r="A86" t="s">
        <v>195</v>
      </c>
      <c r="B86" s="3" t="str">
        <f>HYPERLINK("http://www.ncbi.nlm.nih.gov/gene/65100","Zic5")</f>
        <v>Zic5</v>
      </c>
      <c r="C86">
        <v>65100</v>
      </c>
      <c r="D86" t="s">
        <v>196</v>
      </c>
      <c r="E86" s="3" t="str">
        <f>HYPERLINK("http://genome.ucsc.edu/cgi-bin/hgTracks?db=mm10&amp;lastVirtModeType=default&amp;lastVirtModeExtraState=&amp;virtModeType=default&amp;virtMode=0&amp;nonVirtPosition=&amp;position=chr14:122459159-122465658","chr14:122459159-122465658")</f>
        <v>chr14:122459159-122465658</v>
      </c>
      <c r="F86" t="s">
        <v>30</v>
      </c>
      <c r="G86">
        <v>-2.4220716175169201</v>
      </c>
      <c r="H86">
        <v>0.54883292689090302</v>
      </c>
      <c r="I86">
        <v>-4.4131310255705296</v>
      </c>
      <c r="J86" s="1">
        <v>1.01886291310276E-5</v>
      </c>
      <c r="K86">
        <v>1.93859645807188E-3</v>
      </c>
      <c r="L86" t="s">
        <v>26</v>
      </c>
      <c r="M86" t="s">
        <v>27</v>
      </c>
      <c r="N86">
        <v>168.466443568855</v>
      </c>
      <c r="O86">
        <v>346.72013215134899</v>
      </c>
      <c r="P86">
        <v>34.776177131983601</v>
      </c>
      <c r="Q86">
        <v>256.08676765241501</v>
      </c>
      <c r="R86">
        <v>326.774632931442</v>
      </c>
      <c r="S86">
        <v>457.29899587019099</v>
      </c>
      <c r="T86">
        <v>68.429253511142207</v>
      </c>
      <c r="U86">
        <v>23.410919420951</v>
      </c>
      <c r="V86">
        <v>43.969884205822702</v>
      </c>
      <c r="W86">
        <v>3.2946513900186001</v>
      </c>
    </row>
    <row r="87" spans="1:23" x14ac:dyDescent="0.2">
      <c r="A87" t="s">
        <v>197</v>
      </c>
      <c r="B87" s="3" t="str">
        <f>HYPERLINK("http://www.ncbi.nlm.nih.gov/gene/12386","Ctnna2")</f>
        <v>Ctnna2</v>
      </c>
      <c r="C87">
        <v>12386</v>
      </c>
      <c r="D87" s="5" t="s">
        <v>198</v>
      </c>
      <c r="E87" s="3" t="str">
        <f>HYPERLINK("http://genome.ucsc.edu/cgi-bin/hgTracks?db=mm10&amp;lastVirtModeType=default&amp;lastVirtModeExtraState=&amp;virtModeType=default&amp;virtMode=0&amp;nonVirtPosition=&amp;position=chr6:76881636-77979667","chr6:76881636-77979667")</f>
        <v>chr6:76881636-77979667</v>
      </c>
      <c r="F87" t="s">
        <v>30</v>
      </c>
      <c r="G87" s="4">
        <v>1.0909202209602</v>
      </c>
      <c r="H87">
        <v>0.24767202456777601</v>
      </c>
      <c r="I87">
        <v>4.4046969893512102</v>
      </c>
      <c r="J87" s="1">
        <v>1.05931842295563E-5</v>
      </c>
      <c r="K87">
        <v>1.9921345179606301E-3</v>
      </c>
      <c r="L87" t="s">
        <v>26</v>
      </c>
      <c r="M87" t="s">
        <v>27</v>
      </c>
      <c r="N87">
        <v>2812.9125496112501</v>
      </c>
      <c r="O87">
        <v>1657.9677903901199</v>
      </c>
      <c r="P87">
        <v>3679.1211190270901</v>
      </c>
      <c r="Q87">
        <v>1291.1041202475899</v>
      </c>
      <c r="R87">
        <v>1718.91492363732</v>
      </c>
      <c r="S87">
        <v>1963.8843272854499</v>
      </c>
      <c r="T87">
        <v>4076.7050558760702</v>
      </c>
      <c r="U87">
        <v>3927.6833954235499</v>
      </c>
      <c r="V87">
        <v>2756.16103436499</v>
      </c>
      <c r="W87">
        <v>3955.9349904437599</v>
      </c>
    </row>
    <row r="88" spans="1:23" x14ac:dyDescent="0.2">
      <c r="A88" t="s">
        <v>199</v>
      </c>
      <c r="B88" s="3" t="str">
        <f>HYPERLINK("http://www.ncbi.nlm.nih.gov/gene/14369","Fzd7")</f>
        <v>Fzd7</v>
      </c>
      <c r="C88">
        <v>14369</v>
      </c>
      <c r="D88" t="s">
        <v>200</v>
      </c>
      <c r="E88" s="3" t="str">
        <f>HYPERLINK("http://genome.ucsc.edu/cgi-bin/hgTracks?db=mm10&amp;lastVirtModeType=default&amp;lastVirtModeExtraState=&amp;virtModeType=default&amp;virtMode=0&amp;nonVirtPosition=&amp;position=chr1:59482146-59486955","chr1:59482146-59486955")</f>
        <v>chr1:59482146-59486955</v>
      </c>
      <c r="F88" t="s">
        <v>25</v>
      </c>
      <c r="G88">
        <v>-1.5112852815417599</v>
      </c>
      <c r="H88">
        <v>0.34385217329409401</v>
      </c>
      <c r="I88">
        <v>-4.3951598940430898</v>
      </c>
      <c r="J88" s="1">
        <v>1.1069124612824999E-5</v>
      </c>
      <c r="K88">
        <v>2.05771209612895E-3</v>
      </c>
      <c r="L88" t="s">
        <v>26</v>
      </c>
      <c r="M88" t="s">
        <v>27</v>
      </c>
      <c r="N88">
        <v>474.80694389948002</v>
      </c>
      <c r="O88">
        <v>774.11608936118796</v>
      </c>
      <c r="P88">
        <v>250.32508480319899</v>
      </c>
      <c r="Q88">
        <v>458.82212537724303</v>
      </c>
      <c r="R88">
        <v>676.98597109362197</v>
      </c>
      <c r="S88">
        <v>1186.5401716127001</v>
      </c>
      <c r="T88">
        <v>223.36341240429499</v>
      </c>
      <c r="U88">
        <v>180.59852124733601</v>
      </c>
      <c r="V88">
        <v>343.17958404544601</v>
      </c>
      <c r="W88">
        <v>254.15882151572001</v>
      </c>
    </row>
    <row r="89" spans="1:23" x14ac:dyDescent="0.2">
      <c r="A89" t="s">
        <v>201</v>
      </c>
      <c r="B89" s="3" t="str">
        <f>HYPERLINK("http://www.ncbi.nlm.nih.gov/gene/11304","Abca4")</f>
        <v>Abca4</v>
      </c>
      <c r="C89">
        <v>11304</v>
      </c>
      <c r="D89" t="s">
        <v>202</v>
      </c>
      <c r="E89" s="3" t="str">
        <f>HYPERLINK("http://genome.ucsc.edu/cgi-bin/hgTracks?db=mm10&amp;lastVirtModeType=default&amp;lastVirtModeExtraState=&amp;virtModeType=default&amp;virtMode=0&amp;nonVirtPosition=&amp;position=chr3:122044459-122180061","chr3:122044459-122180061")</f>
        <v>chr3:122044459-122180061</v>
      </c>
      <c r="F89" t="s">
        <v>25</v>
      </c>
      <c r="G89">
        <v>-2.1367100246356898</v>
      </c>
      <c r="H89">
        <v>0.487896066981511</v>
      </c>
      <c r="I89">
        <v>-4.3794368703461304</v>
      </c>
      <c r="J89" s="1">
        <v>1.18986384019708E-5</v>
      </c>
      <c r="K89">
        <v>2.1786642141709998E-3</v>
      </c>
      <c r="L89" t="s">
        <v>26</v>
      </c>
      <c r="M89" t="s">
        <v>27</v>
      </c>
      <c r="N89">
        <v>369.19040691415398</v>
      </c>
      <c r="O89">
        <v>709.22572709178098</v>
      </c>
      <c r="P89">
        <v>114.163916780935</v>
      </c>
      <c r="Q89">
        <v>405.47071544965598</v>
      </c>
      <c r="R89">
        <v>1203.97702871052</v>
      </c>
      <c r="S89">
        <v>518.229437115167</v>
      </c>
      <c r="T89">
        <v>35.505744746347403</v>
      </c>
      <c r="U89">
        <v>80.934892855287799</v>
      </c>
      <c r="V89">
        <v>238.08083643152801</v>
      </c>
      <c r="W89">
        <v>102.13419309057601</v>
      </c>
    </row>
    <row r="90" spans="1:23" x14ac:dyDescent="0.2">
      <c r="A90" t="s">
        <v>203</v>
      </c>
      <c r="B90" s="3" t="str">
        <f>HYPERLINK("http://www.ncbi.nlm.nih.gov/gene/20510","Slc1a1")</f>
        <v>Slc1a1</v>
      </c>
      <c r="C90">
        <v>20510</v>
      </c>
      <c r="D90" s="5" t="s">
        <v>204</v>
      </c>
      <c r="E90" s="3" t="str">
        <f>HYPERLINK("http://genome.ucsc.edu/cgi-bin/hgTracks?db=mm10&amp;lastVirtModeType=default&amp;lastVirtModeExtraState=&amp;virtModeType=default&amp;virtMode=0&amp;nonVirtPosition=&amp;position=chr19:28835165-28913960","chr19:28835165-28913960")</f>
        <v>chr19:28835165-28913960</v>
      </c>
      <c r="F90" t="s">
        <v>25</v>
      </c>
      <c r="G90" s="4">
        <v>1.20073176288982</v>
      </c>
      <c r="H90">
        <v>0.27434482895912399</v>
      </c>
      <c r="I90">
        <v>4.3767246040154797</v>
      </c>
      <c r="J90" s="1">
        <v>1.2047603773502499E-5</v>
      </c>
      <c r="K90">
        <v>2.1786642141709998E-3</v>
      </c>
      <c r="L90" t="s">
        <v>26</v>
      </c>
      <c r="M90" t="s">
        <v>27</v>
      </c>
      <c r="N90">
        <v>1502.8521527380699</v>
      </c>
      <c r="O90">
        <v>831.84553209269802</v>
      </c>
      <c r="P90">
        <v>2006.1071182221001</v>
      </c>
      <c r="Q90">
        <v>800.27114891379597</v>
      </c>
      <c r="R90">
        <v>991.03782118551999</v>
      </c>
      <c r="S90">
        <v>704.22762617877902</v>
      </c>
      <c r="T90">
        <v>2128.4080077946801</v>
      </c>
      <c r="U90">
        <v>2048.1210076272</v>
      </c>
      <c r="V90">
        <v>1322.3138347751101</v>
      </c>
      <c r="W90">
        <v>2525.5856226914002</v>
      </c>
    </row>
    <row r="91" spans="1:23" x14ac:dyDescent="0.2">
      <c r="A91" t="s">
        <v>205</v>
      </c>
      <c r="B91" s="3" t="str">
        <f>HYPERLINK("http://www.ncbi.nlm.nih.gov/gene/16691","Krt8")</f>
        <v>Krt8</v>
      </c>
      <c r="C91">
        <v>16691</v>
      </c>
      <c r="D91" t="s">
        <v>206</v>
      </c>
      <c r="E91" s="3" t="str">
        <f>HYPERLINK("http://genome.ucsc.edu/cgi-bin/hgTracks?db=mm10&amp;lastVirtModeType=default&amp;lastVirtModeExtraState=&amp;virtModeType=default&amp;virtMode=0&amp;nonVirtPosition=&amp;position=chr15:101996710-102004342","chr15:101996710-102004342")</f>
        <v>chr15:101996710-102004342</v>
      </c>
      <c r="F91" t="s">
        <v>30</v>
      </c>
      <c r="G91">
        <v>-2.5869715229997801</v>
      </c>
      <c r="H91">
        <v>0.59126076191447596</v>
      </c>
      <c r="I91">
        <v>-4.3753478830952401</v>
      </c>
      <c r="J91" s="1">
        <v>1.21238965730161E-5</v>
      </c>
      <c r="K91">
        <v>2.1786642141709998E-3</v>
      </c>
      <c r="L91" t="s">
        <v>26</v>
      </c>
      <c r="M91" t="s">
        <v>27</v>
      </c>
      <c r="N91">
        <v>24.949501900680101</v>
      </c>
      <c r="O91">
        <v>53.986344579918303</v>
      </c>
      <c r="P91">
        <v>3.1718698912513399</v>
      </c>
      <c r="Q91">
        <v>64.021691913103695</v>
      </c>
      <c r="R91">
        <v>56.2480925537727</v>
      </c>
      <c r="S91">
        <v>41.689249272878598</v>
      </c>
      <c r="T91">
        <v>1.29111799077627</v>
      </c>
      <c r="U91">
        <v>2.0066502360815099</v>
      </c>
      <c r="V91">
        <v>7.5070534009941197</v>
      </c>
      <c r="W91">
        <v>1.88265793715348</v>
      </c>
    </row>
    <row r="92" spans="1:23" x14ac:dyDescent="0.2">
      <c r="A92" t="s">
        <v>207</v>
      </c>
      <c r="B92" s="3" t="str">
        <f>HYPERLINK("http://www.ncbi.nlm.nih.gov/gene/102747","Lrrc49")</f>
        <v>Lrrc49</v>
      </c>
      <c r="C92">
        <v>102747</v>
      </c>
      <c r="D92" s="5" t="s">
        <v>208</v>
      </c>
      <c r="E92" s="3" t="str">
        <f>HYPERLINK("http://genome.ucsc.edu/cgi-bin/hgTracks?db=mm10&amp;lastVirtModeType=default&amp;lastVirtModeExtraState=&amp;virtModeType=default&amp;virtMode=0&amp;nonVirtPosition=&amp;position=chr9:60587223-60687534","chr9:60587223-60687534")</f>
        <v>chr9:60587223-60687534</v>
      </c>
      <c r="F92" t="s">
        <v>30</v>
      </c>
      <c r="G92" s="4">
        <v>0.77234340697400705</v>
      </c>
      <c r="H92">
        <v>0.176965239039692</v>
      </c>
      <c r="I92">
        <v>4.3643791920105599</v>
      </c>
      <c r="J92" s="1">
        <v>1.2748427716673699E-5</v>
      </c>
      <c r="K92">
        <v>2.2657178182611398E-3</v>
      </c>
      <c r="L92" t="s">
        <v>26</v>
      </c>
      <c r="M92" t="s">
        <v>27</v>
      </c>
      <c r="N92">
        <v>1524.99061631275</v>
      </c>
      <c r="O92">
        <v>1064.8688307221701</v>
      </c>
      <c r="P92">
        <v>1870.0819555056901</v>
      </c>
      <c r="Q92">
        <v>885.63340479793396</v>
      </c>
      <c r="R92">
        <v>1141.03273466225</v>
      </c>
      <c r="S92">
        <v>1167.94035270634</v>
      </c>
      <c r="T92">
        <v>1764.9582933911599</v>
      </c>
      <c r="U92">
        <v>1824.71394801012</v>
      </c>
      <c r="V92">
        <v>1945.3992670576199</v>
      </c>
      <c r="W92">
        <v>1945.25631356384</v>
      </c>
    </row>
    <row r="93" spans="1:23" x14ac:dyDescent="0.2">
      <c r="A93" t="s">
        <v>209</v>
      </c>
      <c r="B93" s="3" t="str">
        <f>HYPERLINK("http://www.ncbi.nlm.nih.gov/gene/11889","Asgr1")</f>
        <v>Asgr1</v>
      </c>
      <c r="C93">
        <v>11889</v>
      </c>
      <c r="D93" t="s">
        <v>210</v>
      </c>
      <c r="E93" s="3" t="str">
        <f>HYPERLINK("http://genome.ucsc.edu/cgi-bin/hgTracks?db=mm10&amp;lastVirtModeType=default&amp;lastVirtModeExtraState=&amp;virtModeType=default&amp;virtMode=0&amp;nonVirtPosition=&amp;position=chr11:70054354-70057895","chr11:70054354-70057895")</f>
        <v>chr11:70054354-70057895</v>
      </c>
      <c r="F93" t="s">
        <v>25</v>
      </c>
      <c r="G93">
        <v>-2.4896718316395599</v>
      </c>
      <c r="H93">
        <v>0.57349484233716197</v>
      </c>
      <c r="I93">
        <v>-4.3412279376278402</v>
      </c>
      <c r="J93" s="1">
        <v>1.41688642040279E-5</v>
      </c>
      <c r="K93">
        <v>2.49079392143199E-3</v>
      </c>
      <c r="L93" t="s">
        <v>26</v>
      </c>
      <c r="M93" t="s">
        <v>27</v>
      </c>
      <c r="N93">
        <v>81.399832194466796</v>
      </c>
      <c r="O93">
        <v>171.73806133702601</v>
      </c>
      <c r="P93">
        <v>13.646160337547601</v>
      </c>
      <c r="Q93">
        <v>149.383947797242</v>
      </c>
      <c r="R93">
        <v>97.094921670202993</v>
      </c>
      <c r="S93">
        <v>268.73531454363302</v>
      </c>
      <c r="T93">
        <v>30.341272783242299</v>
      </c>
      <c r="U93">
        <v>12.708784828516301</v>
      </c>
      <c r="V93">
        <v>9.6519258012781606</v>
      </c>
      <c r="W93">
        <v>1.88265793715348</v>
      </c>
    </row>
    <row r="94" spans="1:23" x14ac:dyDescent="0.2">
      <c r="A94" t="s">
        <v>211</v>
      </c>
      <c r="B94" s="3" t="str">
        <f>HYPERLINK("http://www.ncbi.nlm.nih.gov/gene/72925","March1")</f>
        <v>March1</v>
      </c>
      <c r="C94">
        <v>72925</v>
      </c>
      <c r="D94" t="s">
        <v>212</v>
      </c>
      <c r="E94" s="3" t="str">
        <f>HYPERLINK("http://genome.ucsc.edu/cgi-bin/hgTracks?db=mm10&amp;lastVirtModeType=default&amp;lastVirtModeExtraState=&amp;virtModeType=default&amp;virtMode=0&amp;nonVirtPosition=&amp;position=chr8:65618524-66471637","chr8:65618524-66471637")</f>
        <v>chr8:65618524-66471637</v>
      </c>
      <c r="F94" t="s">
        <v>25</v>
      </c>
      <c r="G94" s="4">
        <v>1.23761796670663</v>
      </c>
      <c r="H94">
        <v>0.28597729208096101</v>
      </c>
      <c r="I94">
        <v>4.3276791583726801</v>
      </c>
      <c r="J94" s="1">
        <v>1.5068876048228399E-5</v>
      </c>
      <c r="K94">
        <v>2.6205261540644901E-3</v>
      </c>
      <c r="L94" t="s">
        <v>26</v>
      </c>
      <c r="M94" t="s">
        <v>27</v>
      </c>
      <c r="N94">
        <v>1040.99641473066</v>
      </c>
      <c r="O94">
        <v>559.71427369923697</v>
      </c>
      <c r="P94">
        <v>1401.95802050423</v>
      </c>
      <c r="Q94">
        <v>490.832971333795</v>
      </c>
      <c r="R94">
        <v>695.73533527821303</v>
      </c>
      <c r="S94">
        <v>492.57451448570401</v>
      </c>
      <c r="T94">
        <v>1532.5570550514301</v>
      </c>
      <c r="U94">
        <v>1450.8081206869399</v>
      </c>
      <c r="V94">
        <v>885.83230131730704</v>
      </c>
      <c r="W94">
        <v>1738.63460496124</v>
      </c>
    </row>
    <row r="95" spans="1:23" x14ac:dyDescent="0.2">
      <c r="A95" t="s">
        <v>213</v>
      </c>
      <c r="B95" s="3" t="str">
        <f>HYPERLINK("http://www.ncbi.nlm.nih.gov/gene/30838","Fbxw4")</f>
        <v>Fbxw4</v>
      </c>
      <c r="C95">
        <v>30838</v>
      </c>
      <c r="D95" t="s">
        <v>214</v>
      </c>
      <c r="E95" s="3" t="str">
        <f>HYPERLINK("http://genome.ucsc.edu/cgi-bin/hgTracks?db=mm10&amp;lastVirtModeType=default&amp;lastVirtModeExtraState=&amp;virtModeType=default&amp;virtMode=0&amp;nonVirtPosition=&amp;position=chr19:45578256-45660193","chr19:45578256-45660193")</f>
        <v>chr19:45578256-45660193</v>
      </c>
      <c r="F95" t="s">
        <v>30</v>
      </c>
      <c r="G95">
        <v>-1.1741290580655701</v>
      </c>
      <c r="H95">
        <v>0.27149084658343198</v>
      </c>
      <c r="I95">
        <v>-4.3247463877377603</v>
      </c>
      <c r="J95" s="1">
        <v>1.52707441779304E-5</v>
      </c>
      <c r="K95">
        <v>2.6273802722305102E-3</v>
      </c>
      <c r="L95" t="s">
        <v>26</v>
      </c>
      <c r="M95" t="s">
        <v>27</v>
      </c>
      <c r="N95">
        <v>391.14168244784298</v>
      </c>
      <c r="O95">
        <v>578.74143352450801</v>
      </c>
      <c r="P95">
        <v>250.44186914034401</v>
      </c>
      <c r="Q95">
        <v>426.81127942069099</v>
      </c>
      <c r="R95">
        <v>480.11764715541699</v>
      </c>
      <c r="S95">
        <v>829.29537399741503</v>
      </c>
      <c r="T95">
        <v>265.970306099911</v>
      </c>
      <c r="U95">
        <v>243.47356197789</v>
      </c>
      <c r="V95">
        <v>254.167379433658</v>
      </c>
      <c r="W95">
        <v>238.15622904991599</v>
      </c>
    </row>
    <row r="96" spans="1:23" x14ac:dyDescent="0.2">
      <c r="A96" t="s">
        <v>215</v>
      </c>
      <c r="B96" s="3" t="str">
        <f>HYPERLINK("http://www.ncbi.nlm.nih.gov/gene/22062","Trp73")</f>
        <v>Trp73</v>
      </c>
      <c r="C96">
        <v>22062</v>
      </c>
      <c r="D96" t="s">
        <v>216</v>
      </c>
      <c r="E96" s="3" t="str">
        <f>HYPERLINK("http://genome.ucsc.edu/cgi-bin/hgTracks?db=mm10&amp;lastVirtModeType=default&amp;lastVirtModeExtraState=&amp;virtModeType=default&amp;virtMode=0&amp;nonVirtPosition=&amp;position=chr4:154056248-154140208","chr4:154056248-154140208")</f>
        <v>chr4:154056248-154140208</v>
      </c>
      <c r="F96" t="s">
        <v>30</v>
      </c>
      <c r="G96">
        <v>-2.5502681538411398</v>
      </c>
      <c r="H96">
        <v>0.590130591537945</v>
      </c>
      <c r="I96">
        <v>-4.3215318616085696</v>
      </c>
      <c r="J96" s="1">
        <v>1.5494967118876801E-5</v>
      </c>
      <c r="K96">
        <v>2.6378958233010002E-3</v>
      </c>
      <c r="L96" t="s">
        <v>26</v>
      </c>
      <c r="M96" t="s">
        <v>27</v>
      </c>
      <c r="N96">
        <v>70.948157495431204</v>
      </c>
      <c r="O96">
        <v>153.39802915558599</v>
      </c>
      <c r="P96">
        <v>9.1107537503152098</v>
      </c>
      <c r="Q96">
        <v>309.43817758000102</v>
      </c>
      <c r="R96">
        <v>61.6050537493701</v>
      </c>
      <c r="S96">
        <v>89.150856137386498</v>
      </c>
      <c r="T96">
        <v>14.202297898538999</v>
      </c>
      <c r="U96">
        <v>7.3577175322988904</v>
      </c>
      <c r="V96">
        <v>13.9416706018462</v>
      </c>
      <c r="W96">
        <v>0.94132896857674198</v>
      </c>
    </row>
    <row r="97" spans="1:23" x14ac:dyDescent="0.2">
      <c r="A97" t="s">
        <v>217</v>
      </c>
      <c r="B97" s="3" t="str">
        <f>HYPERLINK("http://www.ncbi.nlm.nih.gov/gene/14725","Lrp2")</f>
        <v>Lrp2</v>
      </c>
      <c r="C97">
        <v>14725</v>
      </c>
      <c r="D97" t="s">
        <v>218</v>
      </c>
      <c r="E97" s="3" t="str">
        <f>HYPERLINK("http://genome.ucsc.edu/cgi-bin/hgTracks?db=mm10&amp;lastVirtModeType=default&amp;lastVirtModeExtraState=&amp;virtModeType=default&amp;virtMode=0&amp;nonVirtPosition=&amp;position=chr2:69424334-69586067","chr2:69424334-69586067")</f>
        <v>chr2:69424334-69586067</v>
      </c>
      <c r="F97" t="s">
        <v>30</v>
      </c>
      <c r="G97">
        <v>-2.4686471660579601</v>
      </c>
      <c r="H97">
        <v>0.57409680878003799</v>
      </c>
      <c r="I97">
        <v>-4.3000538033016804</v>
      </c>
      <c r="J97" s="1">
        <v>1.70756647799888E-5</v>
      </c>
      <c r="K97">
        <v>2.8767159009037398E-3</v>
      </c>
      <c r="L97" t="s">
        <v>26</v>
      </c>
      <c r="M97" t="s">
        <v>27</v>
      </c>
      <c r="N97">
        <v>130.13479086662099</v>
      </c>
      <c r="O97">
        <v>275.51729844212099</v>
      </c>
      <c r="P97">
        <v>21.0979101849959</v>
      </c>
      <c r="Q97">
        <v>693.56832905862302</v>
      </c>
      <c r="R97">
        <v>96.425301520753294</v>
      </c>
      <c r="S97">
        <v>36.558264746985799</v>
      </c>
      <c r="T97">
        <v>16.784533880091502</v>
      </c>
      <c r="U97">
        <v>18.728735536760801</v>
      </c>
      <c r="V97">
        <v>22.521160202982401</v>
      </c>
      <c r="W97">
        <v>26.357211120148801</v>
      </c>
    </row>
    <row r="98" spans="1:23" x14ac:dyDescent="0.2">
      <c r="A98" t="s">
        <v>219</v>
      </c>
      <c r="B98" s="3" t="str">
        <f>HYPERLINK("http://www.ncbi.nlm.nih.gov/gene/212111","Inpp5a")</f>
        <v>Inpp5a</v>
      </c>
      <c r="C98">
        <v>212111</v>
      </c>
      <c r="D98" t="s">
        <v>220</v>
      </c>
      <c r="E98" s="3" t="str">
        <f>HYPERLINK("http://genome.ucsc.edu/cgi-bin/hgTracks?db=mm10&amp;lastVirtModeType=default&amp;lastVirtModeExtraState=&amp;virtModeType=default&amp;virtMode=0&amp;nonVirtPosition=&amp;position=chr7:139389108-139579652","chr7:139389108-139579652")</f>
        <v>chr7:139389108-139579652</v>
      </c>
      <c r="F98" t="s">
        <v>25</v>
      </c>
      <c r="G98">
        <v>-1.96734350446731</v>
      </c>
      <c r="H98">
        <v>0.45869871693667102</v>
      </c>
      <c r="I98">
        <v>-4.2889666611797397</v>
      </c>
      <c r="J98" s="1">
        <v>1.7950631231925599E-5</v>
      </c>
      <c r="K98">
        <v>2.9583856629681101E-3</v>
      </c>
      <c r="L98" t="s">
        <v>26</v>
      </c>
      <c r="M98" t="s">
        <v>27</v>
      </c>
      <c r="N98">
        <v>1241.63385806777</v>
      </c>
      <c r="O98">
        <v>2296.63849172031</v>
      </c>
      <c r="P98">
        <v>450.38038282835799</v>
      </c>
      <c r="Q98">
        <v>650.88720111655402</v>
      </c>
      <c r="R98">
        <v>2639.6426291306202</v>
      </c>
      <c r="S98">
        <v>3599.3856449137602</v>
      </c>
      <c r="T98">
        <v>613.92660461411594</v>
      </c>
      <c r="U98">
        <v>367.88587661494398</v>
      </c>
      <c r="V98">
        <v>595.20209107881999</v>
      </c>
      <c r="W98">
        <v>224.506959005553</v>
      </c>
    </row>
    <row r="99" spans="1:23" x14ac:dyDescent="0.2">
      <c r="A99" t="s">
        <v>221</v>
      </c>
      <c r="B99" s="3" t="str">
        <f>HYPERLINK("http://www.ncbi.nlm.nih.gov/gene/12404","Cbln1")</f>
        <v>Cbln1</v>
      </c>
      <c r="C99">
        <v>12404</v>
      </c>
      <c r="D99" t="s">
        <v>222</v>
      </c>
      <c r="E99" s="3" t="str">
        <f>HYPERLINK("http://genome.ucsc.edu/cgi-bin/hgTracks?db=mm10&amp;lastVirtModeType=default&amp;lastVirtModeExtraState=&amp;virtModeType=default&amp;virtMode=0&amp;nonVirtPosition=&amp;position=chr8:87468852-87472592","chr8:87468852-87472592")</f>
        <v>chr8:87468852-87472592</v>
      </c>
      <c r="F99" t="s">
        <v>30</v>
      </c>
      <c r="G99">
        <v>-2.1863764289372698</v>
      </c>
      <c r="H99">
        <v>0.51000000503384602</v>
      </c>
      <c r="I99">
        <v>-4.2870125634453196</v>
      </c>
      <c r="J99" s="1">
        <v>1.8109205505091401E-5</v>
      </c>
      <c r="K99">
        <v>2.9583856629681101E-3</v>
      </c>
      <c r="L99" t="s">
        <v>26</v>
      </c>
      <c r="M99" t="s">
        <v>27</v>
      </c>
      <c r="N99">
        <v>1762.4711478299801</v>
      </c>
      <c r="O99">
        <v>3449.3985181923199</v>
      </c>
      <c r="P99">
        <v>497.27562005822102</v>
      </c>
      <c r="Q99">
        <v>736.24945700069202</v>
      </c>
      <c r="R99">
        <v>2729.3717291568801</v>
      </c>
      <c r="S99">
        <v>6882.5743684193803</v>
      </c>
      <c r="T99">
        <v>817.27768816137802</v>
      </c>
      <c r="U99">
        <v>400.66116380427599</v>
      </c>
      <c r="V99">
        <v>552.304643073139</v>
      </c>
      <c r="W99">
        <v>218.85898519409201</v>
      </c>
    </row>
    <row r="100" spans="1:23" x14ac:dyDescent="0.2">
      <c r="A100" t="s">
        <v>223</v>
      </c>
      <c r="B100" s="3" t="str">
        <f>HYPERLINK("http://www.ncbi.nlm.nih.gov/gene/68262","Agpat4")</f>
        <v>Agpat4</v>
      </c>
      <c r="C100">
        <v>68262</v>
      </c>
      <c r="D100" s="5" t="s">
        <v>224</v>
      </c>
      <c r="E100" s="3" t="str">
        <f>HYPERLINK("http://genome.ucsc.edu/cgi-bin/hgTracks?db=mm10&amp;lastVirtModeType=default&amp;lastVirtModeExtraState=&amp;virtModeType=default&amp;virtMode=0&amp;nonVirtPosition=&amp;position=chr17:12119283-12219640","chr17:12119283-12219640")</f>
        <v>chr17:12119283-12219640</v>
      </c>
      <c r="F100" t="s">
        <v>25</v>
      </c>
      <c r="G100" s="4">
        <v>0.77702664819664102</v>
      </c>
      <c r="H100">
        <v>0.18241703915121099</v>
      </c>
      <c r="I100">
        <v>4.2596166005772096</v>
      </c>
      <c r="J100" s="1">
        <v>2.0477785343705798E-5</v>
      </c>
      <c r="K100">
        <v>3.3118722236375399E-3</v>
      </c>
      <c r="L100" t="s">
        <v>26</v>
      </c>
      <c r="M100" t="s">
        <v>27</v>
      </c>
      <c r="N100">
        <v>810.58592582404503</v>
      </c>
      <c r="O100">
        <v>561.08980089476995</v>
      </c>
      <c r="P100">
        <v>997.70801952099998</v>
      </c>
      <c r="Q100">
        <v>469.49240736275999</v>
      </c>
      <c r="R100">
        <v>554.445483744331</v>
      </c>
      <c r="S100">
        <v>659.33151157721795</v>
      </c>
      <c r="T100">
        <v>1001.90756084238</v>
      </c>
      <c r="U100">
        <v>953.15886213872</v>
      </c>
      <c r="V100">
        <v>1025.2490073357701</v>
      </c>
      <c r="W100">
        <v>1010.5166477671301</v>
      </c>
    </row>
    <row r="101" spans="1:23" x14ac:dyDescent="0.2">
      <c r="A101" t="s">
        <v>225</v>
      </c>
      <c r="B101" s="3" t="str">
        <f>HYPERLINK("http://www.ncbi.nlm.nih.gov/gene/18768","Pkib")</f>
        <v>Pkib</v>
      </c>
      <c r="C101">
        <v>18768</v>
      </c>
      <c r="D101" t="s">
        <v>226</v>
      </c>
      <c r="E101" s="3" t="str">
        <f>HYPERLINK("http://genome.ucsc.edu/cgi-bin/hgTracks?db=mm10&amp;lastVirtModeType=default&amp;lastVirtModeExtraState=&amp;virtModeType=default&amp;virtMode=0&amp;nonVirtPosition=&amp;position=chr10:57645868-57741112","chr10:57645868-57741112")</f>
        <v>chr10:57645868-57741112</v>
      </c>
      <c r="F101" t="s">
        <v>25</v>
      </c>
      <c r="G101">
        <v>-1.7627718834141</v>
      </c>
      <c r="H101">
        <v>0.41474915856192501</v>
      </c>
      <c r="I101">
        <v>-4.2502120788532096</v>
      </c>
      <c r="J101" s="1">
        <v>2.1356820441465701E-5</v>
      </c>
      <c r="K101">
        <v>3.4198401683150901E-3</v>
      </c>
      <c r="L101" t="s">
        <v>26</v>
      </c>
      <c r="M101" t="s">
        <v>27</v>
      </c>
      <c r="N101">
        <v>473.50832434068201</v>
      </c>
      <c r="O101">
        <v>832.00348632923101</v>
      </c>
      <c r="P101">
        <v>204.63695284926999</v>
      </c>
      <c r="Q101">
        <v>832.28199487034703</v>
      </c>
      <c r="R101">
        <v>684.35179273756796</v>
      </c>
      <c r="S101">
        <v>979.37667137977803</v>
      </c>
      <c r="T101">
        <v>304.058286827811</v>
      </c>
      <c r="U101">
        <v>146.485467233951</v>
      </c>
      <c r="V101">
        <v>295.99239123919699</v>
      </c>
      <c r="W101">
        <v>72.011666096120706</v>
      </c>
    </row>
    <row r="102" spans="1:23" x14ac:dyDescent="0.2">
      <c r="A102" t="s">
        <v>227</v>
      </c>
      <c r="B102" s="3" t="str">
        <f>HYPERLINK("http://www.ncbi.nlm.nih.gov/gene/192212","Prom2")</f>
        <v>Prom2</v>
      </c>
      <c r="C102">
        <v>192212</v>
      </c>
      <c r="D102" t="s">
        <v>228</v>
      </c>
      <c r="E102" s="3" t="str">
        <f>HYPERLINK("http://genome.ucsc.edu/cgi-bin/hgTracks?db=mm10&amp;lastVirtModeType=default&amp;lastVirtModeExtraState=&amp;virtModeType=default&amp;virtMode=0&amp;nonVirtPosition=&amp;position=chr2:127526952-127541417","chr2:127526952-127541417")</f>
        <v>chr2:127526952-127541417</v>
      </c>
      <c r="F102" t="s">
        <v>30</v>
      </c>
      <c r="G102">
        <v>-2.4338847452755101</v>
      </c>
      <c r="H102">
        <v>0.57407059244358705</v>
      </c>
      <c r="I102">
        <v>-4.2396959142523603</v>
      </c>
      <c r="J102" s="1">
        <v>2.2382277775121999E-5</v>
      </c>
      <c r="K102">
        <v>3.5489076319318502E-3</v>
      </c>
      <c r="L102" t="s">
        <v>26</v>
      </c>
      <c r="M102" t="s">
        <v>27</v>
      </c>
      <c r="N102">
        <v>87.7401201361087</v>
      </c>
      <c r="O102">
        <v>185.326466093269</v>
      </c>
      <c r="P102">
        <v>14.5503606682382</v>
      </c>
      <c r="Q102">
        <v>437.48156140620802</v>
      </c>
      <c r="R102">
        <v>72.318976140564999</v>
      </c>
      <c r="S102">
        <v>46.178860733034703</v>
      </c>
      <c r="T102">
        <v>6.4555899538813497</v>
      </c>
      <c r="U102">
        <v>18.059852124733599</v>
      </c>
      <c r="V102">
        <v>21.4487240028404</v>
      </c>
      <c r="W102">
        <v>12.237276591497601</v>
      </c>
    </row>
    <row r="103" spans="1:23" x14ac:dyDescent="0.2">
      <c r="A103" t="s">
        <v>229</v>
      </c>
      <c r="B103" s="3" t="str">
        <f>HYPERLINK("http://www.ncbi.nlm.nih.gov/gene/66722","Spag16")</f>
        <v>Spag16</v>
      </c>
      <c r="C103">
        <v>66722</v>
      </c>
      <c r="D103" t="s">
        <v>230</v>
      </c>
      <c r="E103" s="3" t="str">
        <f>HYPERLINK("http://genome.ucsc.edu/cgi-bin/hgTracks?db=mm10&amp;lastVirtModeType=default&amp;lastVirtModeExtraState=&amp;virtModeType=default&amp;virtMode=0&amp;nonVirtPosition=&amp;position=chr1:69951614-70725132","chr1:69951614-70725132")</f>
        <v>chr1:69951614-70725132</v>
      </c>
      <c r="F103" t="s">
        <v>25</v>
      </c>
      <c r="G103">
        <v>-2.4287678520473102</v>
      </c>
      <c r="H103">
        <v>0.57444542512032004</v>
      </c>
      <c r="I103">
        <v>-4.2280219248653497</v>
      </c>
      <c r="J103" s="1">
        <v>2.35754823365792E-5</v>
      </c>
      <c r="K103">
        <v>3.6953047617021501E-3</v>
      </c>
      <c r="L103" t="s">
        <v>26</v>
      </c>
      <c r="M103" t="s">
        <v>27</v>
      </c>
      <c r="N103">
        <v>70.2967727814992</v>
      </c>
      <c r="O103">
        <v>148.49217477932601</v>
      </c>
      <c r="P103">
        <v>11.6502212831293</v>
      </c>
      <c r="Q103">
        <v>330.77874155103598</v>
      </c>
      <c r="R103">
        <v>58.256953002121797</v>
      </c>
      <c r="S103">
        <v>56.440829784820203</v>
      </c>
      <c r="T103">
        <v>9.6833849308220206</v>
      </c>
      <c r="U103">
        <v>13.3776682405434</v>
      </c>
      <c r="V103">
        <v>19.3038516025563</v>
      </c>
      <c r="W103">
        <v>4.2359803585953397</v>
      </c>
    </row>
    <row r="104" spans="1:23" x14ac:dyDescent="0.2">
      <c r="A104" t="s">
        <v>231</v>
      </c>
      <c r="B104" s="3" t="str">
        <f>HYPERLINK("http://www.ncbi.nlm.nih.gov/gene/18431","Oca2")</f>
        <v>Oca2</v>
      </c>
      <c r="C104">
        <v>18431</v>
      </c>
      <c r="D104" t="s">
        <v>232</v>
      </c>
      <c r="E104" s="3" t="str">
        <f>HYPERLINK("http://genome.ucsc.edu/cgi-bin/hgTracks?db=mm10&amp;lastVirtModeType=default&amp;lastVirtModeExtraState=&amp;virtModeType=default&amp;virtMode=0&amp;nonVirtPosition=&amp;position=chr7:56239770-56536517","chr7:56239770-56536517")</f>
        <v>chr7:56239770-56536517</v>
      </c>
      <c r="F104" t="s">
        <v>25</v>
      </c>
      <c r="G104">
        <v>-2.4411833916942101</v>
      </c>
      <c r="H104">
        <v>0.57762496114276496</v>
      </c>
      <c r="I104">
        <v>-4.2262429013881402</v>
      </c>
      <c r="J104" s="1">
        <v>2.37625483965265E-5</v>
      </c>
      <c r="K104">
        <v>3.6953047617021501E-3</v>
      </c>
      <c r="L104" t="s">
        <v>26</v>
      </c>
      <c r="M104" t="s">
        <v>27</v>
      </c>
      <c r="N104">
        <v>68.309723696663099</v>
      </c>
      <c r="O104">
        <v>144.24218828380501</v>
      </c>
      <c r="P104">
        <v>11.3603752563067</v>
      </c>
      <c r="Q104">
        <v>224.075921695863</v>
      </c>
      <c r="R104">
        <v>172.09237840856699</v>
      </c>
      <c r="S104">
        <v>36.558264746985799</v>
      </c>
      <c r="T104">
        <v>3.8733539723288102</v>
      </c>
      <c r="U104">
        <v>7.3577175322988904</v>
      </c>
      <c r="V104">
        <v>25.738468803408399</v>
      </c>
      <c r="W104">
        <v>8.4719607171906706</v>
      </c>
    </row>
    <row r="105" spans="1:23" x14ac:dyDescent="0.2">
      <c r="A105" t="s">
        <v>233</v>
      </c>
      <c r="B105" s="3" t="str">
        <f>HYPERLINK("http://www.ncbi.nlm.nih.gov/gene/320558","Sycp2")</f>
        <v>Sycp2</v>
      </c>
      <c r="C105">
        <v>320558</v>
      </c>
      <c r="D105" t="s">
        <v>234</v>
      </c>
      <c r="E105" s="3" t="str">
        <f>HYPERLINK("http://genome.ucsc.edu/cgi-bin/hgTracks?db=mm10&amp;lastVirtModeType=default&amp;lastVirtModeExtraState=&amp;virtModeType=default&amp;virtMode=0&amp;nonVirtPosition=&amp;position=chr2:178345295-178407658","chr2:178345295-178407658")</f>
        <v>chr2:178345295-178407658</v>
      </c>
      <c r="F105" t="s">
        <v>30</v>
      </c>
      <c r="G105">
        <v>-1.91762505096512</v>
      </c>
      <c r="H105">
        <v>0.45493974407378202</v>
      </c>
      <c r="I105">
        <v>-4.2151187623082702</v>
      </c>
      <c r="J105" s="1">
        <v>2.4964678075825402E-5</v>
      </c>
      <c r="K105">
        <v>3.84527370019357E-3</v>
      </c>
      <c r="L105" t="s">
        <v>26</v>
      </c>
      <c r="M105" t="s">
        <v>27</v>
      </c>
      <c r="N105">
        <v>89.400806069908796</v>
      </c>
      <c r="O105">
        <v>166.32990963067101</v>
      </c>
      <c r="P105">
        <v>31.7039783993371</v>
      </c>
      <c r="Q105">
        <v>288.09761360896601</v>
      </c>
      <c r="R105">
        <v>88.389859727357205</v>
      </c>
      <c r="S105">
        <v>122.502255555689</v>
      </c>
      <c r="T105">
        <v>27.113477806301599</v>
      </c>
      <c r="U105">
        <v>38.795237897576001</v>
      </c>
      <c r="V105">
        <v>24.666032603266402</v>
      </c>
      <c r="W105">
        <v>36.241165290204499</v>
      </c>
    </row>
    <row r="106" spans="1:23" x14ac:dyDescent="0.2">
      <c r="A106" t="s">
        <v>235</v>
      </c>
      <c r="B106" s="3" t="str">
        <f>HYPERLINK("http://www.ncbi.nlm.nih.gov/gene/245578","Pcdh11x")</f>
        <v>Pcdh11x</v>
      </c>
      <c r="C106">
        <v>245578</v>
      </c>
      <c r="D106" t="s">
        <v>236</v>
      </c>
      <c r="E106" s="3" t="str">
        <f>HYPERLINK("http://genome.ucsc.edu/cgi-bin/hgTracks?db=mm10&amp;lastVirtModeType=default&amp;lastVirtModeExtraState=&amp;virtModeType=default&amp;virtMode=0&amp;nonVirtPosition=&amp;position=chrX:120290326-120910618","chrX:120290326-120910618")</f>
        <v>chrX:120290326-120910618</v>
      </c>
      <c r="F106" t="s">
        <v>25</v>
      </c>
      <c r="G106">
        <v>1.3651994633751201</v>
      </c>
      <c r="H106">
        <v>0.32529042483901899</v>
      </c>
      <c r="I106">
        <v>4.1968633538805697</v>
      </c>
      <c r="J106" s="1">
        <v>2.7063710879773001E-5</v>
      </c>
      <c r="K106">
        <v>4.1292584533827196E-3</v>
      </c>
      <c r="L106" t="s">
        <v>26</v>
      </c>
      <c r="M106" t="s">
        <v>27</v>
      </c>
      <c r="N106">
        <v>1827.4358110150599</v>
      </c>
      <c r="O106">
        <v>900.67368635524895</v>
      </c>
      <c r="P106">
        <v>2522.50740450991</v>
      </c>
      <c r="Q106">
        <v>746.91973898620904</v>
      </c>
      <c r="R106">
        <v>1190.5846257215201</v>
      </c>
      <c r="S106">
        <v>764.51669435801898</v>
      </c>
      <c r="T106">
        <v>2066.4343442374202</v>
      </c>
      <c r="U106">
        <v>3398.5966165100599</v>
      </c>
      <c r="V106">
        <v>1568.97416080777</v>
      </c>
      <c r="W106">
        <v>3056.0244964843901</v>
      </c>
    </row>
    <row r="107" spans="1:23" x14ac:dyDescent="0.2">
      <c r="A107" t="s">
        <v>237</v>
      </c>
      <c r="B107" s="3" t="str">
        <f>HYPERLINK("http://www.ncbi.nlm.nih.gov/gene/12722","Clca3a1")</f>
        <v>Clca3a1</v>
      </c>
      <c r="C107">
        <v>12722</v>
      </c>
      <c r="D107" t="s">
        <v>238</v>
      </c>
      <c r="E107" s="3" t="str">
        <f>HYPERLINK("http://genome.ucsc.edu/cgi-bin/hgTracks?db=mm10&amp;lastVirtModeType=default&amp;lastVirtModeExtraState=&amp;virtModeType=default&amp;virtMode=0&amp;nonVirtPosition=&amp;position=chr3:144729676-144760977","chr3:144729676-144760977")</f>
        <v>chr3:144729676-144760977</v>
      </c>
      <c r="F107" t="s">
        <v>30</v>
      </c>
      <c r="G107">
        <v>-2.25417704204219</v>
      </c>
      <c r="H107">
        <v>0.53756253448706204</v>
      </c>
      <c r="I107">
        <v>-4.1933298870858096</v>
      </c>
      <c r="J107" s="1">
        <v>2.7488923572265701E-5</v>
      </c>
      <c r="K107">
        <v>4.15493795265657E-3</v>
      </c>
      <c r="L107" t="s">
        <v>26</v>
      </c>
      <c r="M107" t="s">
        <v>27</v>
      </c>
      <c r="N107">
        <v>92.422886151500194</v>
      </c>
      <c r="O107">
        <v>185.137380114113</v>
      </c>
      <c r="P107">
        <v>22.887015679540699</v>
      </c>
      <c r="Q107">
        <v>170.72451176827599</v>
      </c>
      <c r="R107">
        <v>316.06071054024699</v>
      </c>
      <c r="S107">
        <v>68.6269180338155</v>
      </c>
      <c r="T107">
        <v>18.075651870867802</v>
      </c>
      <c r="U107">
        <v>7.3577175322988904</v>
      </c>
      <c r="V107">
        <v>36.462830804828599</v>
      </c>
      <c r="W107">
        <v>29.651862510167401</v>
      </c>
    </row>
    <row r="108" spans="1:23" x14ac:dyDescent="0.2">
      <c r="A108" t="s">
        <v>239</v>
      </c>
      <c r="B108" s="3" t="str">
        <f>HYPERLINK("http://www.ncbi.nlm.nih.gov/gene/218518","Marveld2")</f>
        <v>Marveld2</v>
      </c>
      <c r="C108">
        <v>218518</v>
      </c>
      <c r="D108" t="s">
        <v>240</v>
      </c>
      <c r="E108" s="3" t="str">
        <f>HYPERLINK("http://genome.ucsc.edu/cgi-bin/hgTracks?db=mm10&amp;lastVirtModeType=default&amp;lastVirtModeExtraState=&amp;virtModeType=default&amp;virtMode=0&amp;nonVirtPosition=&amp;position=chr13:100595956-100616971","chr13:100595956-100616971")</f>
        <v>chr13:100595956-100616971</v>
      </c>
      <c r="F108" t="s">
        <v>30</v>
      </c>
      <c r="G108">
        <v>-1.86604503991356</v>
      </c>
      <c r="H108">
        <v>0.44541641143571198</v>
      </c>
      <c r="I108">
        <v>-4.1894393471015903</v>
      </c>
      <c r="J108" s="1">
        <v>2.7964451261164499E-5</v>
      </c>
      <c r="K108">
        <v>4.1876765763593799E-3</v>
      </c>
      <c r="L108" t="s">
        <v>26</v>
      </c>
      <c r="M108" t="s">
        <v>27</v>
      </c>
      <c r="N108">
        <v>74.950010373737797</v>
      </c>
      <c r="O108">
        <v>134.706420314383</v>
      </c>
      <c r="P108">
        <v>30.132702918254001</v>
      </c>
      <c r="Q108">
        <v>96.032537869655499</v>
      </c>
      <c r="R108">
        <v>111.826564958096</v>
      </c>
      <c r="S108">
        <v>196.26015811539801</v>
      </c>
      <c r="T108">
        <v>43.898011686393097</v>
      </c>
      <c r="U108">
        <v>23.410919420951</v>
      </c>
      <c r="V108">
        <v>31.1006498041185</v>
      </c>
      <c r="W108">
        <v>22.121230761553399</v>
      </c>
    </row>
    <row r="109" spans="1:23" x14ac:dyDescent="0.2">
      <c r="A109" t="s">
        <v>241</v>
      </c>
      <c r="B109" s="3" t="str">
        <f>HYPERLINK("http://www.ncbi.nlm.nih.gov/gene/252837","Ackr4")</f>
        <v>Ackr4</v>
      </c>
      <c r="C109">
        <v>252837</v>
      </c>
      <c r="D109" t="s">
        <v>242</v>
      </c>
      <c r="E109" s="3" t="str">
        <f>HYPERLINK("http://genome.ucsc.edu/cgi-bin/hgTracks?db=mm10&amp;lastVirtModeType=default&amp;lastVirtModeExtraState=&amp;virtModeType=default&amp;virtMode=0&amp;nonVirtPosition=&amp;position=chr9:104098137-104126643","chr9:104098137-104126643")</f>
        <v>chr9:104098137-104126643</v>
      </c>
      <c r="F109" t="s">
        <v>30</v>
      </c>
      <c r="G109">
        <v>-2.2985023102029198</v>
      </c>
      <c r="H109">
        <v>0.55023400060271699</v>
      </c>
      <c r="I109">
        <v>-4.1773178460167602</v>
      </c>
      <c r="J109" s="1">
        <v>2.9496671049883501E-5</v>
      </c>
      <c r="K109">
        <v>4.3766023934840902E-3</v>
      </c>
      <c r="L109" t="s">
        <v>26</v>
      </c>
      <c r="M109" t="s">
        <v>27</v>
      </c>
      <c r="N109">
        <v>59.142031434596902</v>
      </c>
      <c r="O109">
        <v>121.210208435334</v>
      </c>
      <c r="P109">
        <v>12.590898684043999</v>
      </c>
      <c r="Q109">
        <v>234.74620368138</v>
      </c>
      <c r="R109">
        <v>44.864550013128301</v>
      </c>
      <c r="S109">
        <v>84.019871611493699</v>
      </c>
      <c r="T109">
        <v>14.8478568939271</v>
      </c>
      <c r="U109">
        <v>12.708784828516301</v>
      </c>
      <c r="V109">
        <v>17.158979202272299</v>
      </c>
      <c r="W109">
        <v>5.6479738114604503</v>
      </c>
    </row>
    <row r="110" spans="1:23" x14ac:dyDescent="0.2">
      <c r="A110" t="s">
        <v>243</v>
      </c>
      <c r="B110" s="3" t="str">
        <f>HYPERLINK("http://www.ncbi.nlm.nih.gov/gene/15171","Hcrt")</f>
        <v>Hcrt</v>
      </c>
      <c r="C110">
        <v>15171</v>
      </c>
      <c r="D110" t="s">
        <v>244</v>
      </c>
      <c r="E110" s="3" t="str">
        <f>HYPERLINK("http://genome.ucsc.edu/cgi-bin/hgTracks?db=mm10&amp;lastVirtModeType=default&amp;lastVirtModeExtraState=&amp;virtModeType=default&amp;virtMode=0&amp;nonVirtPosition=&amp;position=chr11:100761692-100762931","chr11:100761692-100762931")</f>
        <v>chr11:100761692-100762931</v>
      </c>
      <c r="F110" t="s">
        <v>30</v>
      </c>
      <c r="G110">
        <v>-2.5559987939792701</v>
      </c>
      <c r="H110">
        <v>0.61379147294318304</v>
      </c>
      <c r="I110">
        <v>-4.1642787602164502</v>
      </c>
      <c r="J110" s="1">
        <v>3.1233832227967703E-5</v>
      </c>
      <c r="K110">
        <v>4.5511294373172901E-3</v>
      </c>
      <c r="L110" t="s">
        <v>26</v>
      </c>
      <c r="M110" t="s">
        <v>27</v>
      </c>
      <c r="N110">
        <v>80.106457133853894</v>
      </c>
      <c r="O110">
        <v>183.496912640891</v>
      </c>
      <c r="P110">
        <v>2.5636155035759498</v>
      </c>
      <c r="Q110">
        <v>448.151843391726</v>
      </c>
      <c r="R110">
        <v>99.773402268001604</v>
      </c>
      <c r="S110">
        <v>2.5654922629463699</v>
      </c>
      <c r="T110">
        <v>7.1011489492694801</v>
      </c>
      <c r="U110">
        <v>0.66888341202717205</v>
      </c>
      <c r="V110">
        <v>1.07243620014202</v>
      </c>
      <c r="W110">
        <v>1.4119934528651099</v>
      </c>
    </row>
    <row r="111" spans="1:23" x14ac:dyDescent="0.2">
      <c r="A111" t="s">
        <v>245</v>
      </c>
      <c r="B111" s="3" t="str">
        <f>HYPERLINK("http://www.ncbi.nlm.nih.gov/gene/69248","2610035F20Rik")</f>
        <v>2610035F20Rik</v>
      </c>
      <c r="C111">
        <v>69248</v>
      </c>
      <c r="D111" t="s">
        <v>246</v>
      </c>
      <c r="E111" s="3" t="str">
        <f>HYPERLINK("http://genome.ucsc.edu/cgi-bin/hgTracks?db=mm10&amp;lastVirtModeType=default&amp;lastVirtModeExtraState=&amp;virtModeType=default&amp;virtMode=0&amp;nonVirtPosition=&amp;position=chr14:122470376-122475199","chr14:122470376-122475199")</f>
        <v>chr14:122470376-122475199</v>
      </c>
      <c r="F111" t="s">
        <v>30</v>
      </c>
      <c r="G111">
        <v>-2.3081360577171601</v>
      </c>
      <c r="H111">
        <v>0.55427214449098305</v>
      </c>
      <c r="I111">
        <v>-4.1642649385471904</v>
      </c>
      <c r="J111" s="1">
        <v>3.1235724203439E-5</v>
      </c>
      <c r="K111">
        <v>4.5511294373172901E-3</v>
      </c>
      <c r="L111" t="s">
        <v>26</v>
      </c>
      <c r="M111" t="s">
        <v>27</v>
      </c>
      <c r="N111">
        <v>63.710705396349702</v>
      </c>
      <c r="O111">
        <v>130.20526239856099</v>
      </c>
      <c r="P111">
        <v>13.839787644691</v>
      </c>
      <c r="Q111">
        <v>170.72451176827599</v>
      </c>
      <c r="R111">
        <v>73.658216439464297</v>
      </c>
      <c r="S111">
        <v>146.233058987943</v>
      </c>
      <c r="T111">
        <v>18.721210866255898</v>
      </c>
      <c r="U111">
        <v>16.053201888652101</v>
      </c>
      <c r="V111">
        <v>18.231415402414299</v>
      </c>
      <c r="W111">
        <v>2.3533224214418502</v>
      </c>
    </row>
    <row r="112" spans="1:23" x14ac:dyDescent="0.2">
      <c r="A112" t="s">
        <v>247</v>
      </c>
      <c r="B112" s="3" t="str">
        <f>HYPERLINK("http://www.ncbi.nlm.nih.gov/gene/22029","Traf1")</f>
        <v>Traf1</v>
      </c>
      <c r="C112">
        <v>22029</v>
      </c>
      <c r="D112" t="s">
        <v>248</v>
      </c>
      <c r="E112" s="3" t="str">
        <f>HYPERLINK("http://genome.ucsc.edu/cgi-bin/hgTracks?db=mm10&amp;lastVirtModeType=default&amp;lastVirtModeExtraState=&amp;virtModeType=default&amp;virtMode=0&amp;nonVirtPosition=&amp;position=chr2:34941749-34961772","chr2:34941749-34961772")</f>
        <v>chr2:34941749-34961772</v>
      </c>
      <c r="F112" t="s">
        <v>30</v>
      </c>
      <c r="G112">
        <v>-2.2609424325749901</v>
      </c>
      <c r="H112">
        <v>0.54365436120366195</v>
      </c>
      <c r="I112">
        <v>-4.1587865267358799</v>
      </c>
      <c r="J112" s="1">
        <v>3.1994272631344697E-5</v>
      </c>
      <c r="K112">
        <v>4.62003010059587E-3</v>
      </c>
      <c r="L112" t="s">
        <v>26</v>
      </c>
      <c r="M112" t="s">
        <v>27</v>
      </c>
      <c r="N112">
        <v>103.79625432898</v>
      </c>
      <c r="O112">
        <v>210.546314417487</v>
      </c>
      <c r="P112">
        <v>23.733709262599199</v>
      </c>
      <c r="Q112">
        <v>458.82212537724303</v>
      </c>
      <c r="R112">
        <v>67.631635094417206</v>
      </c>
      <c r="S112">
        <v>105.185182780801</v>
      </c>
      <c r="T112">
        <v>16.138974884703401</v>
      </c>
      <c r="U112">
        <v>33.4441706013586</v>
      </c>
      <c r="V112">
        <v>32.173086004260497</v>
      </c>
      <c r="W112">
        <v>13.1786055600744</v>
      </c>
    </row>
    <row r="113" spans="1:23" x14ac:dyDescent="0.2">
      <c r="A113" t="s">
        <v>249</v>
      </c>
      <c r="B113" s="3" t="str">
        <f>HYPERLINK("http://www.ncbi.nlm.nih.gov/gene/66540","Fam107b")</f>
        <v>Fam107b</v>
      </c>
      <c r="C113">
        <v>66540</v>
      </c>
      <c r="D113" t="s">
        <v>250</v>
      </c>
      <c r="E113" s="3" t="str">
        <f>HYPERLINK("http://genome.ucsc.edu/cgi-bin/hgTracks?db=mm10&amp;lastVirtModeType=default&amp;lastVirtModeExtraState=&amp;virtModeType=default&amp;virtMode=0&amp;nonVirtPosition=&amp;position=chr2:3713457-3782134","chr2:3713457-3782134")</f>
        <v>chr2:3713457-3782134</v>
      </c>
      <c r="F113" t="s">
        <v>25</v>
      </c>
      <c r="G113">
        <v>-1.9729502333431299</v>
      </c>
      <c r="H113">
        <v>0.474688494459022</v>
      </c>
      <c r="I113">
        <v>-4.15630514826697</v>
      </c>
      <c r="J113" s="1">
        <v>3.2343577094039302E-5</v>
      </c>
      <c r="K113">
        <v>4.6291386932911299E-3</v>
      </c>
      <c r="L113" t="s">
        <v>26</v>
      </c>
      <c r="M113" t="s">
        <v>27</v>
      </c>
      <c r="N113">
        <v>1099.4427171171201</v>
      </c>
      <c r="O113">
        <v>2047.8395606522199</v>
      </c>
      <c r="P113">
        <v>388.14508446579799</v>
      </c>
      <c r="Q113">
        <v>480.16268934827701</v>
      </c>
      <c r="R113">
        <v>2022.9224714874699</v>
      </c>
      <c r="S113">
        <v>3640.4335211209</v>
      </c>
      <c r="T113">
        <v>416.38555202534701</v>
      </c>
      <c r="U113">
        <v>387.283495563732</v>
      </c>
      <c r="V113">
        <v>551.23220687299704</v>
      </c>
      <c r="W113">
        <v>197.679083401116</v>
      </c>
    </row>
    <row r="114" spans="1:23" x14ac:dyDescent="0.2">
      <c r="A114" t="s">
        <v>251</v>
      </c>
      <c r="B114" s="3" t="str">
        <f>HYPERLINK("http://www.ncbi.nlm.nih.gov/gene/52250","Reep1")</f>
        <v>Reep1</v>
      </c>
      <c r="C114">
        <v>52250</v>
      </c>
      <c r="D114" t="s">
        <v>252</v>
      </c>
      <c r="E114" s="3" t="str">
        <f>HYPERLINK("http://genome.ucsc.edu/cgi-bin/hgTracks?db=mm10&amp;lastVirtModeType=default&amp;lastVirtModeExtraState=&amp;virtModeType=default&amp;virtMode=0&amp;nonVirtPosition=&amp;position=chr6:71707680-71810705","chr6:71707680-71810705")</f>
        <v>chr6:71707680-71810705</v>
      </c>
      <c r="F114" t="s">
        <v>25</v>
      </c>
      <c r="G114">
        <v>0.85721210937953796</v>
      </c>
      <c r="H114">
        <v>0.20771593424839199</v>
      </c>
      <c r="I114">
        <v>4.12684810378805</v>
      </c>
      <c r="J114" s="1">
        <v>3.6776913491984599E-5</v>
      </c>
      <c r="K114">
        <v>5.2174826482970704E-3</v>
      </c>
      <c r="L114" t="s">
        <v>26</v>
      </c>
      <c r="M114" t="s">
        <v>27</v>
      </c>
      <c r="N114">
        <v>2500.1309241120598</v>
      </c>
      <c r="O114">
        <v>1676.97698095337</v>
      </c>
      <c r="P114">
        <v>3117.4963814810799</v>
      </c>
      <c r="Q114">
        <v>1408.4772220882801</v>
      </c>
      <c r="R114">
        <v>1976.0490610259901</v>
      </c>
      <c r="S114">
        <v>1646.40465974584</v>
      </c>
      <c r="T114">
        <v>2865.6363805279302</v>
      </c>
      <c r="U114">
        <v>2927.7026944429299</v>
      </c>
      <c r="V114">
        <v>3617.3273030790301</v>
      </c>
      <c r="W114">
        <v>3059.3191478744102</v>
      </c>
    </row>
    <row r="115" spans="1:23" x14ac:dyDescent="0.2">
      <c r="A115" t="s">
        <v>253</v>
      </c>
      <c r="B115" s="3" t="str">
        <f>HYPERLINK("http://www.ncbi.nlm.nih.gov/gene/26558","Homer3")</f>
        <v>Homer3</v>
      </c>
      <c r="C115">
        <v>26558</v>
      </c>
      <c r="D115" t="s">
        <v>254</v>
      </c>
      <c r="E115" s="3" t="str">
        <f>HYPERLINK("http://genome.ucsc.edu/cgi-bin/hgTracks?db=mm10&amp;lastVirtModeType=default&amp;lastVirtModeExtraState=&amp;virtModeType=default&amp;virtMode=0&amp;nonVirtPosition=&amp;position=chr8:70282998-70294361","chr8:70282998-70294361")</f>
        <v>chr8:70282998-70294361</v>
      </c>
      <c r="F115" t="s">
        <v>25</v>
      </c>
      <c r="G115">
        <v>-2.1516909657344798</v>
      </c>
      <c r="H115">
        <v>0.52368937832108797</v>
      </c>
      <c r="I115">
        <v>-4.1087160725555396</v>
      </c>
      <c r="J115" s="1">
        <v>3.9786485519868899E-5</v>
      </c>
      <c r="K115">
        <v>5.5953637418507804E-3</v>
      </c>
      <c r="L115" t="s">
        <v>26</v>
      </c>
      <c r="M115" t="s">
        <v>27</v>
      </c>
      <c r="N115">
        <v>698.29808686019305</v>
      </c>
      <c r="O115">
        <v>1368.4973519448999</v>
      </c>
      <c r="P115">
        <v>195.64863804666101</v>
      </c>
      <c r="Q115">
        <v>128.04338382620699</v>
      </c>
      <c r="R115">
        <v>1527.4035608947099</v>
      </c>
      <c r="S115">
        <v>2450.04511111379</v>
      </c>
      <c r="T115">
        <v>120.073973142193</v>
      </c>
      <c r="U115">
        <v>199.32725678409699</v>
      </c>
      <c r="V115">
        <v>173.73466442300699</v>
      </c>
      <c r="W115">
        <v>289.45865783734803</v>
      </c>
    </row>
    <row r="116" spans="1:23" x14ac:dyDescent="0.2">
      <c r="A116" t="s">
        <v>255</v>
      </c>
      <c r="B116" s="3" t="str">
        <f>HYPERLINK("http://www.ncbi.nlm.nih.gov/gene/228366","Large2")</f>
        <v>Large2</v>
      </c>
      <c r="C116">
        <v>228366</v>
      </c>
      <c r="D116" t="s">
        <v>256</v>
      </c>
      <c r="E116" s="3" t="str">
        <f>HYPERLINK("http://genome.ucsc.edu/cgi-bin/hgTracks?db=mm10&amp;lastVirtModeType=default&amp;lastVirtModeExtraState=&amp;virtModeType=default&amp;virtMode=0&amp;nonVirtPosition=&amp;position=chr2:92365045-92371057","chr2:92365045-92371057")</f>
        <v>chr2:92365045-92371057</v>
      </c>
      <c r="F116" t="s">
        <v>30</v>
      </c>
      <c r="G116">
        <v>-2.45509900481458</v>
      </c>
      <c r="H116">
        <v>0.60002347738512196</v>
      </c>
      <c r="I116">
        <v>-4.0916715717754899</v>
      </c>
      <c r="J116" s="1">
        <v>4.2827491086716101E-5</v>
      </c>
      <c r="K116">
        <v>5.9667706820894697E-3</v>
      </c>
      <c r="L116" t="s">
        <v>26</v>
      </c>
      <c r="M116" t="s">
        <v>27</v>
      </c>
      <c r="N116">
        <v>48.175831424531097</v>
      </c>
      <c r="O116">
        <v>104.96401420315701</v>
      </c>
      <c r="P116">
        <v>5.5846943405620104</v>
      </c>
      <c r="Q116">
        <v>256.08676765241501</v>
      </c>
      <c r="R116">
        <v>40.8468291164302</v>
      </c>
      <c r="S116">
        <v>17.958445840624599</v>
      </c>
      <c r="T116">
        <v>3.22779497694067</v>
      </c>
      <c r="U116">
        <v>6.6888341202717196</v>
      </c>
      <c r="V116">
        <v>5.3621810007100903</v>
      </c>
      <c r="W116">
        <v>7.05996726432556</v>
      </c>
    </row>
    <row r="117" spans="1:23" x14ac:dyDescent="0.2">
      <c r="A117" t="s">
        <v>257</v>
      </c>
      <c r="B117" s="3" t="str">
        <f>HYPERLINK("http://www.ncbi.nlm.nih.gov/gene/263764","Creg2")</f>
        <v>Creg2</v>
      </c>
      <c r="C117">
        <v>263764</v>
      </c>
      <c r="D117" t="s">
        <v>258</v>
      </c>
      <c r="E117" s="3" t="str">
        <f>HYPERLINK("http://genome.ucsc.edu/cgi-bin/hgTracks?db=mm10&amp;lastVirtModeType=default&amp;lastVirtModeExtraState=&amp;virtModeType=default&amp;virtMode=0&amp;nonVirtPosition=&amp;position=chr1:39618405-39651182","chr1:39618405-39651182")</f>
        <v>chr1:39618405-39651182</v>
      </c>
      <c r="F117" t="s">
        <v>30</v>
      </c>
      <c r="G117">
        <v>1.68309523189736</v>
      </c>
      <c r="H117">
        <v>0.411529852206305</v>
      </c>
      <c r="I117">
        <v>4.0898496740246202</v>
      </c>
      <c r="J117" s="1">
        <v>4.31652859583545E-5</v>
      </c>
      <c r="K117">
        <v>5.9667706820894697E-3</v>
      </c>
      <c r="L117" t="s">
        <v>26</v>
      </c>
      <c r="M117" t="s">
        <v>27</v>
      </c>
      <c r="N117">
        <v>1763.78818395194</v>
      </c>
      <c r="O117">
        <v>678.53845868503402</v>
      </c>
      <c r="P117">
        <v>2577.72547790212</v>
      </c>
      <c r="Q117">
        <v>885.63340479793396</v>
      </c>
      <c r="R117">
        <v>516.946755375149</v>
      </c>
      <c r="S117">
        <v>633.03521588201795</v>
      </c>
      <c r="T117">
        <v>5103.1438585431997</v>
      </c>
      <c r="U117">
        <v>2069.5252768120699</v>
      </c>
      <c r="V117">
        <v>1677.29021702212</v>
      </c>
      <c r="W117">
        <v>1460.9425592310999</v>
      </c>
    </row>
    <row r="118" spans="1:23" x14ac:dyDescent="0.2">
      <c r="A118" t="s">
        <v>259</v>
      </c>
      <c r="B118" s="3" t="str">
        <f>HYPERLINK("http://www.ncbi.nlm.nih.gov/gene/54698","Crtam")</f>
        <v>Crtam</v>
      </c>
      <c r="C118">
        <v>54698</v>
      </c>
      <c r="D118" t="s">
        <v>260</v>
      </c>
      <c r="E118" s="3" t="str">
        <f>HYPERLINK("http://genome.ucsc.edu/cgi-bin/hgTracks?db=mm10&amp;lastVirtModeType=default&amp;lastVirtModeExtraState=&amp;virtModeType=default&amp;virtMode=0&amp;nonVirtPosition=&amp;position=chr9:40972797-41004628","chr9:40972797-41004628")</f>
        <v>chr9:40972797-41004628</v>
      </c>
      <c r="F118" t="s">
        <v>30</v>
      </c>
      <c r="G118">
        <v>-2.4987804325220302</v>
      </c>
      <c r="H118">
        <v>0.61148282384096397</v>
      </c>
      <c r="I118">
        <v>-4.0864278359058499</v>
      </c>
      <c r="J118" s="1">
        <v>4.3806565522661503E-5</v>
      </c>
      <c r="K118">
        <v>6.0040981711695302E-3</v>
      </c>
      <c r="L118" t="s">
        <v>26</v>
      </c>
      <c r="M118" t="s">
        <v>27</v>
      </c>
      <c r="N118">
        <v>390.19896624093502</v>
      </c>
      <c r="O118">
        <v>900.46283394239401</v>
      </c>
      <c r="P118">
        <v>7.5010654648398498</v>
      </c>
      <c r="Q118">
        <v>288.09761360896601</v>
      </c>
      <c r="R118">
        <v>877.202395779075</v>
      </c>
      <c r="S118">
        <v>1536.0884924391401</v>
      </c>
      <c r="T118">
        <v>3.8733539723288102</v>
      </c>
      <c r="U118">
        <v>4.6821838841902004</v>
      </c>
      <c r="V118">
        <v>21.4487240028404</v>
      </c>
      <c r="W118">
        <v>0</v>
      </c>
    </row>
    <row r="119" spans="1:23" x14ac:dyDescent="0.2">
      <c r="A119" t="s">
        <v>261</v>
      </c>
      <c r="B119" s="3" t="str">
        <f>HYPERLINK("http://www.ncbi.nlm.nih.gov/gene/329872","Frem1")</f>
        <v>Frem1</v>
      </c>
      <c r="C119">
        <v>329872</v>
      </c>
      <c r="D119" t="s">
        <v>262</v>
      </c>
      <c r="E119" s="3" t="str">
        <f>HYPERLINK("http://genome.ucsc.edu/cgi-bin/hgTracks?db=mm10&amp;lastVirtModeType=default&amp;lastVirtModeExtraState=&amp;virtModeType=default&amp;virtMode=0&amp;nonVirtPosition=&amp;position=chr4:82897919-83052167","chr4:82897919-83052167")</f>
        <v>chr4:82897919-83052167</v>
      </c>
      <c r="F119" t="s">
        <v>30</v>
      </c>
      <c r="G119">
        <v>-1.79796261545207</v>
      </c>
      <c r="H119">
        <v>0.44065988576591902</v>
      </c>
      <c r="I119">
        <v>-4.0801594915475397</v>
      </c>
      <c r="J119" s="1">
        <v>4.50048108698016E-5</v>
      </c>
      <c r="K119">
        <v>6.0668329596153198E-3</v>
      </c>
      <c r="L119" t="s">
        <v>26</v>
      </c>
      <c r="M119" t="s">
        <v>27</v>
      </c>
      <c r="N119">
        <v>199.09669281690901</v>
      </c>
      <c r="O119">
        <v>354.64252776623402</v>
      </c>
      <c r="P119">
        <v>82.437316604914301</v>
      </c>
      <c r="Q119">
        <v>341.449023536553</v>
      </c>
      <c r="R119">
        <v>387.04044638191198</v>
      </c>
      <c r="S119">
        <v>335.43811338023801</v>
      </c>
      <c r="T119">
        <v>97.479408303608295</v>
      </c>
      <c r="U119">
        <v>44.815188605820502</v>
      </c>
      <c r="V119">
        <v>151.21350422002399</v>
      </c>
      <c r="W119">
        <v>36.241165290204499</v>
      </c>
    </row>
    <row r="120" spans="1:23" x14ac:dyDescent="0.2">
      <c r="A120" t="s">
        <v>263</v>
      </c>
      <c r="B120" s="3" t="str">
        <f>HYPERLINK("http://www.ncbi.nlm.nih.gov/gene/50724","Sap30l")</f>
        <v>Sap30l</v>
      </c>
      <c r="C120">
        <v>50724</v>
      </c>
      <c r="D120" s="5" t="s">
        <v>264</v>
      </c>
      <c r="E120" s="3" t="str">
        <f>HYPERLINK("http://genome.ucsc.edu/cgi-bin/hgTracks?db=mm10&amp;lastVirtModeType=default&amp;lastVirtModeExtraState=&amp;virtModeType=default&amp;virtMode=0&amp;nonVirtPosition=&amp;position=chr11:57801636-57810615","chr11:57801636-57810615")</f>
        <v>chr11:57801636-57810615</v>
      </c>
      <c r="F120" t="s">
        <v>25</v>
      </c>
      <c r="G120" s="4">
        <v>0.75082881405860502</v>
      </c>
      <c r="H120">
        <v>0.18402173983612</v>
      </c>
      <c r="I120">
        <v>4.0801093106024098</v>
      </c>
      <c r="J120" s="1">
        <v>4.50145276172533E-5</v>
      </c>
      <c r="K120">
        <v>6.0668329596153198E-3</v>
      </c>
      <c r="L120" t="s">
        <v>26</v>
      </c>
      <c r="M120" t="s">
        <v>27</v>
      </c>
      <c r="N120">
        <v>403.99571741730301</v>
      </c>
      <c r="O120">
        <v>283.65565647537898</v>
      </c>
      <c r="P120">
        <v>494.250763123745</v>
      </c>
      <c r="Q120">
        <v>256.08676765241501</v>
      </c>
      <c r="R120">
        <v>296.64172620620599</v>
      </c>
      <c r="S120">
        <v>298.23847556751599</v>
      </c>
      <c r="T120">
        <v>476.42253859644302</v>
      </c>
      <c r="U120">
        <v>452.83406994239499</v>
      </c>
      <c r="V120">
        <v>520.13155706887903</v>
      </c>
      <c r="W120">
        <v>527.61488688726399</v>
      </c>
    </row>
    <row r="121" spans="1:23" x14ac:dyDescent="0.2">
      <c r="A121" t="s">
        <v>265</v>
      </c>
      <c r="B121" s="3" t="str">
        <f>HYPERLINK("http://www.ncbi.nlm.nih.gov/gene/18377","Omg")</f>
        <v>Omg</v>
      </c>
      <c r="C121">
        <v>18377</v>
      </c>
      <c r="D121" s="5" t="s">
        <v>266</v>
      </c>
      <c r="E121" s="3" t="str">
        <f>HYPERLINK("http://genome.ucsc.edu/cgi-bin/hgTracks?db=mm10&amp;lastVirtModeType=default&amp;lastVirtModeExtraState=&amp;virtModeType=default&amp;virtMode=0&amp;nonVirtPosition=&amp;position=chr11:79500981-79504082","chr11:79500981-79504082")</f>
        <v>chr11:79500981-79504082</v>
      </c>
      <c r="F121" t="s">
        <v>30</v>
      </c>
      <c r="G121" s="4">
        <v>1.0971926721101</v>
      </c>
      <c r="H121">
        <v>0.27142459062309798</v>
      </c>
      <c r="I121">
        <v>4.0423480775685201</v>
      </c>
      <c r="J121" s="1">
        <v>5.29185986772011E-5</v>
      </c>
      <c r="K121">
        <v>7.0165798201709496E-3</v>
      </c>
      <c r="L121" t="s">
        <v>26</v>
      </c>
      <c r="M121" t="s">
        <v>27</v>
      </c>
      <c r="N121">
        <v>2287.6481928352</v>
      </c>
      <c r="O121">
        <v>1333.0897415954</v>
      </c>
      <c r="P121">
        <v>3003.56703126506</v>
      </c>
      <c r="Q121">
        <v>917.64425075448605</v>
      </c>
      <c r="R121">
        <v>1592.35671539133</v>
      </c>
      <c r="S121">
        <v>1489.26825864037</v>
      </c>
      <c r="T121">
        <v>2929.54672107135</v>
      </c>
      <c r="U121">
        <v>2779.8794603849301</v>
      </c>
      <c r="V121">
        <v>2454.8064621250801</v>
      </c>
      <c r="W121">
        <v>3850.0354814788702</v>
      </c>
    </row>
    <row r="122" spans="1:23" x14ac:dyDescent="0.2">
      <c r="A122" t="s">
        <v>267</v>
      </c>
      <c r="B122" s="3" t="str">
        <f>HYPERLINK("http://www.ncbi.nlm.nih.gov/gene/18424","Otx2")</f>
        <v>Otx2</v>
      </c>
      <c r="C122">
        <v>18424</v>
      </c>
      <c r="D122" t="s">
        <v>268</v>
      </c>
      <c r="E122" s="3" t="str">
        <f>HYPERLINK("http://genome.ucsc.edu/cgi-bin/hgTracks?db=mm10&amp;lastVirtModeType=default&amp;lastVirtModeExtraState=&amp;virtModeType=default&amp;virtMode=0&amp;nonVirtPosition=&amp;position=chr14:48657676-48665109","chr14:48657676-48665109")</f>
        <v>chr14:48657676-48665109</v>
      </c>
      <c r="F122" t="s">
        <v>30</v>
      </c>
      <c r="G122">
        <v>-2.4191947311845499</v>
      </c>
      <c r="H122">
        <v>0.59846964871994301</v>
      </c>
      <c r="I122">
        <v>-4.0423014539817101</v>
      </c>
      <c r="J122" s="1">
        <v>5.2929124965118197E-5</v>
      </c>
      <c r="K122">
        <v>7.0165798201709496E-3</v>
      </c>
      <c r="L122" t="s">
        <v>26</v>
      </c>
      <c r="M122" t="s">
        <v>27</v>
      </c>
      <c r="N122">
        <v>163.696347658501</v>
      </c>
      <c r="O122">
        <v>351.59532630290602</v>
      </c>
      <c r="P122">
        <v>22.7721136751972</v>
      </c>
      <c r="Q122">
        <v>128.04338382620699</v>
      </c>
      <c r="R122">
        <v>439.94043818843699</v>
      </c>
      <c r="S122">
        <v>486.80215689407402</v>
      </c>
      <c r="T122">
        <v>1.9366769861644</v>
      </c>
      <c r="U122">
        <v>8.69548435635323</v>
      </c>
      <c r="V122">
        <v>72.925661609657197</v>
      </c>
      <c r="W122">
        <v>7.5306317486139296</v>
      </c>
    </row>
    <row r="123" spans="1:23" x14ac:dyDescent="0.2">
      <c r="A123" t="s">
        <v>269</v>
      </c>
      <c r="B123" s="3" t="str">
        <f>HYPERLINK("http://www.ncbi.nlm.nih.gov/gene/75600","Calml4")</f>
        <v>Calml4</v>
      </c>
      <c r="C123">
        <v>75600</v>
      </c>
      <c r="D123" t="s">
        <v>270</v>
      </c>
      <c r="E123" s="3" t="str">
        <f>HYPERLINK("http://genome.ucsc.edu/cgi-bin/hgTracks?db=mm10&amp;lastVirtModeType=default&amp;lastVirtModeExtraState=&amp;virtModeType=default&amp;virtMode=0&amp;nonVirtPosition=&amp;position=chr9:62858103-62875917","chr9:62858103-62875917")</f>
        <v>chr9:62858103-62875917</v>
      </c>
      <c r="F123" t="s">
        <v>25</v>
      </c>
      <c r="G123">
        <v>-2.2128336134777902</v>
      </c>
      <c r="H123">
        <v>0.54949586894029301</v>
      </c>
      <c r="I123">
        <v>-4.0270250215807097</v>
      </c>
      <c r="J123" s="1">
        <v>5.6487023380695298E-5</v>
      </c>
      <c r="K123">
        <v>7.4273547084226397E-3</v>
      </c>
      <c r="L123" t="s">
        <v>26</v>
      </c>
      <c r="M123" t="s">
        <v>27</v>
      </c>
      <c r="N123">
        <v>87.255143835862995</v>
      </c>
      <c r="O123">
        <v>175.172389047612</v>
      </c>
      <c r="P123">
        <v>21.317209927051</v>
      </c>
      <c r="Q123">
        <v>202.73535772482799</v>
      </c>
      <c r="R123">
        <v>110.48732465919601</v>
      </c>
      <c r="S123">
        <v>212.29448475881199</v>
      </c>
      <c r="T123">
        <v>11.620061916986399</v>
      </c>
      <c r="U123">
        <v>16.053201888652101</v>
      </c>
      <c r="V123">
        <v>51.476937606816797</v>
      </c>
      <c r="W123">
        <v>6.1186382957488199</v>
      </c>
    </row>
    <row r="124" spans="1:23" x14ac:dyDescent="0.2">
      <c r="A124" t="s">
        <v>271</v>
      </c>
      <c r="B124" s="3" t="str">
        <f>HYPERLINK("http://www.ncbi.nlm.nih.gov/gene/65971","Tbata")</f>
        <v>Tbata</v>
      </c>
      <c r="C124">
        <v>65971</v>
      </c>
      <c r="D124" t="s">
        <v>272</v>
      </c>
      <c r="E124" s="3" t="str">
        <f>HYPERLINK("http://genome.ucsc.edu/cgi-bin/hgTracks?db=mm10&amp;lastVirtModeType=default&amp;lastVirtModeExtraState=&amp;virtModeType=default&amp;virtMode=0&amp;nonVirtPosition=&amp;position=chr10:61175261-61180680","chr10:61175261-61180680")</f>
        <v>chr10:61175261-61180680</v>
      </c>
      <c r="F124" t="s">
        <v>25</v>
      </c>
      <c r="G124">
        <v>-2.4641100559601701</v>
      </c>
      <c r="H124">
        <v>0.61299313787062903</v>
      </c>
      <c r="I124">
        <v>-4.0198003920889196</v>
      </c>
      <c r="J124" s="1">
        <v>5.8247470819125101E-5</v>
      </c>
      <c r="K124">
        <v>7.5141615413981998E-3</v>
      </c>
      <c r="L124" t="s">
        <v>26</v>
      </c>
      <c r="M124" t="s">
        <v>27</v>
      </c>
      <c r="N124">
        <v>57.281930407882001</v>
      </c>
      <c r="O124">
        <v>127.96249529813601</v>
      </c>
      <c r="P124">
        <v>4.2715067401918301</v>
      </c>
      <c r="Q124">
        <v>224.075921695863</v>
      </c>
      <c r="R124">
        <v>48.212650760376597</v>
      </c>
      <c r="S124">
        <v>111.598913438167</v>
      </c>
      <c r="T124">
        <v>12.265620912374599</v>
      </c>
      <c r="U124">
        <v>2.67553364810869</v>
      </c>
      <c r="V124">
        <v>2.14487240028404</v>
      </c>
      <c r="W124">
        <v>0</v>
      </c>
    </row>
    <row r="125" spans="1:23" x14ac:dyDescent="0.2">
      <c r="A125" t="s">
        <v>273</v>
      </c>
      <c r="B125" s="3" t="str">
        <f>HYPERLINK("http://www.ncbi.nlm.nih.gov/gene/78912","Sp2")</f>
        <v>Sp2</v>
      </c>
      <c r="C125">
        <v>78912</v>
      </c>
      <c r="D125" t="s">
        <v>274</v>
      </c>
      <c r="E125" s="3" t="str">
        <f>HYPERLINK("http://genome.ucsc.edu/cgi-bin/hgTracks?db=mm10&amp;lastVirtModeType=default&amp;lastVirtModeExtraState=&amp;virtModeType=default&amp;virtMode=0&amp;nonVirtPosition=&amp;position=chr11:96953337-96977688","chr11:96953337-96977688")</f>
        <v>chr11:96953337-96977688</v>
      </c>
      <c r="F125" t="s">
        <v>30</v>
      </c>
      <c r="G125">
        <v>-1.08891279799136</v>
      </c>
      <c r="H125">
        <v>0.27093777150383302</v>
      </c>
      <c r="I125">
        <v>-4.0190512823198503</v>
      </c>
      <c r="J125" s="1">
        <v>5.8432952807062699E-5</v>
      </c>
      <c r="K125">
        <v>7.5141615413981998E-3</v>
      </c>
      <c r="L125" t="s">
        <v>26</v>
      </c>
      <c r="M125" t="s">
        <v>27</v>
      </c>
      <c r="N125">
        <v>191.74265120956099</v>
      </c>
      <c r="O125">
        <v>283.59659382590797</v>
      </c>
      <c r="P125">
        <v>122.85219424730199</v>
      </c>
      <c r="Q125">
        <v>362.78958750758699</v>
      </c>
      <c r="R125">
        <v>256.46451723922598</v>
      </c>
      <c r="S125">
        <v>231.53567673091001</v>
      </c>
      <c r="T125">
        <v>142.66853798077801</v>
      </c>
      <c r="U125">
        <v>125.081198049081</v>
      </c>
      <c r="V125">
        <v>120.112854415906</v>
      </c>
      <c r="W125">
        <v>103.546186543442</v>
      </c>
    </row>
    <row r="126" spans="1:23" x14ac:dyDescent="0.2">
      <c r="A126" t="s">
        <v>275</v>
      </c>
      <c r="B126" s="3" t="str">
        <f>HYPERLINK("http://www.ncbi.nlm.nih.gov/gene/212632","Iffo2")</f>
        <v>Iffo2</v>
      </c>
      <c r="C126">
        <v>212632</v>
      </c>
      <c r="D126" t="s">
        <v>276</v>
      </c>
      <c r="E126" s="3" t="str">
        <f>HYPERLINK("http://genome.ucsc.edu/cgi-bin/hgTracks?db=mm10&amp;lastVirtModeType=default&amp;lastVirtModeExtraState=&amp;virtModeType=default&amp;virtMode=0&amp;nonVirtPosition=&amp;position=chr4:139530547-139620382","chr4:139530547-139620382")</f>
        <v>chr4:139530547-139620382</v>
      </c>
      <c r="F126" t="s">
        <v>25</v>
      </c>
      <c r="G126">
        <v>-0.81263560854443995</v>
      </c>
      <c r="H126">
        <v>0.202252921414006</v>
      </c>
      <c r="I126">
        <v>-4.0179177777165398</v>
      </c>
      <c r="J126" s="1">
        <v>5.8714676086162898E-5</v>
      </c>
      <c r="K126">
        <v>7.5141615413981998E-3</v>
      </c>
      <c r="L126" t="s">
        <v>26</v>
      </c>
      <c r="M126" t="s">
        <v>27</v>
      </c>
      <c r="N126">
        <v>979.87597413347203</v>
      </c>
      <c r="O126">
        <v>1305.15895605437</v>
      </c>
      <c r="P126">
        <v>735.91373769280199</v>
      </c>
      <c r="Q126">
        <v>1163.0607364213799</v>
      </c>
      <c r="R126">
        <v>1405.53269369487</v>
      </c>
      <c r="S126">
        <v>1346.88343804685</v>
      </c>
      <c r="T126">
        <v>819.21436514754305</v>
      </c>
      <c r="U126">
        <v>612.69720541688901</v>
      </c>
      <c r="V126">
        <v>673.48993368918696</v>
      </c>
      <c r="W126">
        <v>838.25344651758803</v>
      </c>
    </row>
    <row r="127" spans="1:23" x14ac:dyDescent="0.2">
      <c r="A127" t="s">
        <v>277</v>
      </c>
      <c r="B127" s="3" t="str">
        <f>HYPERLINK("http://www.ncbi.nlm.nih.gov/gene/319455","Pld5")</f>
        <v>Pld5</v>
      </c>
      <c r="C127">
        <v>319455</v>
      </c>
      <c r="D127" t="s">
        <v>278</v>
      </c>
      <c r="E127" s="3" t="str">
        <f>HYPERLINK("http://genome.ucsc.edu/cgi-bin/hgTracks?db=mm10&amp;lastVirtModeType=default&amp;lastVirtModeExtraState=&amp;virtModeType=default&amp;virtMode=0&amp;nonVirtPosition=&amp;position=chr1:175962305-176213942","chr1:175962305-176213942")</f>
        <v>chr1:175962305-176213942</v>
      </c>
      <c r="F127" t="s">
        <v>30</v>
      </c>
      <c r="G127">
        <v>-2.08492413368741</v>
      </c>
      <c r="H127">
        <v>0.51905716833015103</v>
      </c>
      <c r="I127">
        <v>-4.0167524136017203</v>
      </c>
      <c r="J127" s="1">
        <v>5.9005658551757297E-5</v>
      </c>
      <c r="K127">
        <v>7.5141615413981998E-3</v>
      </c>
      <c r="L127" t="s">
        <v>26</v>
      </c>
      <c r="M127" t="s">
        <v>27</v>
      </c>
      <c r="N127">
        <v>460.49637747707499</v>
      </c>
      <c r="O127">
        <v>891.48538398931601</v>
      </c>
      <c r="P127">
        <v>137.25462259289301</v>
      </c>
      <c r="Q127">
        <v>725.579175015175</v>
      </c>
      <c r="R127">
        <v>921.397325642753</v>
      </c>
      <c r="S127">
        <v>1027.47965131002</v>
      </c>
      <c r="T127">
        <v>50.999160635662598</v>
      </c>
      <c r="U127">
        <v>112.37241322056499</v>
      </c>
      <c r="V127">
        <v>351.75907364658201</v>
      </c>
      <c r="W127">
        <v>33.887842868762696</v>
      </c>
    </row>
    <row r="128" spans="1:23" x14ac:dyDescent="0.2">
      <c r="A128" t="s">
        <v>279</v>
      </c>
      <c r="B128" s="3" t="str">
        <f>HYPERLINK("http://www.ncbi.nlm.nih.gov/gene/238455","Macc1")</f>
        <v>Macc1</v>
      </c>
      <c r="C128">
        <v>238455</v>
      </c>
      <c r="D128" t="s">
        <v>280</v>
      </c>
      <c r="E128" s="3" t="str">
        <f>HYPERLINK("http://genome.ucsc.edu/cgi-bin/hgTracks?db=mm10&amp;lastVirtModeType=default&amp;lastVirtModeExtraState=&amp;virtModeType=default&amp;virtMode=0&amp;nonVirtPosition=&amp;position=chr12:119443409-119466932","chr12:119443409-119466932")</f>
        <v>chr12:119443409-119466932</v>
      </c>
      <c r="F128" t="s">
        <v>25</v>
      </c>
      <c r="G128">
        <v>-2.4623961932748601</v>
      </c>
      <c r="H128">
        <v>0.61422865064508803</v>
      </c>
      <c r="I128">
        <v>-4.0089243487563699</v>
      </c>
      <c r="J128" s="1">
        <v>6.09959515918844E-5</v>
      </c>
      <c r="K128">
        <v>7.70693378980895E-3</v>
      </c>
      <c r="L128" t="s">
        <v>26</v>
      </c>
      <c r="M128" t="s">
        <v>27</v>
      </c>
      <c r="N128">
        <v>90.143473519571302</v>
      </c>
      <c r="O128">
        <v>203.910425034886</v>
      </c>
      <c r="P128">
        <v>4.8182598830850303</v>
      </c>
      <c r="Q128">
        <v>544.18438126138096</v>
      </c>
      <c r="R128">
        <v>65.622774646068194</v>
      </c>
      <c r="S128">
        <v>1.92411919720978</v>
      </c>
      <c r="T128">
        <v>5.8100309584932104</v>
      </c>
      <c r="U128">
        <v>6.6888341202717196</v>
      </c>
      <c r="V128">
        <v>5.3621810007100903</v>
      </c>
      <c r="W128">
        <v>1.4119934528651099</v>
      </c>
    </row>
    <row r="129" spans="1:23" x14ac:dyDescent="0.2">
      <c r="A129" t="s">
        <v>281</v>
      </c>
      <c r="B129" s="3" t="str">
        <f>HYPERLINK("http://www.ncbi.nlm.nih.gov/gene/381605","Tbc1d2")</f>
        <v>Tbc1d2</v>
      </c>
      <c r="C129">
        <v>381605</v>
      </c>
      <c r="D129" t="s">
        <v>282</v>
      </c>
      <c r="E129" s="3" t="str">
        <f>HYPERLINK("http://genome.ucsc.edu/cgi-bin/hgTracks?db=mm10&amp;lastVirtModeType=default&amp;lastVirtModeExtraState=&amp;virtModeType=default&amp;virtMode=0&amp;nonVirtPosition=&amp;position=chr4:46604389-46650199","chr4:46604389-46650199")</f>
        <v>chr4:46604389-46650199</v>
      </c>
      <c r="F129" t="s">
        <v>30</v>
      </c>
      <c r="G129">
        <v>-1.6583115177074901</v>
      </c>
      <c r="H129">
        <v>0.41522742863906997</v>
      </c>
      <c r="I129">
        <v>-3.9937427138247998</v>
      </c>
      <c r="J129" s="1">
        <v>6.5038436297493505E-5</v>
      </c>
      <c r="K129">
        <v>8.1540048855764501E-3</v>
      </c>
      <c r="L129" t="s">
        <v>26</v>
      </c>
      <c r="M129" t="s">
        <v>27</v>
      </c>
      <c r="N129">
        <v>106.166476816434</v>
      </c>
      <c r="O129">
        <v>185.217739280606</v>
      </c>
      <c r="P129">
        <v>46.878029968305903</v>
      </c>
      <c r="Q129">
        <v>288.09761360896601</v>
      </c>
      <c r="R129">
        <v>139.28099108553201</v>
      </c>
      <c r="S129">
        <v>128.274613147319</v>
      </c>
      <c r="T129">
        <v>62.619222552648999</v>
      </c>
      <c r="U129">
        <v>38.795237897576001</v>
      </c>
      <c r="V129">
        <v>53.621810007100898</v>
      </c>
      <c r="W129">
        <v>32.475849415897599</v>
      </c>
    </row>
    <row r="130" spans="1:23" x14ac:dyDescent="0.2">
      <c r="A130" t="s">
        <v>283</v>
      </c>
      <c r="B130" s="3" t="str">
        <f>HYPERLINK("http://www.ncbi.nlm.nih.gov/gene/13591","Ebf1")</f>
        <v>Ebf1</v>
      </c>
      <c r="C130">
        <v>13591</v>
      </c>
      <c r="D130" t="s">
        <v>284</v>
      </c>
      <c r="E130" s="3" t="str">
        <f>HYPERLINK("http://genome.ucsc.edu/cgi-bin/hgTracks?db=mm10&amp;lastVirtModeType=default&amp;lastVirtModeExtraState=&amp;virtModeType=default&amp;virtMode=0&amp;nonVirtPosition=&amp;position=chr11:44618099-45008096","chr11:44618099-45008096")</f>
        <v>chr11:44618099-45008096</v>
      </c>
      <c r="F130" t="s">
        <v>25</v>
      </c>
      <c r="G130">
        <v>-1.83657378967812</v>
      </c>
      <c r="H130">
        <v>0.46032704616650699</v>
      </c>
      <c r="I130">
        <v>-3.9897151492024201</v>
      </c>
      <c r="J130" s="1">
        <v>6.6152691241396004E-5</v>
      </c>
      <c r="K130">
        <v>8.2299036572853704E-3</v>
      </c>
      <c r="L130" t="s">
        <v>26</v>
      </c>
      <c r="M130" t="s">
        <v>27</v>
      </c>
      <c r="N130">
        <v>679.80011550554502</v>
      </c>
      <c r="O130">
        <v>1229.3556130378699</v>
      </c>
      <c r="P130">
        <v>267.63349235630102</v>
      </c>
      <c r="Q130">
        <v>1003.00650663862</v>
      </c>
      <c r="R130">
        <v>1435.6656004201</v>
      </c>
      <c r="S130">
        <v>1249.39473205488</v>
      </c>
      <c r="T130">
        <v>80.049315428128693</v>
      </c>
      <c r="U130">
        <v>333.10393918953201</v>
      </c>
      <c r="V130">
        <v>514.76937606816796</v>
      </c>
      <c r="W130">
        <v>142.61133873937601</v>
      </c>
    </row>
    <row r="131" spans="1:23" x14ac:dyDescent="0.2">
      <c r="A131" t="s">
        <v>285</v>
      </c>
      <c r="B131" s="3" t="str">
        <f>HYPERLINK("http://www.ncbi.nlm.nih.gov/gene/268934","Grm4")</f>
        <v>Grm4</v>
      </c>
      <c r="C131">
        <v>268934</v>
      </c>
      <c r="D131" t="s">
        <v>286</v>
      </c>
      <c r="E131" s="3" t="str">
        <f>HYPERLINK("http://genome.ucsc.edu/cgi-bin/hgTracks?db=mm10&amp;lastVirtModeType=default&amp;lastVirtModeExtraState=&amp;virtModeType=default&amp;virtMode=0&amp;nonVirtPosition=&amp;position=chr17:27422387-27503533","chr17:27422387-27503533")</f>
        <v>chr17:27422387-27503533</v>
      </c>
      <c r="F131" t="s">
        <v>30</v>
      </c>
      <c r="G131">
        <v>-2.1174235172262499</v>
      </c>
      <c r="H131">
        <v>0.53303686370334702</v>
      </c>
      <c r="I131">
        <v>-3.9723772620812001</v>
      </c>
      <c r="J131" s="1">
        <v>7.1158903367659295E-5</v>
      </c>
      <c r="K131">
        <v>8.7851369783599493E-3</v>
      </c>
      <c r="L131" t="s">
        <v>26</v>
      </c>
      <c r="M131" t="s">
        <v>27</v>
      </c>
      <c r="N131">
        <v>1653.8448089717999</v>
      </c>
      <c r="O131">
        <v>3244.1209268268199</v>
      </c>
      <c r="P131">
        <v>461.13772058052598</v>
      </c>
      <c r="Q131">
        <v>736.24945700069202</v>
      </c>
      <c r="R131">
        <v>2878.6970224841498</v>
      </c>
      <c r="S131">
        <v>6117.4163009956301</v>
      </c>
      <c r="T131">
        <v>942.51613326667598</v>
      </c>
      <c r="U131">
        <v>241.46691174180901</v>
      </c>
      <c r="V131">
        <v>506.18988646703201</v>
      </c>
      <c r="W131">
        <v>154.377950846586</v>
      </c>
    </row>
    <row r="132" spans="1:23" x14ac:dyDescent="0.2">
      <c r="A132" t="s">
        <v>287</v>
      </c>
      <c r="B132" s="3" t="str">
        <f>HYPERLINK("http://www.ncbi.nlm.nih.gov/gene/68498","Tspan11")</f>
        <v>Tspan11</v>
      </c>
      <c r="C132">
        <v>68498</v>
      </c>
      <c r="D132" t="s">
        <v>288</v>
      </c>
      <c r="E132" s="3" t="str">
        <f>HYPERLINK("http://genome.ucsc.edu/cgi-bin/hgTracks?db=mm10&amp;lastVirtModeType=default&amp;lastVirtModeExtraState=&amp;virtModeType=default&amp;virtMode=0&amp;nonVirtPosition=&amp;position=chr6:127887621-127953031","chr6:127887621-127953031")</f>
        <v>chr6:127887621-127953031</v>
      </c>
      <c r="F132" t="s">
        <v>25</v>
      </c>
      <c r="G132">
        <v>-1.8560418520980699</v>
      </c>
      <c r="H132">
        <v>0.47048336802303398</v>
      </c>
      <c r="I132">
        <v>-3.9449680440291499</v>
      </c>
      <c r="J132" s="1">
        <v>7.9810621301982E-5</v>
      </c>
      <c r="K132">
        <v>9.6694322902465494E-3</v>
      </c>
      <c r="L132" t="s">
        <v>26</v>
      </c>
      <c r="M132" t="s">
        <v>27</v>
      </c>
      <c r="N132">
        <v>151.84752623637101</v>
      </c>
      <c r="O132">
        <v>275.54815464324503</v>
      </c>
      <c r="P132">
        <v>59.072054931215902</v>
      </c>
      <c r="Q132">
        <v>138.71366581172501</v>
      </c>
      <c r="R132">
        <v>237.04553290518501</v>
      </c>
      <c r="S132">
        <v>450.885265212825</v>
      </c>
      <c r="T132">
        <v>100.06164428516099</v>
      </c>
      <c r="U132">
        <v>69.563874850825897</v>
      </c>
      <c r="V132">
        <v>33.245522204402498</v>
      </c>
      <c r="W132">
        <v>33.417178384474298</v>
      </c>
    </row>
    <row r="133" spans="1:23" x14ac:dyDescent="0.2">
      <c r="A133" t="s">
        <v>289</v>
      </c>
      <c r="B133" s="3" t="str">
        <f>HYPERLINK("http://www.ncbi.nlm.nih.gov/gene/78016","Ccdc150")</f>
        <v>Ccdc150</v>
      </c>
      <c r="C133">
        <v>78016</v>
      </c>
      <c r="D133" t="s">
        <v>290</v>
      </c>
      <c r="E133" s="3" t="str">
        <f>HYPERLINK("http://genome.ucsc.edu/cgi-bin/hgTracks?db=mm10&amp;lastVirtModeType=default&amp;lastVirtModeExtraState=&amp;virtModeType=default&amp;virtMode=0&amp;nonVirtPosition=&amp;position=chr1:54250682-54368727","chr1:54250682-54368727")</f>
        <v>chr1:54250682-54368727</v>
      </c>
      <c r="F133" t="s">
        <v>25</v>
      </c>
      <c r="G133">
        <v>-2.4183032455381102</v>
      </c>
      <c r="H133">
        <v>0.61342431525257102</v>
      </c>
      <c r="I133">
        <v>-3.9423009251636798</v>
      </c>
      <c r="J133" s="1">
        <v>8.07036295862146E-5</v>
      </c>
      <c r="K133">
        <v>9.6694322902465494E-3</v>
      </c>
      <c r="L133" t="s">
        <v>26</v>
      </c>
      <c r="M133" t="s">
        <v>27</v>
      </c>
      <c r="N133">
        <v>58.837433016092902</v>
      </c>
      <c r="O133">
        <v>131.57359044447699</v>
      </c>
      <c r="P133">
        <v>4.2853149448046803</v>
      </c>
      <c r="Q133">
        <v>352.11930552207002</v>
      </c>
      <c r="R133">
        <v>36.829108219732099</v>
      </c>
      <c r="S133">
        <v>5.7723575916293397</v>
      </c>
      <c r="T133">
        <v>3.8733539723288102</v>
      </c>
      <c r="U133">
        <v>7.3577175322988904</v>
      </c>
      <c r="V133">
        <v>2.14487240028404</v>
      </c>
      <c r="W133">
        <v>3.7653158743069701</v>
      </c>
    </row>
    <row r="134" spans="1:23" x14ac:dyDescent="0.2">
      <c r="A134" t="s">
        <v>291</v>
      </c>
      <c r="B134" s="3" t="str">
        <f>HYPERLINK("http://www.ncbi.nlm.nih.gov/gene/330188","Ccdc63")</f>
        <v>Ccdc63</v>
      </c>
      <c r="C134">
        <v>330188</v>
      </c>
      <c r="D134" t="s">
        <v>292</v>
      </c>
      <c r="E134" s="3" t="str">
        <f>HYPERLINK("http://genome.ucsc.edu/cgi-bin/hgTracks?db=mm10&amp;lastVirtModeType=default&amp;lastVirtModeExtraState=&amp;virtModeType=default&amp;virtMode=0&amp;nonVirtPosition=&amp;position=chr5:122108051-122134893","chr5:122108051-122134893")</f>
        <v>chr5:122108051-122134893</v>
      </c>
      <c r="F134" t="s">
        <v>30</v>
      </c>
      <c r="G134">
        <v>-2.3580488510230602</v>
      </c>
      <c r="H134">
        <v>0.598335165567909</v>
      </c>
      <c r="I134">
        <v>-3.94101665207145</v>
      </c>
      <c r="J134" s="1">
        <v>8.1136992741670001E-5</v>
      </c>
      <c r="K134">
        <v>9.6694322902465494E-3</v>
      </c>
      <c r="L134" t="s">
        <v>26</v>
      </c>
      <c r="M134" t="s">
        <v>27</v>
      </c>
      <c r="N134">
        <v>58.719900374533402</v>
      </c>
      <c r="O134">
        <v>126.063824309588</v>
      </c>
      <c r="P134">
        <v>8.2119574232422003</v>
      </c>
      <c r="Q134">
        <v>266.75704963793203</v>
      </c>
      <c r="R134">
        <v>56.917712703222399</v>
      </c>
      <c r="S134">
        <v>54.516710587610397</v>
      </c>
      <c r="T134">
        <v>6.4555899538813497</v>
      </c>
      <c r="U134">
        <v>9.3643677683804007</v>
      </c>
      <c r="V134">
        <v>16.086543002130298</v>
      </c>
      <c r="W134">
        <v>0.94132896857674198</v>
      </c>
    </row>
    <row r="135" spans="1:23" x14ac:dyDescent="0.2">
      <c r="A135" t="s">
        <v>293</v>
      </c>
      <c r="B135" s="3" t="str">
        <f>HYPERLINK("http://www.ncbi.nlm.nih.gov/gene/319765","Igf2bp2")</f>
        <v>Igf2bp2</v>
      </c>
      <c r="C135">
        <v>319765</v>
      </c>
      <c r="D135" t="s">
        <v>294</v>
      </c>
      <c r="E135" s="3" t="str">
        <f>HYPERLINK("http://genome.ucsc.edu/cgi-bin/hgTracks?db=mm10&amp;lastVirtModeType=default&amp;lastVirtModeExtraState=&amp;virtModeType=default&amp;virtMode=0&amp;nonVirtPosition=&amp;position=chr16:22059008-22163299","chr16:22059008-22163299")</f>
        <v>chr16:22059008-22163299</v>
      </c>
      <c r="F135" t="s">
        <v>30</v>
      </c>
      <c r="G135">
        <v>-2.22338406502818</v>
      </c>
      <c r="H135">
        <v>0.56423867057451105</v>
      </c>
      <c r="I135">
        <v>-3.9405028066656902</v>
      </c>
      <c r="J135" s="1">
        <v>8.1310999287301702E-5</v>
      </c>
      <c r="K135">
        <v>9.6694322902465494E-3</v>
      </c>
      <c r="L135" t="s">
        <v>26</v>
      </c>
      <c r="M135" t="s">
        <v>27</v>
      </c>
      <c r="N135">
        <v>135.386826203174</v>
      </c>
      <c r="O135">
        <v>276.18981496401699</v>
      </c>
      <c r="P135">
        <v>29.7845846325413</v>
      </c>
      <c r="Q135">
        <v>522.84381729034601</v>
      </c>
      <c r="R135">
        <v>283.91894336666201</v>
      </c>
      <c r="S135">
        <v>21.806684235044202</v>
      </c>
      <c r="T135">
        <v>23.885682829360999</v>
      </c>
      <c r="U135">
        <v>31.437520365277098</v>
      </c>
      <c r="V135">
        <v>40.7525756053967</v>
      </c>
      <c r="W135">
        <v>23.0625597301302</v>
      </c>
    </row>
    <row r="136" spans="1:23" x14ac:dyDescent="0.2">
      <c r="A136" t="s">
        <v>295</v>
      </c>
      <c r="B136" s="3" t="str">
        <f>HYPERLINK("http://www.ncbi.nlm.nih.gov/gene/71746","Rgl3")</f>
        <v>Rgl3</v>
      </c>
      <c r="C136">
        <v>71746</v>
      </c>
      <c r="D136" t="s">
        <v>296</v>
      </c>
      <c r="E136" s="3" t="str">
        <f>HYPERLINK("http://genome.ucsc.edu/cgi-bin/hgTracks?db=mm10&amp;lastVirtModeType=default&amp;lastVirtModeExtraState=&amp;virtModeType=default&amp;virtMode=0&amp;nonVirtPosition=&amp;position=chr9:21971526-21989453","chr9:21971526-21989453")</f>
        <v>chr9:21971526-21989453</v>
      </c>
      <c r="F136" t="s">
        <v>30</v>
      </c>
      <c r="G136">
        <v>-1.6837937695210099</v>
      </c>
      <c r="H136">
        <v>0.42875806527103999</v>
      </c>
      <c r="I136">
        <v>-3.9271419150018598</v>
      </c>
      <c r="J136" s="1">
        <v>8.5961264776931296E-5</v>
      </c>
      <c r="K136">
        <v>1.01478214250899E-2</v>
      </c>
      <c r="L136" t="s">
        <v>26</v>
      </c>
      <c r="M136" t="s">
        <v>27</v>
      </c>
      <c r="N136">
        <v>215.24858710437201</v>
      </c>
      <c r="O136">
        <v>376.25368822833201</v>
      </c>
      <c r="P136">
        <v>94.494761261401194</v>
      </c>
      <c r="Q136">
        <v>544.18438126138096</v>
      </c>
      <c r="R136">
        <v>219.63540901949401</v>
      </c>
      <c r="S136">
        <v>364.941274404122</v>
      </c>
      <c r="T136">
        <v>56.809191594155799</v>
      </c>
      <c r="U136">
        <v>141.80328334975999</v>
      </c>
      <c r="V136">
        <v>50.404501406674797</v>
      </c>
      <c r="W136">
        <v>128.96206869501401</v>
      </c>
    </row>
    <row r="137" spans="1:23" x14ac:dyDescent="0.2">
      <c r="A137" t="s">
        <v>297</v>
      </c>
      <c r="B137" s="3" t="str">
        <f>HYPERLINK("http://www.ncbi.nlm.nih.gov/gene/217682","Plekhd1")</f>
        <v>Plekhd1</v>
      </c>
      <c r="C137">
        <v>217682</v>
      </c>
      <c r="D137" t="s">
        <v>298</v>
      </c>
      <c r="E137" s="3" t="str">
        <f>HYPERLINK("http://genome.ucsc.edu/cgi-bin/hgTracks?db=mm10&amp;lastVirtModeType=default&amp;lastVirtModeExtraState=&amp;virtModeType=default&amp;virtMode=0&amp;nonVirtPosition=&amp;position=chr12:80692600-80724216","chr12:80692600-80724216")</f>
        <v>chr12:80692600-80724216</v>
      </c>
      <c r="F137" t="s">
        <v>25</v>
      </c>
      <c r="G137">
        <v>-2.05752758787296</v>
      </c>
      <c r="H137">
        <v>0.524165214467332</v>
      </c>
      <c r="I137">
        <v>-3.9253417263941399</v>
      </c>
      <c r="J137" s="1">
        <v>8.6606700208017006E-5</v>
      </c>
      <c r="K137">
        <v>1.01499287135091E-2</v>
      </c>
      <c r="L137" t="s">
        <v>26</v>
      </c>
      <c r="M137" t="s">
        <v>27</v>
      </c>
      <c r="N137">
        <v>336.54316831699703</v>
      </c>
      <c r="O137">
        <v>649.52513867709399</v>
      </c>
      <c r="P137">
        <v>101.806690546924</v>
      </c>
      <c r="Q137">
        <v>181.394793753794</v>
      </c>
      <c r="R137">
        <v>780.107474108872</v>
      </c>
      <c r="S137">
        <v>987.07314816861697</v>
      </c>
      <c r="T137">
        <v>34.860185750959303</v>
      </c>
      <c r="U137">
        <v>92.974794271776901</v>
      </c>
      <c r="V137">
        <v>229.50134683039201</v>
      </c>
      <c r="W137">
        <v>49.8904353345673</v>
      </c>
    </row>
    <row r="138" spans="1:23" x14ac:dyDescent="0.2">
      <c r="A138" t="s">
        <v>299</v>
      </c>
      <c r="B138" s="3" t="str">
        <f>HYPERLINK("http://www.ncbi.nlm.nih.gov/gene/21819","Tg")</f>
        <v>Tg</v>
      </c>
      <c r="C138">
        <v>21819</v>
      </c>
      <c r="D138" t="s">
        <v>300</v>
      </c>
      <c r="E138" s="3" t="str">
        <f>HYPERLINK("http://genome.ucsc.edu/cgi-bin/hgTracks?db=mm10&amp;lastVirtModeType=default&amp;lastVirtModeExtraState=&amp;virtModeType=default&amp;virtMode=0&amp;nonVirtPosition=&amp;position=chr15:66670769-66850720","chr15:66670769-66850720")</f>
        <v>chr15:66670769-66850720</v>
      </c>
      <c r="F138" t="s">
        <v>25</v>
      </c>
      <c r="G138">
        <v>-2.3424343805138901</v>
      </c>
      <c r="H138">
        <v>0.59741077443343304</v>
      </c>
      <c r="I138">
        <v>-3.9209777941072201</v>
      </c>
      <c r="J138" s="1">
        <v>8.8190390331255295E-5</v>
      </c>
      <c r="K138">
        <v>1.02611739771755E-2</v>
      </c>
      <c r="L138" t="s">
        <v>26</v>
      </c>
      <c r="M138" t="s">
        <v>27</v>
      </c>
      <c r="N138">
        <v>33.765448212044497</v>
      </c>
      <c r="O138">
        <v>72.558964393814904</v>
      </c>
      <c r="P138">
        <v>4.67031107571683</v>
      </c>
      <c r="Q138">
        <v>149.383947797242</v>
      </c>
      <c r="R138">
        <v>52.899991806524397</v>
      </c>
      <c r="S138">
        <v>15.392953577678201</v>
      </c>
      <c r="T138">
        <v>3.8733539723288102</v>
      </c>
      <c r="U138">
        <v>6.0199507082445498</v>
      </c>
      <c r="V138">
        <v>6.4346172008521103</v>
      </c>
      <c r="W138">
        <v>2.3533224214418502</v>
      </c>
    </row>
    <row r="139" spans="1:23" x14ac:dyDescent="0.2">
      <c r="A139" t="s">
        <v>301</v>
      </c>
      <c r="B139" s="3" t="str">
        <f>HYPERLINK("http://www.ncbi.nlm.nih.gov/gene/140476","Strc")</f>
        <v>Strc</v>
      </c>
      <c r="C139">
        <v>140476</v>
      </c>
      <c r="D139" t="s">
        <v>302</v>
      </c>
      <c r="E139" s="3" t="str">
        <f>HYPERLINK("http://genome.ucsc.edu/cgi-bin/hgTracks?db=mm10&amp;lastVirtModeType=default&amp;lastVirtModeExtraState=&amp;virtModeType=default&amp;virtMode=0&amp;nonVirtPosition=&amp;position=chr2:121363726-121380940","chr2:121363726-121380940")</f>
        <v>chr2:121363726-121380940</v>
      </c>
      <c r="F139" t="s">
        <v>30</v>
      </c>
      <c r="G139">
        <v>-2.3896823755828298</v>
      </c>
      <c r="H139">
        <v>0.609864182019213</v>
      </c>
      <c r="I139">
        <v>-3.9183845289467198</v>
      </c>
      <c r="J139" s="1">
        <v>8.9144416200462101E-5</v>
      </c>
      <c r="K139">
        <v>1.02980903086434E-2</v>
      </c>
      <c r="L139" t="s">
        <v>26</v>
      </c>
      <c r="M139" t="s">
        <v>27</v>
      </c>
      <c r="N139">
        <v>67.901628369386202</v>
      </c>
      <c r="O139">
        <v>156.75061596126</v>
      </c>
      <c r="P139">
        <v>1.26488767548061</v>
      </c>
      <c r="Q139">
        <v>426.81127942069099</v>
      </c>
      <c r="R139">
        <v>41.516449265879899</v>
      </c>
      <c r="S139">
        <v>1.92411919720978</v>
      </c>
      <c r="T139">
        <v>2.58223598155254</v>
      </c>
      <c r="U139">
        <v>2.0066502360815099</v>
      </c>
      <c r="V139">
        <v>0</v>
      </c>
      <c r="W139">
        <v>0.47066448428837099</v>
      </c>
    </row>
    <row r="140" spans="1:23" x14ac:dyDescent="0.2">
      <c r="A140" t="s">
        <v>303</v>
      </c>
      <c r="B140" s="3" t="str">
        <f>HYPERLINK("http://www.ncbi.nlm.nih.gov/gene/26456","Sema4g")</f>
        <v>Sema4g</v>
      </c>
      <c r="C140">
        <v>26456</v>
      </c>
      <c r="D140" t="s">
        <v>304</v>
      </c>
      <c r="E140" s="3" t="str">
        <f>HYPERLINK("http://genome.ucsc.edu/cgi-bin/hgTracks?db=mm10&amp;lastVirtModeType=default&amp;lastVirtModeExtraState=&amp;virtModeType=default&amp;virtMode=0&amp;nonVirtPosition=&amp;position=chr19:44989343-45003395","chr19:44989343-45003395")</f>
        <v>chr19:44989343-45003395</v>
      </c>
      <c r="F140" t="s">
        <v>25</v>
      </c>
      <c r="G140">
        <v>-0.97065574030713697</v>
      </c>
      <c r="H140">
        <v>0.24834719632700999</v>
      </c>
      <c r="I140">
        <v>-3.9084626469027199</v>
      </c>
      <c r="J140" s="1">
        <v>9.2885304807541406E-5</v>
      </c>
      <c r="K140">
        <v>1.06541420897331E-2</v>
      </c>
      <c r="L140" t="s">
        <v>26</v>
      </c>
      <c r="M140" t="s">
        <v>27</v>
      </c>
      <c r="N140">
        <v>536.75801645413696</v>
      </c>
      <c r="O140">
        <v>749.425097285775</v>
      </c>
      <c r="P140">
        <v>377.25770583040998</v>
      </c>
      <c r="Q140">
        <v>565.52494523241603</v>
      </c>
      <c r="R140">
        <v>846.39986890439002</v>
      </c>
      <c r="S140">
        <v>836.35047772051803</v>
      </c>
      <c r="T140">
        <v>457.05576873479902</v>
      </c>
      <c r="U140">
        <v>400.66116380427599</v>
      </c>
      <c r="V140">
        <v>284.19559303763498</v>
      </c>
      <c r="W140">
        <v>367.11829774492901</v>
      </c>
    </row>
    <row r="141" spans="1:23" x14ac:dyDescent="0.2">
      <c r="A141" t="s">
        <v>305</v>
      </c>
      <c r="B141" s="3" t="str">
        <f>HYPERLINK("http://www.ncbi.nlm.nih.gov/gene/20403","Itsn2")</f>
        <v>Itsn2</v>
      </c>
      <c r="C141">
        <v>20403</v>
      </c>
      <c r="D141" s="5" t="s">
        <v>306</v>
      </c>
      <c r="E141" s="3" t="str">
        <f>HYPERLINK("http://genome.ucsc.edu/cgi-bin/hgTracks?db=mm10&amp;lastVirtModeType=default&amp;lastVirtModeExtraState=&amp;virtModeType=default&amp;virtMode=0&amp;nonVirtPosition=&amp;position=chr12:4593007-4713952","chr12:4593007-4713952")</f>
        <v>chr12:4593007-4713952</v>
      </c>
      <c r="F141" t="s">
        <v>25</v>
      </c>
      <c r="G141" s="4">
        <v>0.75838823249736598</v>
      </c>
      <c r="H141">
        <v>0.19412680126196999</v>
      </c>
      <c r="I141">
        <v>3.9066642399054201</v>
      </c>
      <c r="J141" s="1">
        <v>9.3579044195062804E-5</v>
      </c>
      <c r="K141">
        <v>1.06581259279349E-2</v>
      </c>
      <c r="L141" t="s">
        <v>26</v>
      </c>
      <c r="M141" t="s">
        <v>27</v>
      </c>
      <c r="N141">
        <v>1861.0635689565299</v>
      </c>
      <c r="O141">
        <v>1307.71416303761</v>
      </c>
      <c r="P141">
        <v>2276.07562339572</v>
      </c>
      <c r="Q141">
        <v>1024.34707060966</v>
      </c>
      <c r="R141">
        <v>1469.8162280420399</v>
      </c>
      <c r="S141">
        <v>1428.97919046113</v>
      </c>
      <c r="T141">
        <v>2345.96138924048</v>
      </c>
      <c r="U141">
        <v>2381.2249468167302</v>
      </c>
      <c r="V141">
        <v>2182.4076672890101</v>
      </c>
      <c r="W141">
        <v>2194.7084902366701</v>
      </c>
    </row>
    <row r="142" spans="1:23" x14ac:dyDescent="0.2">
      <c r="A142" t="s">
        <v>307</v>
      </c>
      <c r="B142" s="3" t="str">
        <f>HYPERLINK("http://www.ncbi.nlm.nih.gov/gene/546144","Wdr72")</f>
        <v>Wdr72</v>
      </c>
      <c r="C142">
        <v>546144</v>
      </c>
      <c r="D142" t="s">
        <v>308</v>
      </c>
      <c r="E142" s="3" t="str">
        <f>HYPERLINK("http://genome.ucsc.edu/cgi-bin/hgTracks?db=mm10&amp;lastVirtModeType=default&amp;lastVirtModeExtraState=&amp;virtModeType=default&amp;virtMode=0&amp;nonVirtPosition=&amp;position=chr9:74110333-74283203","chr9:74110333-74283203")</f>
        <v>chr9:74110333-74283203</v>
      </c>
      <c r="F142" t="s">
        <v>25</v>
      </c>
      <c r="G142">
        <v>-2.3670372069674999</v>
      </c>
      <c r="H142">
        <v>0.60916526060091303</v>
      </c>
      <c r="I142">
        <v>-3.8857061622859699</v>
      </c>
      <c r="J142">
        <v>1.02032860794285E-4</v>
      </c>
      <c r="K142">
        <v>1.15159186737898E-2</v>
      </c>
      <c r="L142" t="s">
        <v>26</v>
      </c>
      <c r="M142" t="s">
        <v>27</v>
      </c>
      <c r="N142">
        <v>62.615722831160603</v>
      </c>
      <c r="O142">
        <v>136.956236098511</v>
      </c>
      <c r="P142">
        <v>6.8603378806475996</v>
      </c>
      <c r="Q142">
        <v>256.08676765241501</v>
      </c>
      <c r="R142">
        <v>81.024038083410701</v>
      </c>
      <c r="S142">
        <v>73.757902559708199</v>
      </c>
      <c r="T142">
        <v>0.64555899538813499</v>
      </c>
      <c r="U142">
        <v>8.69548435635323</v>
      </c>
      <c r="V142">
        <v>17.158979202272299</v>
      </c>
      <c r="W142">
        <v>0.94132896857674198</v>
      </c>
    </row>
    <row r="143" spans="1:23" x14ac:dyDescent="0.2">
      <c r="A143" t="s">
        <v>309</v>
      </c>
      <c r="B143" s="3" t="str">
        <f>HYPERLINK("http://www.ncbi.nlm.nih.gov/gene/235599","6430571L13Rik")</f>
        <v>6430571L13Rik</v>
      </c>
      <c r="C143">
        <v>235599</v>
      </c>
      <c r="D143" t="s">
        <v>310</v>
      </c>
      <c r="E143" s="3" t="str">
        <f>HYPERLINK("http://genome.ucsc.edu/cgi-bin/hgTracks?db=mm10&amp;lastVirtModeType=default&amp;lastVirtModeExtraState=&amp;virtModeType=default&amp;virtMode=0&amp;nonVirtPosition=&amp;position=chr9:107340639-107349683","chr9:107340639-107349683")</f>
        <v>chr9:107340639-107349683</v>
      </c>
      <c r="F143" t="s">
        <v>25</v>
      </c>
      <c r="G143">
        <v>-1.60367802225196</v>
      </c>
      <c r="H143">
        <v>0.41283873705412999</v>
      </c>
      <c r="I143">
        <v>-3.88451440796285</v>
      </c>
      <c r="J143">
        <v>1.02534612565741E-4</v>
      </c>
      <c r="K143">
        <v>1.15159186737898E-2</v>
      </c>
      <c r="L143" t="s">
        <v>26</v>
      </c>
      <c r="M143" t="s">
        <v>27</v>
      </c>
      <c r="N143">
        <v>233.80931122421299</v>
      </c>
      <c r="O143">
        <v>395.06489087238401</v>
      </c>
      <c r="P143">
        <v>112.86762648808499</v>
      </c>
      <c r="Q143">
        <v>234.74620368138</v>
      </c>
      <c r="R143">
        <v>393.73664787640899</v>
      </c>
      <c r="S143">
        <v>556.71182105936305</v>
      </c>
      <c r="T143">
        <v>108.45391122520699</v>
      </c>
      <c r="U143">
        <v>97.656978155967096</v>
      </c>
      <c r="V143">
        <v>189.821207425137</v>
      </c>
      <c r="W143">
        <v>55.538409146027703</v>
      </c>
    </row>
    <row r="144" spans="1:23" x14ac:dyDescent="0.2">
      <c r="A144" t="s">
        <v>311</v>
      </c>
      <c r="B144" s="3" t="str">
        <f>HYPERLINK("http://www.ncbi.nlm.nih.gov/gene/22151","Tubb2a")</f>
        <v>Tubb2a</v>
      </c>
      <c r="C144">
        <v>22151</v>
      </c>
      <c r="D144" s="5" t="s">
        <v>312</v>
      </c>
      <c r="E144" s="3" t="str">
        <f>HYPERLINK("http://genome.ucsc.edu/cgi-bin/hgTracks?db=mm10&amp;lastVirtModeType=default&amp;lastVirtModeExtraState=&amp;virtModeType=default&amp;virtMode=0&amp;nonVirtPosition=&amp;position=chr13:34074279-34078008","chr13:34074279-34078008")</f>
        <v>chr13:34074279-34078008</v>
      </c>
      <c r="F144" t="s">
        <v>30</v>
      </c>
      <c r="G144" s="4">
        <v>1.0417723638937999</v>
      </c>
      <c r="H144">
        <v>0.26860258520241198</v>
      </c>
      <c r="I144">
        <v>3.8784897141207701</v>
      </c>
      <c r="J144">
        <v>1.0510696992239899E-4</v>
      </c>
      <c r="K144">
        <v>1.1688636177822599E-2</v>
      </c>
      <c r="L144" t="s">
        <v>26</v>
      </c>
      <c r="M144" t="s">
        <v>27</v>
      </c>
      <c r="N144">
        <v>3682.01097112976</v>
      </c>
      <c r="O144">
        <v>2226.2133530859101</v>
      </c>
      <c r="P144">
        <v>4773.8591846626596</v>
      </c>
      <c r="Q144">
        <v>1974.0021673207</v>
      </c>
      <c r="R144">
        <v>2375.8122902474502</v>
      </c>
      <c r="S144">
        <v>2328.8256016895698</v>
      </c>
      <c r="T144">
        <v>4067.0216709452502</v>
      </c>
      <c r="U144">
        <v>3743.7404571160801</v>
      </c>
      <c r="V144">
        <v>4573.9403936057097</v>
      </c>
      <c r="W144">
        <v>6710.7342169835902</v>
      </c>
    </row>
    <row r="145" spans="1:23" x14ac:dyDescent="0.2">
      <c r="A145" t="s">
        <v>313</v>
      </c>
      <c r="B145" s="3" t="str">
        <f>HYPERLINK("http://www.ncbi.nlm.nih.gov/gene/99681","Tchh")</f>
        <v>Tchh</v>
      </c>
      <c r="C145">
        <v>99681</v>
      </c>
      <c r="D145" s="5" t="s">
        <v>314</v>
      </c>
      <c r="E145" s="3" t="str">
        <f>HYPERLINK("http://genome.ucsc.edu/cgi-bin/hgTracks?db=mm10&amp;lastVirtModeType=default&amp;lastVirtModeExtraState=&amp;virtModeType=default&amp;virtMode=0&amp;nonVirtPosition=&amp;position=chr3:93442329-93449077","chr3:93442329-93449077")</f>
        <v>chr3:93442329-93449077</v>
      </c>
      <c r="F145" t="s">
        <v>25</v>
      </c>
      <c r="G145" s="4">
        <v>1.6681498767837899</v>
      </c>
      <c r="H145">
        <v>0.43026024537784502</v>
      </c>
      <c r="I145">
        <v>3.8770718296756801</v>
      </c>
      <c r="J145">
        <v>1.05721153860678E-4</v>
      </c>
      <c r="K145">
        <v>1.1688636177822599E-2</v>
      </c>
      <c r="L145" t="s">
        <v>26</v>
      </c>
      <c r="M145" t="s">
        <v>27</v>
      </c>
      <c r="N145">
        <v>71.559439422638107</v>
      </c>
      <c r="O145">
        <v>24.039160198997799</v>
      </c>
      <c r="P145">
        <v>107.199648840368</v>
      </c>
      <c r="Q145">
        <v>10.670281985517301</v>
      </c>
      <c r="R145">
        <v>27.454426127436701</v>
      </c>
      <c r="S145">
        <v>33.992772484039399</v>
      </c>
      <c r="T145">
        <v>126.529563096074</v>
      </c>
      <c r="U145">
        <v>90.299260623668204</v>
      </c>
      <c r="V145">
        <v>116.89554581548001</v>
      </c>
      <c r="W145">
        <v>95.074225826250895</v>
      </c>
    </row>
    <row r="146" spans="1:23" x14ac:dyDescent="0.2">
      <c r="A146" t="s">
        <v>315</v>
      </c>
      <c r="B146" s="3" t="str">
        <f>HYPERLINK("http://www.ncbi.nlm.nih.gov/gene/213054","Gabpb2")</f>
        <v>Gabpb2</v>
      </c>
      <c r="C146">
        <v>213054</v>
      </c>
      <c r="D146" t="s">
        <v>316</v>
      </c>
      <c r="E146" s="3" t="str">
        <f>HYPERLINK("http://genome.ucsc.edu/cgi-bin/hgTracks?db=mm10&amp;lastVirtModeType=default&amp;lastVirtModeExtraState=&amp;virtModeType=default&amp;virtMode=0&amp;nonVirtPosition=&amp;position=chr3:95181765-95217942","chr3:95181765-95217942")</f>
        <v>chr3:95181765-95217942</v>
      </c>
      <c r="F146" t="s">
        <v>30</v>
      </c>
      <c r="G146">
        <v>-0.95768368241397805</v>
      </c>
      <c r="H146">
        <v>0.247088148245135</v>
      </c>
      <c r="I146">
        <v>-3.8758786660373001</v>
      </c>
      <c r="J146">
        <v>1.06240618199463E-4</v>
      </c>
      <c r="K146">
        <v>1.1688636177822599E-2</v>
      </c>
      <c r="L146" t="s">
        <v>26</v>
      </c>
      <c r="M146" t="s">
        <v>27</v>
      </c>
      <c r="N146">
        <v>751.54007713489102</v>
      </c>
      <c r="O146">
        <v>1049.0967387232699</v>
      </c>
      <c r="P146">
        <v>528.37258094361005</v>
      </c>
      <c r="Q146">
        <v>906.97396876896801</v>
      </c>
      <c r="R146">
        <v>1033.8935107503</v>
      </c>
      <c r="S146">
        <v>1206.4227366505299</v>
      </c>
      <c r="T146">
        <v>534.52284818137502</v>
      </c>
      <c r="U146">
        <v>703.66534945258502</v>
      </c>
      <c r="V146">
        <v>449.35076785950503</v>
      </c>
      <c r="W146">
        <v>425.95135828097602</v>
      </c>
    </row>
    <row r="147" spans="1:23" x14ac:dyDescent="0.2">
      <c r="A147" t="s">
        <v>317</v>
      </c>
      <c r="B147" s="3" t="str">
        <f>HYPERLINK("http://www.ncbi.nlm.nih.gov/gene/29866","Cabp2")</f>
        <v>Cabp2</v>
      </c>
      <c r="C147">
        <v>29866</v>
      </c>
      <c r="D147" t="s">
        <v>318</v>
      </c>
      <c r="E147" s="3" t="str">
        <f>HYPERLINK("http://genome.ucsc.edu/cgi-bin/hgTracks?db=mm10&amp;lastVirtModeType=default&amp;lastVirtModeExtraState=&amp;virtModeType=default&amp;virtMode=0&amp;nonVirtPosition=&amp;position=chr19:4083518-4087339","chr19:4083518-4087339")</f>
        <v>chr19:4083518-4087339</v>
      </c>
      <c r="F147" t="s">
        <v>25</v>
      </c>
      <c r="G147">
        <v>-2.3674582034467901</v>
      </c>
      <c r="H147">
        <v>0.61201731526584302</v>
      </c>
      <c r="I147">
        <v>-3.8682863121583999</v>
      </c>
      <c r="J147">
        <v>1.09602926747551E-4</v>
      </c>
      <c r="K147">
        <v>1.19704683621295E-2</v>
      </c>
      <c r="L147" t="s">
        <v>26</v>
      </c>
      <c r="M147" t="s">
        <v>27</v>
      </c>
      <c r="N147">
        <v>13.884381501622199</v>
      </c>
      <c r="O147">
        <v>31.8242251052752</v>
      </c>
      <c r="P147">
        <v>0.429498798882539</v>
      </c>
      <c r="Q147">
        <v>53.351409927586403</v>
      </c>
      <c r="R147">
        <v>25.4455656790877</v>
      </c>
      <c r="S147">
        <v>16.675699709151399</v>
      </c>
      <c r="T147">
        <v>0.64555899538813499</v>
      </c>
      <c r="U147">
        <v>0</v>
      </c>
      <c r="V147">
        <v>1.07243620014202</v>
      </c>
      <c r="W147">
        <v>0</v>
      </c>
    </row>
    <row r="148" spans="1:23" x14ac:dyDescent="0.2">
      <c r="A148" t="s">
        <v>319</v>
      </c>
      <c r="B148" s="3" t="str">
        <f>HYPERLINK("http://www.ncbi.nlm.nih.gov/gene/13123","Cyp7b1")</f>
        <v>Cyp7b1</v>
      </c>
      <c r="C148">
        <v>13123</v>
      </c>
      <c r="D148" s="5" t="s">
        <v>320</v>
      </c>
      <c r="E148" s="3" t="str">
        <f>HYPERLINK("http://genome.ucsc.edu/cgi-bin/hgTracks?db=mm10&amp;lastVirtModeType=default&amp;lastVirtModeExtraState=&amp;virtModeType=default&amp;virtMode=0&amp;nonVirtPosition=&amp;position=chr3:18071949-18243338","chr3:18071949-18243338")</f>
        <v>chr3:18071949-18243338</v>
      </c>
      <c r="F148" t="s">
        <v>30</v>
      </c>
      <c r="G148" s="4">
        <v>0.90311733830805796</v>
      </c>
      <c r="H148">
        <v>0.23355808029070799</v>
      </c>
      <c r="I148">
        <v>3.86677839269767</v>
      </c>
      <c r="J148">
        <v>1.10282556480387E-4</v>
      </c>
      <c r="K148">
        <v>1.19704683621295E-2</v>
      </c>
      <c r="L148" t="s">
        <v>26</v>
      </c>
      <c r="M148" t="s">
        <v>27</v>
      </c>
      <c r="N148">
        <v>342.85032069165698</v>
      </c>
      <c r="O148">
        <v>222.19091071578299</v>
      </c>
      <c r="P148">
        <v>433.34487817356199</v>
      </c>
      <c r="Q148">
        <v>202.73535772482799</v>
      </c>
      <c r="R148">
        <v>231.01895156013799</v>
      </c>
      <c r="S148">
        <v>232.81842286238299</v>
      </c>
      <c r="T148">
        <v>446.72682480858901</v>
      </c>
      <c r="U148">
        <v>527.749012089438</v>
      </c>
      <c r="V148">
        <v>409.67062845425102</v>
      </c>
      <c r="W148">
        <v>349.23304734197097</v>
      </c>
    </row>
    <row r="149" spans="1:23" x14ac:dyDescent="0.2">
      <c r="A149" t="s">
        <v>321</v>
      </c>
      <c r="B149" s="3" t="str">
        <f>HYPERLINK("http://www.ncbi.nlm.nih.gov/gene/233066","Syne4")</f>
        <v>Syne4</v>
      </c>
      <c r="C149">
        <v>233066</v>
      </c>
      <c r="D149" t="s">
        <v>322</v>
      </c>
      <c r="E149" s="3" t="str">
        <f>HYPERLINK("http://genome.ucsc.edu/cgi-bin/hgTracks?db=mm10&amp;lastVirtModeType=default&amp;lastVirtModeExtraState=&amp;virtModeType=default&amp;virtMode=0&amp;nonVirtPosition=&amp;position=chr7:30314815-30319045","chr7:30314815-30319045")</f>
        <v>chr7:30314815-30319045</v>
      </c>
      <c r="F149" t="s">
        <v>25</v>
      </c>
      <c r="G149">
        <v>-2.01162504826272</v>
      </c>
      <c r="H149">
        <v>0.52184713220803403</v>
      </c>
      <c r="I149">
        <v>-3.85481671567524</v>
      </c>
      <c r="J149">
        <v>1.15816362938896E-4</v>
      </c>
      <c r="K149">
        <v>1.24873202520717E-2</v>
      </c>
      <c r="L149" t="s">
        <v>26</v>
      </c>
      <c r="M149" t="s">
        <v>27</v>
      </c>
      <c r="N149">
        <v>59.763267795028398</v>
      </c>
      <c r="O149">
        <v>116.038123063979</v>
      </c>
      <c r="P149">
        <v>17.557126343315002</v>
      </c>
      <c r="Q149">
        <v>202.73535772482799</v>
      </c>
      <c r="R149">
        <v>70.979735841665601</v>
      </c>
      <c r="S149">
        <v>74.399275625444801</v>
      </c>
      <c r="T149">
        <v>9.0378259354338795</v>
      </c>
      <c r="U149">
        <v>28.761986717168401</v>
      </c>
      <c r="V149">
        <v>15.0141068019882</v>
      </c>
      <c r="W149">
        <v>17.414585918669701</v>
      </c>
    </row>
    <row r="150" spans="1:23" x14ac:dyDescent="0.2">
      <c r="A150" t="s">
        <v>323</v>
      </c>
      <c r="B150" s="3" t="str">
        <f>HYPERLINK("http://www.ncbi.nlm.nih.gov/gene/56708","Clcf1")</f>
        <v>Clcf1</v>
      </c>
      <c r="C150">
        <v>56708</v>
      </c>
      <c r="D150" t="s">
        <v>324</v>
      </c>
      <c r="E150" s="3" t="str">
        <f>HYPERLINK("http://genome.ucsc.edu/cgi-bin/hgTracks?db=mm10&amp;lastVirtModeType=default&amp;lastVirtModeExtraState=&amp;virtModeType=default&amp;virtMode=0&amp;nonVirtPosition=&amp;position=chr19:4214388-4223505","chr19:4214388-4223505")</f>
        <v>chr19:4214388-4223505</v>
      </c>
      <c r="F150" t="s">
        <v>25</v>
      </c>
      <c r="G150">
        <v>-2.2776694542455802</v>
      </c>
      <c r="H150">
        <v>0.59186551845009905</v>
      </c>
      <c r="I150">
        <v>-3.84828881434087</v>
      </c>
      <c r="J150">
        <v>1.18945773421551E-4</v>
      </c>
      <c r="K150">
        <v>1.2739801281766499E-2</v>
      </c>
      <c r="L150" t="s">
        <v>26</v>
      </c>
      <c r="M150" t="s">
        <v>27</v>
      </c>
      <c r="N150">
        <v>78.9911346552189</v>
      </c>
      <c r="O150">
        <v>166.898928564237</v>
      </c>
      <c r="P150">
        <v>13.060289223455101</v>
      </c>
      <c r="Q150">
        <v>394.80043346413902</v>
      </c>
      <c r="R150">
        <v>77.675937336162306</v>
      </c>
      <c r="S150">
        <v>28.220414892410101</v>
      </c>
      <c r="T150">
        <v>15.4934158893152</v>
      </c>
      <c r="U150">
        <v>4.6821838841902004</v>
      </c>
      <c r="V150">
        <v>23.593596403124401</v>
      </c>
      <c r="W150">
        <v>8.4719607171906706</v>
      </c>
    </row>
    <row r="151" spans="1:23" x14ac:dyDescent="0.2">
      <c r="A151" t="s">
        <v>325</v>
      </c>
      <c r="B151" s="3" t="str">
        <f>HYPERLINK("http://www.ncbi.nlm.nih.gov/gene/244886","Tmem266")</f>
        <v>Tmem266</v>
      </c>
      <c r="C151">
        <v>244886</v>
      </c>
      <c r="D151" t="s">
        <v>326</v>
      </c>
      <c r="E151" s="3" t="str">
        <f>HYPERLINK("http://genome.ucsc.edu/cgi-bin/hgTracks?db=mm10&amp;lastVirtModeType=default&amp;lastVirtModeExtraState=&amp;virtModeType=default&amp;virtMode=0&amp;nonVirtPosition=&amp;position=chr9:55326948-55438344","chr9:55326948-55438344")</f>
        <v>chr9:55326948-55438344</v>
      </c>
      <c r="F151" t="s">
        <v>25</v>
      </c>
      <c r="G151">
        <v>-1.4926865648338801</v>
      </c>
      <c r="H151">
        <v>0.38843108752292899</v>
      </c>
      <c r="I151">
        <v>-3.8428607101273</v>
      </c>
      <c r="J151">
        <v>1.21608493454568E-4</v>
      </c>
      <c r="K151">
        <v>1.28952590404824E-2</v>
      </c>
      <c r="L151" t="s">
        <v>26</v>
      </c>
      <c r="M151" t="s">
        <v>27</v>
      </c>
      <c r="N151">
        <v>226.148050680073</v>
      </c>
      <c r="O151">
        <v>369.58253785691301</v>
      </c>
      <c r="P151">
        <v>118.572185297442</v>
      </c>
      <c r="Q151">
        <v>170.72451176827599</v>
      </c>
      <c r="R151">
        <v>312.04298964354899</v>
      </c>
      <c r="S151">
        <v>625.98011215891495</v>
      </c>
      <c r="T151">
        <v>140.73186099461299</v>
      </c>
      <c r="U151">
        <v>114.37906345664599</v>
      </c>
      <c r="V151">
        <v>91.157077012071497</v>
      </c>
      <c r="W151">
        <v>128.020739726437</v>
      </c>
    </row>
    <row r="152" spans="1:23" x14ac:dyDescent="0.2">
      <c r="A152" t="s">
        <v>327</v>
      </c>
      <c r="B152" s="3" t="str">
        <f>HYPERLINK("http://www.ncbi.nlm.nih.gov/gene/12226","Btg1")</f>
        <v>Btg1</v>
      </c>
      <c r="C152">
        <v>12226</v>
      </c>
      <c r="D152" t="s">
        <v>328</v>
      </c>
      <c r="E152" s="3" t="str">
        <f>HYPERLINK("http://genome.ucsc.edu/cgi-bin/hgTracks?db=mm10&amp;lastVirtModeType=default&amp;lastVirtModeExtraState=&amp;virtModeType=default&amp;virtMode=0&amp;nonVirtPosition=&amp;position=chr10:96617000-96622811","chr10:96617000-96622811")</f>
        <v>chr10:96617000-96622811</v>
      </c>
      <c r="F152" t="s">
        <v>25</v>
      </c>
      <c r="G152">
        <v>-1.2285179138879101</v>
      </c>
      <c r="H152">
        <v>0.31975264074580101</v>
      </c>
      <c r="I152">
        <v>-3.8420884062832799</v>
      </c>
      <c r="J152">
        <v>1.21991877400223E-4</v>
      </c>
      <c r="K152">
        <v>1.28952590404824E-2</v>
      </c>
      <c r="L152" t="s">
        <v>26</v>
      </c>
      <c r="M152" t="s">
        <v>27</v>
      </c>
      <c r="N152">
        <v>839.26847457737495</v>
      </c>
      <c r="O152">
        <v>1272.6177739935799</v>
      </c>
      <c r="P152">
        <v>514.25650001522104</v>
      </c>
      <c r="Q152">
        <v>682.898047073106</v>
      </c>
      <c r="R152">
        <v>1305.75929142687</v>
      </c>
      <c r="S152">
        <v>1829.1959834807601</v>
      </c>
      <c r="T152">
        <v>639.10340543425298</v>
      </c>
      <c r="U152">
        <v>500.32479219632398</v>
      </c>
      <c r="V152">
        <v>491.17577966504399</v>
      </c>
      <c r="W152">
        <v>426.42202276526399</v>
      </c>
    </row>
    <row r="153" spans="1:23" x14ac:dyDescent="0.2">
      <c r="A153" t="s">
        <v>329</v>
      </c>
      <c r="B153" s="3" t="str">
        <f>HYPERLINK("http://www.ncbi.nlm.nih.gov/gene/171543","Bmf")</f>
        <v>Bmf</v>
      </c>
      <c r="C153">
        <v>171543</v>
      </c>
      <c r="D153" t="s">
        <v>330</v>
      </c>
      <c r="E153" s="3" t="str">
        <f>HYPERLINK("http://genome.ucsc.edu/cgi-bin/hgTracks?db=mm10&amp;lastVirtModeType=default&amp;lastVirtModeExtraState=&amp;virtModeType=default&amp;virtMode=0&amp;nonVirtPosition=&amp;position=chr2:118528756-118547599","chr2:118528756-118547599")</f>
        <v>chr2:118528756-118547599</v>
      </c>
      <c r="F153" t="s">
        <v>30</v>
      </c>
      <c r="G153">
        <v>-0.974716459022274</v>
      </c>
      <c r="H153">
        <v>0.25392007272009798</v>
      </c>
      <c r="I153">
        <v>-3.8386743063701299</v>
      </c>
      <c r="J153">
        <v>1.2370038460950299E-4</v>
      </c>
      <c r="K153">
        <v>1.2907986495537401E-2</v>
      </c>
      <c r="L153" t="s">
        <v>26</v>
      </c>
      <c r="M153" t="s">
        <v>27</v>
      </c>
      <c r="N153">
        <v>248.605487828067</v>
      </c>
      <c r="O153">
        <v>350.30120626511501</v>
      </c>
      <c r="P153">
        <v>172.333699000282</v>
      </c>
      <c r="Q153">
        <v>352.11930552207002</v>
      </c>
      <c r="R153">
        <v>403.11132996870498</v>
      </c>
      <c r="S153">
        <v>295.67298330456998</v>
      </c>
      <c r="T153">
        <v>140.73186099461299</v>
      </c>
      <c r="U153">
        <v>199.996140196124</v>
      </c>
      <c r="V153">
        <v>156.57568522073501</v>
      </c>
      <c r="W153">
        <v>192.03110958965499</v>
      </c>
    </row>
    <row r="154" spans="1:23" x14ac:dyDescent="0.2">
      <c r="A154" t="s">
        <v>331</v>
      </c>
      <c r="B154" s="3" t="str">
        <f>HYPERLINK("http://www.ncbi.nlm.nih.gov/gene/23888","Gpc6")</f>
        <v>Gpc6</v>
      </c>
      <c r="C154">
        <v>23888</v>
      </c>
      <c r="D154" t="s">
        <v>332</v>
      </c>
      <c r="E154" s="3" t="str">
        <f>HYPERLINK("http://genome.ucsc.edu/cgi-bin/hgTracks?db=mm10&amp;lastVirtModeType=default&amp;lastVirtModeExtraState=&amp;virtModeType=default&amp;virtMode=0&amp;nonVirtPosition=&amp;position=chr14:116925296-117979529","chr14:116925296-117979529")</f>
        <v>chr14:116925296-117979529</v>
      </c>
      <c r="F154" t="s">
        <v>25</v>
      </c>
      <c r="G154">
        <v>-0.89468966392402705</v>
      </c>
      <c r="H154">
        <v>0.23313450451457499</v>
      </c>
      <c r="I154">
        <v>-3.83765442951879</v>
      </c>
      <c r="J154">
        <v>1.24215117871585E-4</v>
      </c>
      <c r="K154">
        <v>1.2907986495537401E-2</v>
      </c>
      <c r="L154" t="s">
        <v>26</v>
      </c>
      <c r="M154" t="s">
        <v>27</v>
      </c>
      <c r="N154">
        <v>470.52521566082902</v>
      </c>
      <c r="O154">
        <v>646.15787766867402</v>
      </c>
      <c r="P154">
        <v>338.80071915494602</v>
      </c>
      <c r="Q154">
        <v>650.88720111655402</v>
      </c>
      <c r="R154">
        <v>753.32266813088495</v>
      </c>
      <c r="S154">
        <v>534.26376375858194</v>
      </c>
      <c r="T154">
        <v>312.450553767857</v>
      </c>
      <c r="U154">
        <v>422.73431640117298</v>
      </c>
      <c r="V154">
        <v>293.847518838913</v>
      </c>
      <c r="W154">
        <v>326.170487611841</v>
      </c>
    </row>
    <row r="155" spans="1:23" x14ac:dyDescent="0.2">
      <c r="A155" t="s">
        <v>333</v>
      </c>
      <c r="B155" s="3" t="str">
        <f>HYPERLINK("http://www.ncbi.nlm.nih.gov/gene/22773","Zic3")</f>
        <v>Zic3</v>
      </c>
      <c r="C155">
        <v>22773</v>
      </c>
      <c r="D155" t="s">
        <v>334</v>
      </c>
      <c r="E155" s="3" t="str">
        <f>HYPERLINK("http://genome.ucsc.edu/cgi-bin/hgTracks?db=mm10&amp;lastVirtModeType=default&amp;lastVirtModeExtraState=&amp;virtModeType=default&amp;virtMode=0&amp;nonVirtPosition=&amp;position=chrX:58030627-58036630","chrX:58030627-58036630")</f>
        <v>chrX:58030627-58036630</v>
      </c>
      <c r="F155" t="s">
        <v>25</v>
      </c>
      <c r="G155">
        <v>-1.4468246561553</v>
      </c>
      <c r="H155">
        <v>0.37706411932728501</v>
      </c>
      <c r="I155">
        <v>-3.8370785815859501</v>
      </c>
      <c r="J155">
        <v>1.24506640283426E-4</v>
      </c>
      <c r="K155">
        <v>1.2907986495537401E-2</v>
      </c>
      <c r="L155" t="s">
        <v>26</v>
      </c>
      <c r="M155" t="s">
        <v>27</v>
      </c>
      <c r="N155">
        <v>149.00641031279201</v>
      </c>
      <c r="O155">
        <v>243.84009076839601</v>
      </c>
      <c r="P155">
        <v>77.881149971089201</v>
      </c>
      <c r="Q155">
        <v>298.767895594484</v>
      </c>
      <c r="R155">
        <v>193.52022319095599</v>
      </c>
      <c r="S155">
        <v>239.232153519749</v>
      </c>
      <c r="T155">
        <v>40.024657714064297</v>
      </c>
      <c r="U155">
        <v>96.988094743939897</v>
      </c>
      <c r="V155">
        <v>76.142970210083206</v>
      </c>
      <c r="W155">
        <v>98.368877216269496</v>
      </c>
    </row>
    <row r="156" spans="1:23" x14ac:dyDescent="0.2">
      <c r="A156" t="s">
        <v>335</v>
      </c>
      <c r="B156" s="3" t="str">
        <f>HYPERLINK("http://www.ncbi.nlm.nih.gov/gene/235130","Adamts15")</f>
        <v>Adamts15</v>
      </c>
      <c r="C156">
        <v>235130</v>
      </c>
      <c r="D156" t="s">
        <v>336</v>
      </c>
      <c r="E156" s="3" t="str">
        <f>HYPERLINK("http://genome.ucsc.edu/cgi-bin/hgTracks?db=mm10&amp;lastVirtModeType=default&amp;lastVirtModeExtraState=&amp;virtModeType=default&amp;virtMode=0&amp;nonVirtPosition=&amp;position=chr9:30899154-30922452","chr9:30899154-30922452")</f>
        <v>chr9:30899154-30922452</v>
      </c>
      <c r="F156" t="s">
        <v>30</v>
      </c>
      <c r="G156">
        <v>-1.4960071683679701</v>
      </c>
      <c r="H156">
        <v>0.39008723460323103</v>
      </c>
      <c r="I156">
        <v>-3.8350579964238101</v>
      </c>
      <c r="J156">
        <v>1.2553466936312101E-4</v>
      </c>
      <c r="K156">
        <v>1.2931670112164E-2</v>
      </c>
      <c r="L156" t="s">
        <v>26</v>
      </c>
      <c r="M156" t="s">
        <v>27</v>
      </c>
      <c r="N156">
        <v>281.69312044322299</v>
      </c>
      <c r="O156">
        <v>464.28473249257098</v>
      </c>
      <c r="P156">
        <v>144.749411406212</v>
      </c>
      <c r="Q156">
        <v>416.14099743517397</v>
      </c>
      <c r="R156">
        <v>438.60119788953699</v>
      </c>
      <c r="S156">
        <v>538.11200215300198</v>
      </c>
      <c r="T156">
        <v>273.717014044569</v>
      </c>
      <c r="U156">
        <v>94.3125610958312</v>
      </c>
      <c r="V156">
        <v>93.301949412355498</v>
      </c>
      <c r="W156">
        <v>117.66612107209301</v>
      </c>
    </row>
    <row r="157" spans="1:23" x14ac:dyDescent="0.2">
      <c r="A157" t="s">
        <v>337</v>
      </c>
      <c r="B157" s="3" t="str">
        <f>HYPERLINK("http://www.ncbi.nlm.nih.gov/gene/103978","Gpc5")</f>
        <v>Gpc5</v>
      </c>
      <c r="C157">
        <v>103978</v>
      </c>
      <c r="D157" t="s">
        <v>338</v>
      </c>
      <c r="E157" s="3" t="str">
        <f>HYPERLINK("http://genome.ucsc.edu/cgi-bin/hgTracks?db=mm10&amp;lastVirtModeType=default&amp;lastVirtModeExtraState=&amp;virtModeType=default&amp;virtMode=0&amp;nonVirtPosition=&amp;position=chr14:115092214-116525192","chr14:115092214-116525192")</f>
        <v>chr14:115092214-116525192</v>
      </c>
      <c r="F157" t="s">
        <v>25</v>
      </c>
      <c r="G157">
        <v>1.4534833908682101</v>
      </c>
      <c r="H157">
        <v>0.37946967207481302</v>
      </c>
      <c r="I157">
        <v>3.8303018602805698</v>
      </c>
      <c r="J157">
        <v>1.27986156209256E-4</v>
      </c>
      <c r="K157">
        <v>1.3100760154255001E-2</v>
      </c>
      <c r="L157" t="s">
        <v>26</v>
      </c>
      <c r="M157" t="s">
        <v>27</v>
      </c>
      <c r="N157">
        <v>1353.0453220299501</v>
      </c>
      <c r="O157">
        <v>617.07620049876402</v>
      </c>
      <c r="P157">
        <v>1905.02216317834</v>
      </c>
      <c r="Q157">
        <v>650.88720111655402</v>
      </c>
      <c r="R157">
        <v>616.05053749370097</v>
      </c>
      <c r="S157">
        <v>584.29086288603696</v>
      </c>
      <c r="T157">
        <v>1063.2356654042601</v>
      </c>
      <c r="U157">
        <v>2227.3817620504801</v>
      </c>
      <c r="V157">
        <v>1103.5368499461399</v>
      </c>
      <c r="W157">
        <v>3225.9343753124899</v>
      </c>
    </row>
    <row r="158" spans="1:23" x14ac:dyDescent="0.2">
      <c r="A158" t="s">
        <v>339</v>
      </c>
      <c r="B158" s="3" t="str">
        <f>HYPERLINK("http://www.ncbi.nlm.nih.gov/gene/17701","Msx1")</f>
        <v>Msx1</v>
      </c>
      <c r="C158">
        <v>17701</v>
      </c>
      <c r="D158" t="s">
        <v>340</v>
      </c>
      <c r="E158" s="3" t="str">
        <f>HYPERLINK("http://genome.ucsc.edu/cgi-bin/hgTracks?db=mm10&amp;lastVirtModeType=default&amp;lastVirtModeExtraState=&amp;virtModeType=default&amp;virtMode=0&amp;nonVirtPosition=&amp;position=chr5:37820490-37824585","chr5:37820490-37824585")</f>
        <v>chr5:37820490-37824585</v>
      </c>
      <c r="F158" t="s">
        <v>30</v>
      </c>
      <c r="G158">
        <v>-1.7463539456970001</v>
      </c>
      <c r="H158">
        <v>0.457167073709841</v>
      </c>
      <c r="I158">
        <v>-3.8199468993372601</v>
      </c>
      <c r="J158">
        <v>1.3348040730276701E-4</v>
      </c>
      <c r="K158">
        <v>1.35772240711173E-2</v>
      </c>
      <c r="L158" t="s">
        <v>26</v>
      </c>
      <c r="M158" t="s">
        <v>27</v>
      </c>
      <c r="N158">
        <v>147.46513438400299</v>
      </c>
      <c r="O158">
        <v>263.24863448167901</v>
      </c>
      <c r="P158">
        <v>60.627509310746497</v>
      </c>
      <c r="Q158">
        <v>373.45986949310497</v>
      </c>
      <c r="R158">
        <v>168.07465751186899</v>
      </c>
      <c r="S158">
        <v>248.211376440062</v>
      </c>
      <c r="T158">
        <v>91.669377345115095</v>
      </c>
      <c r="U158">
        <v>51.504022726092202</v>
      </c>
      <c r="V158">
        <v>77.215406410225299</v>
      </c>
      <c r="W158">
        <v>22.121230761553399</v>
      </c>
    </row>
    <row r="159" spans="1:23" x14ac:dyDescent="0.2">
      <c r="A159" t="s">
        <v>341</v>
      </c>
      <c r="B159" s="3" t="str">
        <f>HYPERLINK("http://www.ncbi.nlm.nih.gov/gene/12161","Bmp6")</f>
        <v>Bmp6</v>
      </c>
      <c r="C159">
        <v>12161</v>
      </c>
      <c r="D159" t="s">
        <v>342</v>
      </c>
      <c r="E159" s="3" t="str">
        <f>HYPERLINK("http://genome.ucsc.edu/cgi-bin/hgTracks?db=mm10&amp;lastVirtModeType=default&amp;lastVirtModeExtraState=&amp;virtModeType=default&amp;virtMode=0&amp;nonVirtPosition=&amp;position=chr13:38345715-38500314","chr13:38345715-38500314")</f>
        <v>chr13:38345715-38500314</v>
      </c>
      <c r="F159" t="s">
        <v>25</v>
      </c>
      <c r="G159">
        <v>-1.67838731760521</v>
      </c>
      <c r="H159">
        <v>0.43975454058736901</v>
      </c>
      <c r="I159">
        <v>-3.8166457937271701</v>
      </c>
      <c r="J159">
        <v>1.3527815399464599E-4</v>
      </c>
      <c r="K159">
        <v>1.36740849034714E-2</v>
      </c>
      <c r="L159" t="s">
        <v>26</v>
      </c>
      <c r="M159" t="s">
        <v>27</v>
      </c>
      <c r="N159">
        <v>238.79589784318901</v>
      </c>
      <c r="O159">
        <v>415.24490541342402</v>
      </c>
      <c r="P159">
        <v>106.459142165513</v>
      </c>
      <c r="Q159">
        <v>394.80043346413902</v>
      </c>
      <c r="R159">
        <v>360.92526055337498</v>
      </c>
      <c r="S159">
        <v>490.00902222275698</v>
      </c>
      <c r="T159">
        <v>102.643880266713</v>
      </c>
      <c r="U159">
        <v>91.637027447722502</v>
      </c>
      <c r="V159">
        <v>196.25582462598899</v>
      </c>
      <c r="W159">
        <v>35.299836321627801</v>
      </c>
    </row>
    <row r="160" spans="1:23" x14ac:dyDescent="0.2">
      <c r="A160" t="s">
        <v>343</v>
      </c>
      <c r="B160" s="3" t="str">
        <f>HYPERLINK("http://www.ncbi.nlm.nih.gov/gene/63873","Trpv4")</f>
        <v>Trpv4</v>
      </c>
      <c r="C160">
        <v>63873</v>
      </c>
      <c r="D160" t="s">
        <v>344</v>
      </c>
      <c r="E160" s="3" t="str">
        <f>HYPERLINK("http://genome.ucsc.edu/cgi-bin/hgTracks?db=mm10&amp;lastVirtModeType=default&amp;lastVirtModeExtraState=&amp;virtModeType=default&amp;virtMode=0&amp;nonVirtPosition=&amp;position=chr5:114622153-114658421","chr5:114622153-114658421")</f>
        <v>chr5:114622153-114658421</v>
      </c>
      <c r="F160" t="s">
        <v>30</v>
      </c>
      <c r="G160">
        <v>-1.6653356664861201</v>
      </c>
      <c r="H160">
        <v>0.43703068554990498</v>
      </c>
      <c r="I160">
        <v>-3.8105691923912999</v>
      </c>
      <c r="J160">
        <v>1.38647198777525E-4</v>
      </c>
      <c r="K160">
        <v>1.39275847567013E-2</v>
      </c>
      <c r="L160" t="s">
        <v>26</v>
      </c>
      <c r="M160" t="s">
        <v>27</v>
      </c>
      <c r="N160">
        <v>137.173556275793</v>
      </c>
      <c r="O160">
        <v>237.97803922442199</v>
      </c>
      <c r="P160">
        <v>61.570194064320702</v>
      </c>
      <c r="Q160">
        <v>256.08676765241501</v>
      </c>
      <c r="R160">
        <v>241.06325380188301</v>
      </c>
      <c r="S160">
        <v>216.78409621896901</v>
      </c>
      <c r="T160">
        <v>27.113477806301599</v>
      </c>
      <c r="U160">
        <v>69.563874850825897</v>
      </c>
      <c r="V160">
        <v>107.24362001420199</v>
      </c>
      <c r="W160">
        <v>42.359803585953401</v>
      </c>
    </row>
    <row r="161" spans="1:23" x14ac:dyDescent="0.2">
      <c r="A161" t="s">
        <v>345</v>
      </c>
      <c r="B161" s="3" t="str">
        <f>HYPERLINK("http://www.ncbi.nlm.nih.gov/gene/26946","Trpc7")</f>
        <v>Trpc7</v>
      </c>
      <c r="C161">
        <v>26946</v>
      </c>
      <c r="D161" t="s">
        <v>346</v>
      </c>
      <c r="E161" s="3" t="str">
        <f>HYPERLINK("http://genome.ucsc.edu/cgi-bin/hgTracks?db=mm10&amp;lastVirtModeType=default&amp;lastVirtModeExtraState=&amp;virtModeType=default&amp;virtMode=0&amp;nonVirtPosition=&amp;position=chr13:56773097-56895789","chr13:56773097-56895789")</f>
        <v>chr13:56773097-56895789</v>
      </c>
      <c r="F161" t="s">
        <v>30</v>
      </c>
      <c r="G161">
        <v>-2.0088202027816302</v>
      </c>
      <c r="H161">
        <v>0.52796755791758898</v>
      </c>
      <c r="I161">
        <v>-3.8048174980766301</v>
      </c>
      <c r="J161">
        <v>1.4190878191333499E-4</v>
      </c>
      <c r="K161">
        <v>1.41672267276813E-2</v>
      </c>
      <c r="L161" t="s">
        <v>26</v>
      </c>
      <c r="M161" t="s">
        <v>27</v>
      </c>
      <c r="N161">
        <v>98.513687463915403</v>
      </c>
      <c r="O161">
        <v>190.52164437595499</v>
      </c>
      <c r="P161">
        <v>29.5077197798859</v>
      </c>
      <c r="Q161">
        <v>320.10845956551799</v>
      </c>
      <c r="R161">
        <v>122.540487349291</v>
      </c>
      <c r="S161">
        <v>128.91598621305499</v>
      </c>
      <c r="T161">
        <v>34.214626755571103</v>
      </c>
      <c r="U161">
        <v>27.424219893114</v>
      </c>
      <c r="V161">
        <v>49.332065206532803</v>
      </c>
      <c r="W161">
        <v>7.05996726432556</v>
      </c>
    </row>
    <row r="162" spans="1:23" x14ac:dyDescent="0.2">
      <c r="A162" t="s">
        <v>347</v>
      </c>
      <c r="B162" s="3" t="str">
        <f>HYPERLINK("http://www.ncbi.nlm.nih.gov/gene/235041","Kank2")</f>
        <v>Kank2</v>
      </c>
      <c r="C162">
        <v>235041</v>
      </c>
      <c r="D162" t="s">
        <v>348</v>
      </c>
      <c r="E162" s="3" t="str">
        <f>HYPERLINK("http://genome.ucsc.edu/cgi-bin/hgTracks?db=mm10&amp;lastVirtModeType=default&amp;lastVirtModeExtraState=&amp;virtModeType=default&amp;virtMode=0&amp;nonVirtPosition=&amp;position=chr9:21766772-21798546","chr9:21766772-21798546")</f>
        <v>chr9:21766772-21798546</v>
      </c>
      <c r="F162" t="s">
        <v>30</v>
      </c>
      <c r="G162">
        <v>-1.7248469828279001</v>
      </c>
      <c r="H162">
        <v>0.45384762678384799</v>
      </c>
      <c r="I162">
        <v>-3.8004979667975398</v>
      </c>
      <c r="J162">
        <v>1.4440560303595899E-4</v>
      </c>
      <c r="K162">
        <v>1.43263446170708E-2</v>
      </c>
      <c r="L162" t="s">
        <v>26</v>
      </c>
      <c r="M162" t="s">
        <v>27</v>
      </c>
      <c r="N162">
        <v>819.97764616555901</v>
      </c>
      <c r="O162">
        <v>1447.05343555421</v>
      </c>
      <c r="P162">
        <v>349.67080412407199</v>
      </c>
      <c r="Q162">
        <v>810.94143089931299</v>
      </c>
      <c r="R162">
        <v>1325.1782757609101</v>
      </c>
      <c r="S162">
        <v>2205.04060000241</v>
      </c>
      <c r="T162">
        <v>419.61334700228701</v>
      </c>
      <c r="U162">
        <v>425.40985004928098</v>
      </c>
      <c r="V162">
        <v>463.29243846135199</v>
      </c>
      <c r="W162">
        <v>90.367580983367205</v>
      </c>
    </row>
    <row r="163" spans="1:23" x14ac:dyDescent="0.2">
      <c r="A163" t="s">
        <v>349</v>
      </c>
      <c r="B163" s="3" t="str">
        <f>HYPERLINK("http://www.ncbi.nlm.nih.gov/gene/110596","Arhgef28")</f>
        <v>Arhgef28</v>
      </c>
      <c r="C163">
        <v>110596</v>
      </c>
      <c r="D163" s="5" t="s">
        <v>350</v>
      </c>
      <c r="E163" s="3" t="str">
        <f>HYPERLINK("http://genome.ucsc.edu/cgi-bin/hgTracks?db=mm10&amp;lastVirtModeType=default&amp;lastVirtModeExtraState=&amp;virtModeType=default&amp;virtMode=0&amp;nonVirtPosition=&amp;position=chr13:97898594-98206165","chr13:97898594-98206165")</f>
        <v>chr13:97898594-98206165</v>
      </c>
      <c r="F163" t="s">
        <v>30</v>
      </c>
      <c r="G163" s="4">
        <v>0.83171456592543402</v>
      </c>
      <c r="H163">
        <v>0.21892919497753899</v>
      </c>
      <c r="I163">
        <v>3.7990116668120102</v>
      </c>
      <c r="J163">
        <v>1.4527425444874799E-4</v>
      </c>
      <c r="K163">
        <v>1.43263446170708E-2</v>
      </c>
      <c r="L163" t="s">
        <v>26</v>
      </c>
      <c r="M163" t="s">
        <v>27</v>
      </c>
      <c r="N163">
        <v>684.57521554534196</v>
      </c>
      <c r="O163">
        <v>473.63218657057303</v>
      </c>
      <c r="P163">
        <v>842.78248727641903</v>
      </c>
      <c r="Q163">
        <v>544.18438126138096</v>
      </c>
      <c r="R163">
        <v>485.47460835101498</v>
      </c>
      <c r="S163">
        <v>391.237570099322</v>
      </c>
      <c r="T163">
        <v>939.28833828973598</v>
      </c>
      <c r="U163">
        <v>931.08570954182301</v>
      </c>
      <c r="V163">
        <v>810.76176730736495</v>
      </c>
      <c r="W163">
        <v>689.99413396675197</v>
      </c>
    </row>
    <row r="164" spans="1:23" x14ac:dyDescent="0.2">
      <c r="A164" t="s">
        <v>351</v>
      </c>
      <c r="B164" s="3" t="str">
        <f>HYPERLINK("http://www.ncbi.nlm.nih.gov/gene/14560","Gdf10")</f>
        <v>Gdf10</v>
      </c>
      <c r="C164">
        <v>14560</v>
      </c>
      <c r="D164" t="s">
        <v>352</v>
      </c>
      <c r="E164" s="3" t="str">
        <f>HYPERLINK("http://genome.ucsc.edu/cgi-bin/hgTracks?db=mm10&amp;lastVirtModeType=default&amp;lastVirtModeExtraState=&amp;virtModeType=default&amp;virtMode=0&amp;nonVirtPosition=&amp;position=chr14:33923586-33936514","chr14:33923586-33936514")</f>
        <v>chr14:33923586-33936514</v>
      </c>
      <c r="F164" t="s">
        <v>25</v>
      </c>
      <c r="G164">
        <v>-2.3117560305820999</v>
      </c>
      <c r="H164">
        <v>0.609542078569275</v>
      </c>
      <c r="I164">
        <v>-3.79261106305947</v>
      </c>
      <c r="J164">
        <v>1.49071542635715E-4</v>
      </c>
      <c r="K164">
        <v>1.4480638414431301E-2</v>
      </c>
      <c r="L164" t="s">
        <v>26</v>
      </c>
      <c r="M164" t="s">
        <v>27</v>
      </c>
      <c r="N164">
        <v>425.28647256013801</v>
      </c>
      <c r="O164">
        <v>924.71907214495502</v>
      </c>
      <c r="P164">
        <v>50.7120228715265</v>
      </c>
      <c r="Q164">
        <v>181.394793753794</v>
      </c>
      <c r="R164">
        <v>1391.4706705564299</v>
      </c>
      <c r="S164">
        <v>1201.29175212464</v>
      </c>
      <c r="T164">
        <v>109.09947022059499</v>
      </c>
      <c r="U164">
        <v>20.0665023608152</v>
      </c>
      <c r="V164">
        <v>67.563480608947103</v>
      </c>
      <c r="W164">
        <v>6.1186382957488199</v>
      </c>
    </row>
    <row r="165" spans="1:23" x14ac:dyDescent="0.2">
      <c r="A165" t="s">
        <v>353</v>
      </c>
      <c r="B165" s="3" t="str">
        <f>HYPERLINK("http://www.ncbi.nlm.nih.gov/gene/668253","Dleu2")</f>
        <v>Dleu2</v>
      </c>
      <c r="C165">
        <v>668253</v>
      </c>
      <c r="D165" t="s">
        <v>354</v>
      </c>
      <c r="E165" s="3" t="str">
        <f>HYPERLINK("http://genome.ucsc.edu/cgi-bin/hgTracks?db=mm10&amp;lastVirtModeType=default&amp;lastVirtModeExtraState=&amp;virtModeType=default&amp;virtMode=0&amp;nonVirtPosition=&amp;position=chr14:61602835-61682373","chr14:61602835-61682373")</f>
        <v>chr14:61602835-61682373</v>
      </c>
      <c r="F165" t="s">
        <v>30</v>
      </c>
      <c r="G165">
        <v>-1.0003110105575299</v>
      </c>
      <c r="H165">
        <v>0.26375770572393598</v>
      </c>
      <c r="I165">
        <v>-3.7925375784262898</v>
      </c>
      <c r="J165">
        <v>1.49115676626524E-4</v>
      </c>
      <c r="K165">
        <v>1.4480638414431301E-2</v>
      </c>
      <c r="L165" t="s">
        <v>26</v>
      </c>
      <c r="M165" t="s">
        <v>27</v>
      </c>
      <c r="N165">
        <v>389.81948794625799</v>
      </c>
      <c r="O165">
        <v>559.45350817824999</v>
      </c>
      <c r="P165">
        <v>262.59397277226498</v>
      </c>
      <c r="Q165">
        <v>725.579175015175</v>
      </c>
      <c r="R165">
        <v>479.44802700596802</v>
      </c>
      <c r="S165">
        <v>473.33332251360599</v>
      </c>
      <c r="T165">
        <v>305.34940481858803</v>
      </c>
      <c r="U165">
        <v>291.633167643847</v>
      </c>
      <c r="V165">
        <v>189.821207425137</v>
      </c>
      <c r="W165">
        <v>263.57211120148798</v>
      </c>
    </row>
    <row r="166" spans="1:23" x14ac:dyDescent="0.2">
      <c r="A166" t="s">
        <v>355</v>
      </c>
      <c r="B166" s="3" t="str">
        <f>HYPERLINK("http://www.ncbi.nlm.nih.gov/gene/13710","Elf3")</f>
        <v>Elf3</v>
      </c>
      <c r="C166">
        <v>13710</v>
      </c>
      <c r="D166" t="s">
        <v>356</v>
      </c>
      <c r="E166" s="3" t="str">
        <f>HYPERLINK("http://genome.ucsc.edu/cgi-bin/hgTracks?db=mm10&amp;lastVirtModeType=default&amp;lastVirtModeExtraState=&amp;virtModeType=default&amp;virtMode=0&amp;nonVirtPosition=&amp;position=chr1:135253573-135258472","chr1:135253573-135258472")</f>
        <v>chr1:135253573-135258472</v>
      </c>
      <c r="F166" t="s">
        <v>30</v>
      </c>
      <c r="G166">
        <v>-2.3288747605503599</v>
      </c>
      <c r="H166">
        <v>0.61417787517754696</v>
      </c>
      <c r="I166">
        <v>-3.79185713890642</v>
      </c>
      <c r="J166">
        <v>1.4952492519693499E-4</v>
      </c>
      <c r="K166">
        <v>1.4480638414431301E-2</v>
      </c>
      <c r="L166" t="s">
        <v>26</v>
      </c>
      <c r="M166" t="s">
        <v>27</v>
      </c>
      <c r="N166">
        <v>23.211539181070901</v>
      </c>
      <c r="O166">
        <v>52.405296568399201</v>
      </c>
      <c r="P166">
        <v>1.31622114057462</v>
      </c>
      <c r="Q166">
        <v>128.04338382620699</v>
      </c>
      <c r="R166">
        <v>7.3658216439464299</v>
      </c>
      <c r="S166">
        <v>21.806684235044202</v>
      </c>
      <c r="T166">
        <v>2.58223598155254</v>
      </c>
      <c r="U166">
        <v>0.66888341202717205</v>
      </c>
      <c r="V166">
        <v>1.07243620014202</v>
      </c>
      <c r="W166">
        <v>0.94132896857674198</v>
      </c>
    </row>
    <row r="167" spans="1:23" x14ac:dyDescent="0.2">
      <c r="A167" t="s">
        <v>357</v>
      </c>
      <c r="B167" s="3" t="str">
        <f>HYPERLINK("http://www.ncbi.nlm.nih.gov/gene/108071","Grm5")</f>
        <v>Grm5</v>
      </c>
      <c r="C167">
        <v>108071</v>
      </c>
      <c r="D167" t="s">
        <v>358</v>
      </c>
      <c r="E167" s="3" t="str">
        <f>HYPERLINK("http://genome.ucsc.edu/cgi-bin/hgTracks?db=mm10&amp;lastVirtModeType=default&amp;lastVirtModeExtraState=&amp;virtModeType=default&amp;virtMode=0&amp;nonVirtPosition=&amp;position=chr7:87584167-88135063","chr7:87584167-88135063")</f>
        <v>chr7:87584167-88135063</v>
      </c>
      <c r="F167" t="s">
        <v>25</v>
      </c>
      <c r="G167">
        <v>1.20798079978201</v>
      </c>
      <c r="H167">
        <v>0.31915161110919898</v>
      </c>
      <c r="I167">
        <v>3.78497478231027</v>
      </c>
      <c r="J167">
        <v>1.53724165608651E-4</v>
      </c>
      <c r="K167">
        <v>1.4711129765613701E-2</v>
      </c>
      <c r="L167" t="s">
        <v>26</v>
      </c>
      <c r="M167" t="s">
        <v>27</v>
      </c>
      <c r="N167">
        <v>5245.8831094233901</v>
      </c>
      <c r="O167">
        <v>2851.1354476312699</v>
      </c>
      <c r="P167">
        <v>7041.9438557674803</v>
      </c>
      <c r="Q167">
        <v>2635.5596504227701</v>
      </c>
      <c r="R167">
        <v>3479.3462965405101</v>
      </c>
      <c r="S167">
        <v>2438.50039593053</v>
      </c>
      <c r="T167">
        <v>8793.1590761817806</v>
      </c>
      <c r="U167">
        <v>7623.9331302856999</v>
      </c>
      <c r="V167">
        <v>3958.36201472419</v>
      </c>
      <c r="W167">
        <v>7792.3212018782697</v>
      </c>
    </row>
    <row r="168" spans="1:23" x14ac:dyDescent="0.2">
      <c r="A168" t="s">
        <v>359</v>
      </c>
      <c r="B168" s="3" t="str">
        <f>HYPERLINK("http://www.ncbi.nlm.nih.gov/gene/77048","Cep83")</f>
        <v>Cep83</v>
      </c>
      <c r="C168">
        <v>77048</v>
      </c>
      <c r="D168" t="s">
        <v>360</v>
      </c>
      <c r="E168" s="3" t="str">
        <f>HYPERLINK("http://genome.ucsc.edu/cgi-bin/hgTracks?db=mm10&amp;lastVirtModeType=default&amp;lastVirtModeExtraState=&amp;virtModeType=default&amp;virtMode=0&amp;nonVirtPosition=&amp;position=chr10:94688789-94790336","chr10:94688789-94790336")</f>
        <v>chr10:94688789-94790336</v>
      </c>
      <c r="F168" t="s">
        <v>25</v>
      </c>
      <c r="G168">
        <v>0.62204759581240099</v>
      </c>
      <c r="H168">
        <v>0.164517235318908</v>
      </c>
      <c r="I168">
        <v>3.7810481959935398</v>
      </c>
      <c r="J168">
        <v>1.5616943412826001E-4</v>
      </c>
      <c r="K168">
        <v>1.4804254171663001E-2</v>
      </c>
      <c r="L168" t="s">
        <v>26</v>
      </c>
      <c r="M168" t="s">
        <v>27</v>
      </c>
      <c r="N168">
        <v>637.34199537165898</v>
      </c>
      <c r="O168">
        <v>479.16618037352799</v>
      </c>
      <c r="P168">
        <v>755.97385662025704</v>
      </c>
      <c r="Q168">
        <v>437.48156140620802</v>
      </c>
      <c r="R168">
        <v>474.09106581037003</v>
      </c>
      <c r="S168">
        <v>525.92591390400696</v>
      </c>
      <c r="T168">
        <v>790.80976935046499</v>
      </c>
      <c r="U168">
        <v>752.49383853056804</v>
      </c>
      <c r="V168">
        <v>722.82199889571996</v>
      </c>
      <c r="W168">
        <v>757.76981970427698</v>
      </c>
    </row>
    <row r="169" spans="1:23" x14ac:dyDescent="0.2">
      <c r="A169" t="s">
        <v>361</v>
      </c>
      <c r="B169" s="3" t="str">
        <f>HYPERLINK("http://www.ncbi.nlm.nih.gov/gene/17022","Lum")</f>
        <v>Lum</v>
      </c>
      <c r="C169">
        <v>17022</v>
      </c>
      <c r="D169" t="s">
        <v>362</v>
      </c>
      <c r="E169" s="3" t="str">
        <f>HYPERLINK("http://genome.ucsc.edu/cgi-bin/hgTracks?db=mm10&amp;lastVirtModeType=default&amp;lastVirtModeExtraState=&amp;virtModeType=default&amp;virtMode=0&amp;nonVirtPosition=&amp;position=chr10:97565500-97572703","chr10:97565500-97572703")</f>
        <v>chr10:97565500-97572703</v>
      </c>
      <c r="F169" t="s">
        <v>25</v>
      </c>
      <c r="G169">
        <v>-1.93236057931282</v>
      </c>
      <c r="H169">
        <v>0.51114196414191004</v>
      </c>
      <c r="I169">
        <v>-3.7804772741694399</v>
      </c>
      <c r="J169">
        <v>1.5652800737985399E-4</v>
      </c>
      <c r="K169">
        <v>1.4804254171663001E-2</v>
      </c>
      <c r="L169" t="s">
        <v>26</v>
      </c>
      <c r="M169" t="s">
        <v>27</v>
      </c>
      <c r="N169">
        <v>155.43837105283299</v>
      </c>
      <c r="O169">
        <v>292.61612891526801</v>
      </c>
      <c r="P169">
        <v>52.555052656007298</v>
      </c>
      <c r="Q169">
        <v>330.77874155103598</v>
      </c>
      <c r="R169">
        <v>166.735417212969</v>
      </c>
      <c r="S169">
        <v>380.33422798179998</v>
      </c>
      <c r="T169">
        <v>54.872514607991398</v>
      </c>
      <c r="U169">
        <v>57.523973434336803</v>
      </c>
      <c r="V169">
        <v>87.939768411645403</v>
      </c>
      <c r="W169">
        <v>9.8839541700557891</v>
      </c>
    </row>
    <row r="170" spans="1:23" x14ac:dyDescent="0.2">
      <c r="A170" t="s">
        <v>363</v>
      </c>
      <c r="B170" s="3" t="str">
        <f>HYPERLINK("http://www.ncbi.nlm.nih.gov/gene/243764","Chrm2")</f>
        <v>Chrm2</v>
      </c>
      <c r="C170">
        <v>243764</v>
      </c>
      <c r="D170" s="5" t="s">
        <v>364</v>
      </c>
      <c r="E170" s="3" t="str">
        <f>HYPERLINK("http://genome.ucsc.edu/cgi-bin/hgTracks?db=mm10&amp;lastVirtModeType=default&amp;lastVirtModeExtraState=&amp;virtModeType=default&amp;virtMode=0&amp;nonVirtPosition=&amp;position=chr6:36388083-36524774","chr6:36388083-36524774")</f>
        <v>chr6:36388083-36524774</v>
      </c>
      <c r="F170" t="s">
        <v>25</v>
      </c>
      <c r="G170" s="4">
        <v>1.4222910629654599</v>
      </c>
      <c r="H170">
        <v>0.37686055843067201</v>
      </c>
      <c r="I170">
        <v>3.7740512535675901</v>
      </c>
      <c r="J170">
        <v>1.60617739867292E-4</v>
      </c>
      <c r="K170">
        <v>1.50657269703614E-2</v>
      </c>
      <c r="L170" t="s">
        <v>26</v>
      </c>
      <c r="M170" t="s">
        <v>27</v>
      </c>
      <c r="N170">
        <v>713.21759177066497</v>
      </c>
      <c r="O170">
        <v>334.351033667602</v>
      </c>
      <c r="P170">
        <v>997.36751034795998</v>
      </c>
      <c r="Q170">
        <v>394.80043346413902</v>
      </c>
      <c r="R170">
        <v>324.76577248309297</v>
      </c>
      <c r="S170">
        <v>283.486895055574</v>
      </c>
      <c r="T170">
        <v>1285.9535188131599</v>
      </c>
      <c r="U170">
        <v>840.78644891815497</v>
      </c>
      <c r="V170">
        <v>1442.4266891910099</v>
      </c>
      <c r="W170">
        <v>420.30338446951498</v>
      </c>
    </row>
    <row r="171" spans="1:23" x14ac:dyDescent="0.2">
      <c r="A171" t="s">
        <v>365</v>
      </c>
      <c r="B171" s="3" t="str">
        <f>HYPERLINK("http://www.ncbi.nlm.nih.gov/gene/226830","Smyd2")</f>
        <v>Smyd2</v>
      </c>
      <c r="C171">
        <v>226830</v>
      </c>
      <c r="D171" s="5" t="s">
        <v>366</v>
      </c>
      <c r="E171" s="3" t="str">
        <f>HYPERLINK("http://genome.ucsc.edu/cgi-bin/hgTracks?db=mm10&amp;lastVirtModeType=default&amp;lastVirtModeExtraState=&amp;virtModeType=default&amp;virtMode=0&amp;nonVirtPosition=&amp;position=chr1:189880491-189922288","chr1:189880491-189922288")</f>
        <v>chr1:189880491-189922288</v>
      </c>
      <c r="F171" t="s">
        <v>30</v>
      </c>
      <c r="G171" s="4">
        <v>0.92919912065468202</v>
      </c>
      <c r="H171">
        <v>0.24626174351948499</v>
      </c>
      <c r="I171">
        <v>3.7732175017316898</v>
      </c>
      <c r="J171">
        <v>1.6115567710829899E-4</v>
      </c>
      <c r="K171">
        <v>1.50657269703614E-2</v>
      </c>
      <c r="L171" t="s">
        <v>26</v>
      </c>
      <c r="M171" t="s">
        <v>27</v>
      </c>
      <c r="N171">
        <v>1070.3121506001501</v>
      </c>
      <c r="O171">
        <v>679.85127721635797</v>
      </c>
      <c r="P171">
        <v>1363.1578056379999</v>
      </c>
      <c r="Q171">
        <v>469.49240736275999</v>
      </c>
      <c r="R171">
        <v>790.15177635061696</v>
      </c>
      <c r="S171">
        <v>779.90964793569697</v>
      </c>
      <c r="T171">
        <v>1207.8408803712</v>
      </c>
      <c r="U171">
        <v>1185.2614061121501</v>
      </c>
      <c r="V171">
        <v>1453.15105119243</v>
      </c>
      <c r="W171">
        <v>1606.3778848762099</v>
      </c>
    </row>
    <row r="172" spans="1:23" x14ac:dyDescent="0.2">
      <c r="A172" t="s">
        <v>367</v>
      </c>
      <c r="B172" s="3" t="str">
        <f>HYPERLINK("http://www.ncbi.nlm.nih.gov/gene/240119","St6gal2")</f>
        <v>St6gal2</v>
      </c>
      <c r="C172">
        <v>240119</v>
      </c>
      <c r="D172" s="5" t="s">
        <v>368</v>
      </c>
      <c r="E172" s="3" t="str">
        <f>HYPERLINK("http://genome.ucsc.edu/cgi-bin/hgTracks?db=mm10&amp;lastVirtModeType=default&amp;lastVirtModeExtraState=&amp;virtModeType=default&amp;virtMode=0&amp;nonVirtPosition=&amp;position=chr17:55445716-55499226","chr17:55445716-55499226")</f>
        <v>chr17:55445716-55499226</v>
      </c>
      <c r="F172" t="s">
        <v>25</v>
      </c>
      <c r="G172" s="4">
        <v>1.55485072594496</v>
      </c>
      <c r="H172">
        <v>0.41255722375646597</v>
      </c>
      <c r="I172">
        <v>3.76881226751417</v>
      </c>
      <c r="J172">
        <v>1.6402619199024199E-4</v>
      </c>
      <c r="K172">
        <v>1.52459517417137E-2</v>
      </c>
      <c r="L172" t="s">
        <v>26</v>
      </c>
      <c r="M172" t="s">
        <v>27</v>
      </c>
      <c r="N172">
        <v>975.59481736261102</v>
      </c>
      <c r="O172">
        <v>409.74536671457997</v>
      </c>
      <c r="P172">
        <v>1399.9819053486301</v>
      </c>
      <c r="Q172">
        <v>533.51409927586406</v>
      </c>
      <c r="R172">
        <v>360.92526055337498</v>
      </c>
      <c r="S172">
        <v>334.79674031450202</v>
      </c>
      <c r="T172">
        <v>1269.1689849330701</v>
      </c>
      <c r="U172">
        <v>1102.3198630207801</v>
      </c>
      <c r="V172">
        <v>594.12965487867802</v>
      </c>
      <c r="W172">
        <v>2634.3091185620101</v>
      </c>
    </row>
    <row r="173" spans="1:23" x14ac:dyDescent="0.2">
      <c r="A173" t="s">
        <v>369</v>
      </c>
      <c r="B173" s="3" t="str">
        <f>HYPERLINK("http://www.ncbi.nlm.nih.gov/gene/109620","Dsp")</f>
        <v>Dsp</v>
      </c>
      <c r="C173">
        <v>109620</v>
      </c>
      <c r="D173" t="s">
        <v>370</v>
      </c>
      <c r="E173" s="3" t="str">
        <f>HYPERLINK("http://genome.ucsc.edu/cgi-bin/hgTracks?db=mm10&amp;lastVirtModeType=default&amp;lastVirtModeExtraState=&amp;virtModeType=default&amp;virtMode=0&amp;nonVirtPosition=&amp;position=chr13:38151293-38198577","chr13:38151293-38198577")</f>
        <v>chr13:38151293-38198577</v>
      </c>
      <c r="F173" t="s">
        <v>25</v>
      </c>
      <c r="G173">
        <v>-2.05586989770085</v>
      </c>
      <c r="H173">
        <v>0.54719214717296605</v>
      </c>
      <c r="I173">
        <v>-3.7571260997117202</v>
      </c>
      <c r="J173">
        <v>1.7187589873068901E-4</v>
      </c>
      <c r="K173">
        <v>1.5884279486693902E-2</v>
      </c>
      <c r="L173" t="s">
        <v>26</v>
      </c>
      <c r="M173" t="s">
        <v>27</v>
      </c>
      <c r="N173">
        <v>112.730552738075</v>
      </c>
      <c r="O173">
        <v>221.18462887221801</v>
      </c>
      <c r="P173">
        <v>31.389995637467699</v>
      </c>
      <c r="Q173">
        <v>277.42733162344899</v>
      </c>
      <c r="R173">
        <v>243.741734399682</v>
      </c>
      <c r="S173">
        <v>142.38482059352401</v>
      </c>
      <c r="T173">
        <v>21.303446847808399</v>
      </c>
      <c r="U173">
        <v>26.7553364810869</v>
      </c>
      <c r="V173">
        <v>71.853225409515204</v>
      </c>
      <c r="W173">
        <v>5.6479738114604503</v>
      </c>
    </row>
    <row r="174" spans="1:23" x14ac:dyDescent="0.2">
      <c r="A174" t="s">
        <v>371</v>
      </c>
      <c r="B174" s="3" t="str">
        <f>HYPERLINK("http://www.ncbi.nlm.nih.gov/gene/76566","Rflnb")</f>
        <v>Rflnb</v>
      </c>
      <c r="C174">
        <v>76566</v>
      </c>
      <c r="D174" t="s">
        <v>372</v>
      </c>
      <c r="E174" s="3" t="str">
        <f>HYPERLINK("http://genome.ucsc.edu/cgi-bin/hgTracks?db=mm10&amp;lastVirtModeType=default&amp;lastVirtModeExtraState=&amp;virtModeType=default&amp;virtMode=0&amp;nonVirtPosition=&amp;position=chr11:76019194-76027782","chr11:76019194-76027782")</f>
        <v>chr11:76019194-76027782</v>
      </c>
      <c r="F174" t="s">
        <v>30</v>
      </c>
      <c r="G174">
        <v>-0.89617973127545203</v>
      </c>
      <c r="H174">
        <v>0.238883404430728</v>
      </c>
      <c r="I174">
        <v>-3.7515361664034201</v>
      </c>
      <c r="J174">
        <v>1.7575439377738399E-4</v>
      </c>
      <c r="K174">
        <v>1.6150430741827398E-2</v>
      </c>
      <c r="L174" t="s">
        <v>26</v>
      </c>
      <c r="M174" t="s">
        <v>27</v>
      </c>
      <c r="N174">
        <v>573.38356199989903</v>
      </c>
      <c r="O174">
        <v>785.22211864104702</v>
      </c>
      <c r="P174">
        <v>414.50464451903702</v>
      </c>
      <c r="Q174">
        <v>704.23861104414004</v>
      </c>
      <c r="R174">
        <v>833.67708606484598</v>
      </c>
      <c r="S174">
        <v>817.75065881415605</v>
      </c>
      <c r="T174">
        <v>291.792665915437</v>
      </c>
      <c r="U174">
        <v>421.39654957711798</v>
      </c>
      <c r="V174">
        <v>448.278331659363</v>
      </c>
      <c r="W174">
        <v>496.55103092423099</v>
      </c>
    </row>
    <row r="175" spans="1:23" x14ac:dyDescent="0.2">
      <c r="A175" t="s">
        <v>373</v>
      </c>
      <c r="B175" s="3" t="str">
        <f>HYPERLINK("http://www.ncbi.nlm.nih.gov/gene/73542","Tssk5")</f>
        <v>Tssk5</v>
      </c>
      <c r="C175">
        <v>73542</v>
      </c>
      <c r="D175" t="s">
        <v>374</v>
      </c>
      <c r="E175" s="3" t="str">
        <f>HYPERLINK("http://genome.ucsc.edu/cgi-bin/hgTracks?db=mm10&amp;lastVirtModeType=default&amp;lastVirtModeExtraState=&amp;virtModeType=default&amp;virtMode=0&amp;nonVirtPosition=&amp;position=chr15:76371957-76374938","chr15:76371957-76374938")</f>
        <v>chr15:76371957-76374938</v>
      </c>
      <c r="F175" t="s">
        <v>30</v>
      </c>
      <c r="G175">
        <v>-2.29207933863445</v>
      </c>
      <c r="H175">
        <v>0.61419890839591795</v>
      </c>
      <c r="I175">
        <v>-3.7318192971404001</v>
      </c>
      <c r="J175">
        <v>1.9010185407998301E-4</v>
      </c>
      <c r="K175">
        <v>1.7370154158392999E-2</v>
      </c>
      <c r="L175" t="s">
        <v>26</v>
      </c>
      <c r="M175" t="s">
        <v>27</v>
      </c>
      <c r="N175">
        <v>15.9556168849344</v>
      </c>
      <c r="O175">
        <v>35.497181776138603</v>
      </c>
      <c r="P175">
        <v>1.29944321653124</v>
      </c>
      <c r="Q175">
        <v>32.010845956551798</v>
      </c>
      <c r="R175">
        <v>47.543030610926998</v>
      </c>
      <c r="S175">
        <v>26.937668760936901</v>
      </c>
      <c r="T175">
        <v>2.58223598155254</v>
      </c>
      <c r="U175">
        <v>0</v>
      </c>
      <c r="V175">
        <v>2.14487240028404</v>
      </c>
      <c r="W175">
        <v>0.47066448428837099</v>
      </c>
    </row>
    <row r="176" spans="1:23" x14ac:dyDescent="0.2">
      <c r="A176" t="s">
        <v>375</v>
      </c>
      <c r="B176" s="3" t="str">
        <f>HYPERLINK("http://www.ncbi.nlm.nih.gov/gene/268935","Scube3")</f>
        <v>Scube3</v>
      </c>
      <c r="C176">
        <v>268935</v>
      </c>
      <c r="D176" t="s">
        <v>376</v>
      </c>
      <c r="E176" s="3" t="str">
        <f>HYPERLINK("http://genome.ucsc.edu/cgi-bin/hgTracks?db=mm10&amp;lastVirtModeType=default&amp;lastVirtModeExtraState=&amp;virtModeType=default&amp;virtMode=0&amp;nonVirtPosition=&amp;position=chr17:28142525-28171345","chr17:28142525-28171345")</f>
        <v>chr17:28142525-28171345</v>
      </c>
      <c r="F176" t="s">
        <v>25</v>
      </c>
      <c r="G176">
        <v>-1.5736851087511901</v>
      </c>
      <c r="H176">
        <v>0.42224796466926301</v>
      </c>
      <c r="I176">
        <v>-3.7269217152623102</v>
      </c>
      <c r="J176">
        <v>1.9383262998668601E-4</v>
      </c>
      <c r="K176">
        <v>1.7513157121646201E-2</v>
      </c>
      <c r="L176" t="s">
        <v>26</v>
      </c>
      <c r="M176" t="s">
        <v>27</v>
      </c>
      <c r="N176">
        <v>174.56623877992399</v>
      </c>
      <c r="O176">
        <v>298.34878460814701</v>
      </c>
      <c r="P176">
        <v>81.729329408757394</v>
      </c>
      <c r="Q176">
        <v>480.16268934827701</v>
      </c>
      <c r="R176">
        <v>256.46451723922598</v>
      </c>
      <c r="S176">
        <v>158.41914723693901</v>
      </c>
      <c r="T176">
        <v>81.340433418904993</v>
      </c>
      <c r="U176">
        <v>76.252708971097604</v>
      </c>
      <c r="V176">
        <v>122.25772681619</v>
      </c>
      <c r="W176">
        <v>47.066448428837099</v>
      </c>
    </row>
    <row r="177" spans="1:23" x14ac:dyDescent="0.2">
      <c r="A177" t="s">
        <v>377</v>
      </c>
      <c r="B177" s="3" t="str">
        <f>HYPERLINK("http://www.ncbi.nlm.nih.gov/gene/66898","Baiap2l1")</f>
        <v>Baiap2l1</v>
      </c>
      <c r="C177">
        <v>66898</v>
      </c>
      <c r="D177" t="s">
        <v>378</v>
      </c>
      <c r="E177" s="3" t="str">
        <f>HYPERLINK("http://genome.ucsc.edu/cgi-bin/hgTracks?db=mm10&amp;lastVirtModeType=default&amp;lastVirtModeExtraState=&amp;virtModeType=default&amp;virtMode=0&amp;nonVirtPosition=&amp;position=chr5:144264524-144358112","chr5:144264524-144358112")</f>
        <v>chr5:144264524-144358112</v>
      </c>
      <c r="F177" t="s">
        <v>30</v>
      </c>
      <c r="G177">
        <v>-2.0592014059277601</v>
      </c>
      <c r="H177">
        <v>0.55355474346952604</v>
      </c>
      <c r="I177">
        <v>-3.7199598237046398</v>
      </c>
      <c r="J177">
        <v>1.99254471584832E-4</v>
      </c>
      <c r="K177">
        <v>1.7903014271897201E-2</v>
      </c>
      <c r="L177" t="s">
        <v>26</v>
      </c>
      <c r="M177" t="s">
        <v>27</v>
      </c>
      <c r="N177">
        <v>56.357755481857602</v>
      </c>
      <c r="O177">
        <v>111.092043284159</v>
      </c>
      <c r="P177">
        <v>15.3070396301315</v>
      </c>
      <c r="Q177">
        <v>128.04338382620699</v>
      </c>
      <c r="R177">
        <v>91.068340325155901</v>
      </c>
      <c r="S177">
        <v>114.16440570111401</v>
      </c>
      <c r="T177">
        <v>14.202297898538999</v>
      </c>
      <c r="U177">
        <v>17.390968712706499</v>
      </c>
      <c r="V177">
        <v>26.810905003550399</v>
      </c>
      <c r="W177">
        <v>2.8239869057302198</v>
      </c>
    </row>
    <row r="178" spans="1:23" x14ac:dyDescent="0.2">
      <c r="A178" t="s">
        <v>379</v>
      </c>
      <c r="B178" s="3" t="str">
        <f>HYPERLINK("http://www.ncbi.nlm.nih.gov/gene/331392","Gm5124")</f>
        <v>Gm5124</v>
      </c>
      <c r="C178">
        <v>331392</v>
      </c>
      <c r="D178" s="5" t="s">
        <v>380</v>
      </c>
      <c r="E178" s="3" t="str">
        <f>HYPERLINK("http://genome.ucsc.edu/cgi-bin/hgTracks?db=mm10&amp;lastVirtModeType=default&amp;lastVirtModeExtraState=&amp;virtModeType=default&amp;virtMode=0&amp;nonVirtPosition=&amp;position=chrX:21360864-21364624","chrX:21360864-21364624")</f>
        <v>chrX:21360864-21364624</v>
      </c>
      <c r="F178" t="s">
        <v>25</v>
      </c>
      <c r="G178" s="4">
        <v>0.79377027647763199</v>
      </c>
      <c r="H178">
        <v>0.213486003973588</v>
      </c>
      <c r="I178">
        <v>3.7181373097218899</v>
      </c>
      <c r="J178">
        <v>2.0069717891459501E-4</v>
      </c>
      <c r="K178">
        <v>1.7933013671744401E-2</v>
      </c>
      <c r="L178" t="s">
        <v>26</v>
      </c>
      <c r="M178" t="s">
        <v>27</v>
      </c>
      <c r="N178">
        <v>342.28895032565202</v>
      </c>
      <c r="O178">
        <v>230.60216269377801</v>
      </c>
      <c r="P178">
        <v>426.05404104955801</v>
      </c>
      <c r="Q178">
        <v>181.394793753794</v>
      </c>
      <c r="R178">
        <v>240.39363365243301</v>
      </c>
      <c r="S178">
        <v>270.01806067510603</v>
      </c>
      <c r="T178">
        <v>423.48670097461599</v>
      </c>
      <c r="U178">
        <v>387.95237897575998</v>
      </c>
      <c r="V178">
        <v>472.94436426263002</v>
      </c>
      <c r="W178">
        <v>419.83271998522702</v>
      </c>
    </row>
    <row r="179" spans="1:23" x14ac:dyDescent="0.2">
      <c r="A179" t="s">
        <v>381</v>
      </c>
      <c r="B179" s="3" t="str">
        <f>HYPERLINK("http://www.ncbi.nlm.nih.gov/gene/11552","Adra2b")</f>
        <v>Adra2b</v>
      </c>
      <c r="C179">
        <v>11552</v>
      </c>
      <c r="D179" t="s">
        <v>382</v>
      </c>
      <c r="E179" s="3" t="str">
        <f>HYPERLINK("http://genome.ucsc.edu/cgi-bin/hgTracks?db=mm10&amp;lastVirtModeType=default&amp;lastVirtModeExtraState=&amp;virtModeType=default&amp;virtMode=0&amp;nonVirtPosition=&amp;position=chr2:127363285-127367221","chr2:127363285-127367221")</f>
        <v>chr2:127363285-127367221</v>
      </c>
      <c r="F179" t="s">
        <v>25</v>
      </c>
      <c r="G179">
        <v>-2.27169620820874</v>
      </c>
      <c r="H179">
        <v>0.61174161501090896</v>
      </c>
      <c r="I179">
        <v>-3.71348973564309</v>
      </c>
      <c r="J179">
        <v>2.0442075963703399E-4</v>
      </c>
      <c r="K179">
        <v>1.8165367833020599E-2</v>
      </c>
      <c r="L179" t="s">
        <v>26</v>
      </c>
      <c r="M179" t="s">
        <v>27</v>
      </c>
      <c r="N179">
        <v>21.690004750798</v>
      </c>
      <c r="O179">
        <v>47.632546157156099</v>
      </c>
      <c r="P179">
        <v>2.23309869602936</v>
      </c>
      <c r="Q179">
        <v>96.032537869655499</v>
      </c>
      <c r="R179">
        <v>31.472147024134699</v>
      </c>
      <c r="S179">
        <v>15.392953577678201</v>
      </c>
      <c r="T179">
        <v>1.29111799077627</v>
      </c>
      <c r="U179">
        <v>1.3377668240543401</v>
      </c>
      <c r="V179">
        <v>5.3621810007100903</v>
      </c>
      <c r="W179">
        <v>0.94132896857674198</v>
      </c>
    </row>
    <row r="180" spans="1:23" x14ac:dyDescent="0.2">
      <c r="A180" t="s">
        <v>383</v>
      </c>
      <c r="B180" s="3" t="str">
        <f>HYPERLINK("http://www.ncbi.nlm.nih.gov/gene/16880","Lifr")</f>
        <v>Lifr</v>
      </c>
      <c r="C180">
        <v>16880</v>
      </c>
      <c r="D180" s="5" t="s">
        <v>384</v>
      </c>
      <c r="E180" s="3" t="str">
        <f>HYPERLINK("http://genome.ucsc.edu/cgi-bin/hgTracks?db=mm10&amp;lastVirtModeType=default&amp;lastVirtModeExtraState=&amp;virtModeType=default&amp;virtMode=0&amp;nonVirtPosition=&amp;position=chr15:7140541-7197489","chr15:7140541-7197489")</f>
        <v>chr15:7140541-7197489</v>
      </c>
      <c r="F180" t="s">
        <v>25</v>
      </c>
      <c r="G180" s="4">
        <v>1.0244274922204</v>
      </c>
      <c r="H180">
        <v>0.27624975918413303</v>
      </c>
      <c r="I180">
        <v>3.7083380461431301</v>
      </c>
      <c r="J180">
        <v>2.08624025522944E-4</v>
      </c>
      <c r="K180">
        <v>1.8217481911574199E-2</v>
      </c>
      <c r="L180" t="s">
        <v>26</v>
      </c>
      <c r="M180" t="s">
        <v>27</v>
      </c>
      <c r="N180">
        <v>3430.8833058647201</v>
      </c>
      <c r="O180">
        <v>2086.6261815052299</v>
      </c>
      <c r="P180">
        <v>4439.0761491343401</v>
      </c>
      <c r="Q180">
        <v>1643.22342576966</v>
      </c>
      <c r="R180">
        <v>2266.6642058871498</v>
      </c>
      <c r="S180">
        <v>2349.9909128588802</v>
      </c>
      <c r="T180">
        <v>3367.23571994451</v>
      </c>
      <c r="U180">
        <v>5851.3920884136996</v>
      </c>
      <c r="V180">
        <v>4830.2526454396502</v>
      </c>
      <c r="W180">
        <v>3707.4241427395</v>
      </c>
    </row>
    <row r="181" spans="1:23" x14ac:dyDescent="0.2">
      <c r="A181" t="s">
        <v>385</v>
      </c>
      <c r="B181" s="3" t="str">
        <f>HYPERLINK("http://www.ncbi.nlm.nih.gov/gene/666737","4632427E13Rik")</f>
        <v>4632427E13Rik</v>
      </c>
      <c r="C181">
        <v>666737</v>
      </c>
      <c r="D181" t="s">
        <v>386</v>
      </c>
      <c r="E181" s="3" t="str">
        <f>HYPERLINK("http://genome.ucsc.edu/cgi-bin/hgTracks?db=mm10&amp;lastVirtModeType=default&amp;lastVirtModeExtraState=&amp;virtModeType=default&amp;virtMode=0&amp;nonVirtPosition=&amp;position=chr7:92740705-92741459","chr7:92740705-92741459")</f>
        <v>chr7:92740705-92741459</v>
      </c>
      <c r="F181" t="s">
        <v>30</v>
      </c>
      <c r="G181">
        <v>-1.0234497367958899</v>
      </c>
      <c r="H181">
        <v>0.27602918658689002</v>
      </c>
      <c r="I181">
        <v>-3.7077591302966302</v>
      </c>
      <c r="J181">
        <v>2.0910140372934201E-4</v>
      </c>
      <c r="K181">
        <v>1.8217481911574199E-2</v>
      </c>
      <c r="L181" t="s">
        <v>26</v>
      </c>
      <c r="M181" t="s">
        <v>27</v>
      </c>
      <c r="N181">
        <v>336.059489678023</v>
      </c>
      <c r="O181">
        <v>480.95693629088601</v>
      </c>
      <c r="P181">
        <v>227.38640471837601</v>
      </c>
      <c r="Q181">
        <v>469.49240736275999</v>
      </c>
      <c r="R181">
        <v>511.58979417955197</v>
      </c>
      <c r="S181">
        <v>461.78860733034702</v>
      </c>
      <c r="T181">
        <v>189.14878564872299</v>
      </c>
      <c r="U181">
        <v>311.69967000466198</v>
      </c>
      <c r="V181">
        <v>163.010302421587</v>
      </c>
      <c r="W181">
        <v>245.68686079853001</v>
      </c>
    </row>
    <row r="182" spans="1:23" x14ac:dyDescent="0.2">
      <c r="A182" t="s">
        <v>387</v>
      </c>
      <c r="B182" s="3" t="str">
        <f>HYPERLINK("http://www.ncbi.nlm.nih.gov/gene/65255","Asb4")</f>
        <v>Asb4</v>
      </c>
      <c r="C182">
        <v>65255</v>
      </c>
      <c r="D182" t="s">
        <v>388</v>
      </c>
      <c r="E182" s="3" t="str">
        <f>HYPERLINK("http://genome.ucsc.edu/cgi-bin/hgTracks?db=mm10&amp;lastVirtModeType=default&amp;lastVirtModeExtraState=&amp;virtModeType=default&amp;virtMode=0&amp;nonVirtPosition=&amp;position=chr6:5383385-5433021","chr6:5383385-5433021")</f>
        <v>chr6:5383385-5433021</v>
      </c>
      <c r="F182" t="s">
        <v>25</v>
      </c>
      <c r="G182">
        <v>-2.00912591077901</v>
      </c>
      <c r="H182">
        <v>0.54189371133264497</v>
      </c>
      <c r="I182">
        <v>-3.7076014516538498</v>
      </c>
      <c r="J182">
        <v>2.0923160434064601E-4</v>
      </c>
      <c r="K182">
        <v>1.8217481911574199E-2</v>
      </c>
      <c r="L182" t="s">
        <v>26</v>
      </c>
      <c r="M182" t="s">
        <v>27</v>
      </c>
      <c r="N182">
        <v>97.455949867729998</v>
      </c>
      <c r="O182">
        <v>188.87455360683001</v>
      </c>
      <c r="P182">
        <v>28.891997063405299</v>
      </c>
      <c r="Q182">
        <v>192.065075739311</v>
      </c>
      <c r="R182">
        <v>304.007547850153</v>
      </c>
      <c r="S182">
        <v>70.551037231025305</v>
      </c>
      <c r="T182">
        <v>13.5567389031508</v>
      </c>
      <c r="U182">
        <v>24.748686245005398</v>
      </c>
      <c r="V182">
        <v>62.201299608237001</v>
      </c>
      <c r="W182">
        <v>15.0612634972279</v>
      </c>
    </row>
    <row r="183" spans="1:23" x14ac:dyDescent="0.2">
      <c r="A183" t="s">
        <v>389</v>
      </c>
      <c r="B183" s="3" t="str">
        <f>HYPERLINK("http://www.ncbi.nlm.nih.gov/gene/22774","Zic4")</f>
        <v>Zic4</v>
      </c>
      <c r="C183">
        <v>22774</v>
      </c>
      <c r="D183" t="s">
        <v>390</v>
      </c>
      <c r="E183" s="3" t="str">
        <f>HYPERLINK("http://genome.ucsc.edu/cgi-bin/hgTracks?db=mm10&amp;lastVirtModeType=default&amp;lastVirtModeExtraState=&amp;virtModeType=default&amp;virtMode=0&amp;nonVirtPosition=&amp;position=chr9:91368971-91389348","chr9:91368971-91389348")</f>
        <v>chr9:91368971-91389348</v>
      </c>
      <c r="F183" t="s">
        <v>25</v>
      </c>
      <c r="G183">
        <v>-2.0867770978844602</v>
      </c>
      <c r="H183">
        <v>0.56288915673511897</v>
      </c>
      <c r="I183">
        <v>-3.7072611417640799</v>
      </c>
      <c r="J183">
        <v>2.09512869322501E-4</v>
      </c>
      <c r="K183">
        <v>1.8217481911574199E-2</v>
      </c>
      <c r="L183" t="s">
        <v>26</v>
      </c>
      <c r="M183" t="s">
        <v>27</v>
      </c>
      <c r="N183">
        <v>272.865162106632</v>
      </c>
      <c r="O183">
        <v>543.54470745457002</v>
      </c>
      <c r="P183">
        <v>69.855503095677804</v>
      </c>
      <c r="Q183">
        <v>416.14099743517397</v>
      </c>
      <c r="R183">
        <v>434.583476992839</v>
      </c>
      <c r="S183">
        <v>779.90964793569697</v>
      </c>
      <c r="T183">
        <v>82.631551409681194</v>
      </c>
      <c r="U183">
        <v>69.563874850825897</v>
      </c>
      <c r="V183">
        <v>124.402599216474</v>
      </c>
      <c r="W183">
        <v>2.8239869057302198</v>
      </c>
    </row>
    <row r="184" spans="1:23" x14ac:dyDescent="0.2">
      <c r="A184" t="s">
        <v>391</v>
      </c>
      <c r="B184" s="3" t="str">
        <f>HYPERLINK("http://www.ncbi.nlm.nih.gov/gene/240672","Dusp5")</f>
        <v>Dusp5</v>
      </c>
      <c r="C184">
        <v>240672</v>
      </c>
      <c r="D184" t="s">
        <v>392</v>
      </c>
      <c r="E184" s="3" t="str">
        <f>HYPERLINK("http://genome.ucsc.edu/cgi-bin/hgTracks?db=mm10&amp;lastVirtModeType=default&amp;lastVirtModeExtraState=&amp;virtModeType=default&amp;virtMode=0&amp;nonVirtPosition=&amp;position=chr19:53529317-53541322","chr19:53529317-53541322")</f>
        <v>chr19:53529317-53541322</v>
      </c>
      <c r="F184" t="s">
        <v>25</v>
      </c>
      <c r="G184">
        <v>-1.59066899030408</v>
      </c>
      <c r="H184">
        <v>0.43020757156289102</v>
      </c>
      <c r="I184">
        <v>-3.6974453623058698</v>
      </c>
      <c r="J184">
        <v>2.1778007345528799E-4</v>
      </c>
      <c r="K184">
        <v>1.88350648555742E-2</v>
      </c>
      <c r="L184" t="s">
        <v>26</v>
      </c>
      <c r="M184" t="s">
        <v>27</v>
      </c>
      <c r="N184">
        <v>308.93913352226701</v>
      </c>
      <c r="O184">
        <v>523.661779128121</v>
      </c>
      <c r="P184">
        <v>147.897149317876</v>
      </c>
      <c r="Q184">
        <v>160.05422978275899</v>
      </c>
      <c r="R184">
        <v>712.475839014455</v>
      </c>
      <c r="S184">
        <v>698.45526858715004</v>
      </c>
      <c r="T184">
        <v>180.75651870867799</v>
      </c>
      <c r="U184">
        <v>103.00804545218401</v>
      </c>
      <c r="V184">
        <v>104.026311413776</v>
      </c>
      <c r="W184">
        <v>203.79772169686501</v>
      </c>
    </row>
    <row r="185" spans="1:23" x14ac:dyDescent="0.2">
      <c r="A185" t="s">
        <v>393</v>
      </c>
      <c r="B185" s="3" t="str">
        <f>HYPERLINK("http://www.ncbi.nlm.nih.gov/gene/14178","Fgf7")</f>
        <v>Fgf7</v>
      </c>
      <c r="C185">
        <v>14178</v>
      </c>
      <c r="D185" t="s">
        <v>394</v>
      </c>
      <c r="E185" s="3" t="str">
        <f>HYPERLINK("http://genome.ucsc.edu/cgi-bin/hgTracks?db=mm10&amp;lastVirtModeType=default&amp;lastVirtModeExtraState=&amp;virtModeType=default&amp;virtMode=0&amp;nonVirtPosition=&amp;position=chr2:126034657-126091185","chr2:126034657-126091185")</f>
        <v>chr2:126034657-126091185</v>
      </c>
      <c r="F185" t="s">
        <v>25</v>
      </c>
      <c r="G185">
        <v>-2.1737977545688101</v>
      </c>
      <c r="H185">
        <v>0.588384697214686</v>
      </c>
      <c r="I185">
        <v>-3.69451782967709</v>
      </c>
      <c r="J185">
        <v>2.2030443563930501E-4</v>
      </c>
      <c r="K185">
        <v>1.8952040625502601E-2</v>
      </c>
      <c r="L185" t="s">
        <v>26</v>
      </c>
      <c r="M185" t="s">
        <v>27</v>
      </c>
      <c r="N185">
        <v>62.407723782100703</v>
      </c>
      <c r="O185">
        <v>129.02375667509901</v>
      </c>
      <c r="P185">
        <v>12.445699112352299</v>
      </c>
      <c r="Q185">
        <v>138.71366581172501</v>
      </c>
      <c r="R185">
        <v>64.283534347168796</v>
      </c>
      <c r="S185">
        <v>184.074069866402</v>
      </c>
      <c r="T185">
        <v>22.594564838584699</v>
      </c>
      <c r="U185">
        <v>13.3776682405434</v>
      </c>
      <c r="V185">
        <v>12.869234401704199</v>
      </c>
      <c r="W185">
        <v>0.94132896857674198</v>
      </c>
    </row>
    <row r="186" spans="1:23" x14ac:dyDescent="0.2">
      <c r="A186" t="s">
        <v>395</v>
      </c>
      <c r="B186" s="3" t="str">
        <f>HYPERLINK("http://www.ncbi.nlm.nih.gov/gene/70355","Gprc5c")</f>
        <v>Gprc5c</v>
      </c>
      <c r="C186">
        <v>70355</v>
      </c>
      <c r="D186" t="s">
        <v>396</v>
      </c>
      <c r="E186" s="3" t="str">
        <f>HYPERLINK("http://genome.ucsc.edu/cgi-bin/hgTracks?db=mm10&amp;lastVirtModeType=default&amp;lastVirtModeExtraState=&amp;virtModeType=default&amp;virtMode=0&amp;nonVirtPosition=&amp;position=chr11:114852029-114869096","chr11:114852029-114869096")</f>
        <v>chr11:114852029-114869096</v>
      </c>
      <c r="F186" t="s">
        <v>25</v>
      </c>
      <c r="G186">
        <v>-2.0994108635478299</v>
      </c>
      <c r="H186">
        <v>0.57127347170488796</v>
      </c>
      <c r="I186">
        <v>-3.6749664872104399</v>
      </c>
      <c r="J186">
        <v>2.37880637189792E-4</v>
      </c>
      <c r="K186">
        <v>2.0355785953812201E-2</v>
      </c>
      <c r="L186" t="s">
        <v>26</v>
      </c>
      <c r="M186" t="s">
        <v>27</v>
      </c>
      <c r="N186">
        <v>293.46967152250897</v>
      </c>
      <c r="O186">
        <v>589.81612959056804</v>
      </c>
      <c r="P186">
        <v>71.209827971464307</v>
      </c>
      <c r="Q186">
        <v>330.77874155103598</v>
      </c>
      <c r="R186">
        <v>594.62269271131197</v>
      </c>
      <c r="S186">
        <v>844.04695450935696</v>
      </c>
      <c r="T186">
        <v>134.92183003612001</v>
      </c>
      <c r="U186">
        <v>78.928242619206301</v>
      </c>
      <c r="V186">
        <v>68.635916809089096</v>
      </c>
      <c r="W186">
        <v>2.3533224214418502</v>
      </c>
    </row>
    <row r="187" spans="1:23" x14ac:dyDescent="0.2">
      <c r="A187" t="s">
        <v>397</v>
      </c>
      <c r="B187" s="3" t="str">
        <f>HYPERLINK("http://www.ncbi.nlm.nih.gov/gene/194597","Tmprss11a")</f>
        <v>Tmprss11a</v>
      </c>
      <c r="C187">
        <v>194597</v>
      </c>
      <c r="D187" t="s">
        <v>398</v>
      </c>
      <c r="E187" s="3" t="str">
        <f>HYPERLINK("http://genome.ucsc.edu/cgi-bin/hgTracks?db=mm10&amp;lastVirtModeType=default&amp;lastVirtModeExtraState=&amp;virtModeType=default&amp;virtMode=0&amp;nonVirtPosition=&amp;position=chr5:86410409-86468990","chr5:86410409-86468990")</f>
        <v>chr5:86410409-86468990</v>
      </c>
      <c r="F187" t="s">
        <v>30</v>
      </c>
      <c r="G187">
        <v>-2.2441764201018302</v>
      </c>
      <c r="H187">
        <v>0.61180292653331403</v>
      </c>
      <c r="I187">
        <v>-3.6681361313815701</v>
      </c>
      <c r="J187">
        <v>2.4432509462127998E-4</v>
      </c>
      <c r="K187">
        <v>2.0797209238473498E-2</v>
      </c>
      <c r="L187" t="s">
        <v>26</v>
      </c>
      <c r="M187" t="s">
        <v>27</v>
      </c>
      <c r="N187">
        <v>58.132152106736697</v>
      </c>
      <c r="O187">
        <v>132.052305155401</v>
      </c>
      <c r="P187">
        <v>2.6920373202386698</v>
      </c>
      <c r="Q187">
        <v>298.767895594484</v>
      </c>
      <c r="R187">
        <v>73.658216439464297</v>
      </c>
      <c r="S187">
        <v>23.7308034322539</v>
      </c>
      <c r="T187">
        <v>0.64555899538813499</v>
      </c>
      <c r="U187">
        <v>0</v>
      </c>
      <c r="V187">
        <v>9.6519258012781606</v>
      </c>
      <c r="W187">
        <v>0.47066448428837099</v>
      </c>
    </row>
    <row r="188" spans="1:23" x14ac:dyDescent="0.2">
      <c r="A188" t="s">
        <v>399</v>
      </c>
      <c r="B188" s="3" t="str">
        <f>HYPERLINK("http://www.ncbi.nlm.nih.gov/gene/12554","Cdh13")</f>
        <v>Cdh13</v>
      </c>
      <c r="C188">
        <v>12554</v>
      </c>
      <c r="D188" s="5" t="s">
        <v>400</v>
      </c>
      <c r="E188" s="3" t="str">
        <f>HYPERLINK("http://genome.ucsc.edu/cgi-bin/hgTracks?db=mm10&amp;lastVirtModeType=default&amp;lastVirtModeExtraState=&amp;virtModeType=default&amp;virtMode=0&amp;nonVirtPosition=&amp;position=chr8:118283610-119324927","chr8:118283610-119324927")</f>
        <v>chr8:118283610-119324927</v>
      </c>
      <c r="F188" t="s">
        <v>25</v>
      </c>
      <c r="G188" s="4">
        <v>1.1061825294496901</v>
      </c>
      <c r="H188">
        <v>0.30201010511832799</v>
      </c>
      <c r="I188">
        <v>3.6627335003121302</v>
      </c>
      <c r="J188">
        <v>2.49538112447759E-4</v>
      </c>
      <c r="K188">
        <v>2.1129737657683799E-2</v>
      </c>
      <c r="L188" t="s">
        <v>26</v>
      </c>
      <c r="M188" t="s">
        <v>27</v>
      </c>
      <c r="N188">
        <v>1302.35241239478</v>
      </c>
      <c r="O188">
        <v>756.33741617768601</v>
      </c>
      <c r="P188">
        <v>1711.8636595575999</v>
      </c>
      <c r="Q188">
        <v>800.27114891379597</v>
      </c>
      <c r="R188">
        <v>820.95430322530206</v>
      </c>
      <c r="S188">
        <v>647.78679639395898</v>
      </c>
      <c r="T188">
        <v>1380.2051321398301</v>
      </c>
      <c r="U188">
        <v>1673.5462968919801</v>
      </c>
      <c r="V188">
        <v>1194.6939269582101</v>
      </c>
      <c r="W188">
        <v>2599.0092822403799</v>
      </c>
    </row>
    <row r="189" spans="1:23" x14ac:dyDescent="0.2">
      <c r="A189" t="s">
        <v>401</v>
      </c>
      <c r="B189" s="3" t="str">
        <f>HYPERLINK("http://www.ncbi.nlm.nih.gov/gene/57274","Slc16a8")</f>
        <v>Slc16a8</v>
      </c>
      <c r="C189">
        <v>57274</v>
      </c>
      <c r="D189" t="s">
        <v>402</v>
      </c>
      <c r="E189" s="3" t="str">
        <f>HYPERLINK("http://genome.ucsc.edu/cgi-bin/hgTracks?db=mm10&amp;lastVirtModeType=default&amp;lastVirtModeExtraState=&amp;virtModeType=default&amp;virtMode=0&amp;nonVirtPosition=&amp;position=chr15:79251015-79254748","chr15:79251015-79254748")</f>
        <v>chr15:79251015-79254748</v>
      </c>
      <c r="F189" t="s">
        <v>30</v>
      </c>
      <c r="G189">
        <v>-1.98673227955582</v>
      </c>
      <c r="H189">
        <v>0.54397636176986197</v>
      </c>
      <c r="I189">
        <v>-3.65224009567596</v>
      </c>
      <c r="J189">
        <v>2.5996265412533899E-4</v>
      </c>
      <c r="K189">
        <v>2.1800290287282399E-2</v>
      </c>
      <c r="L189" t="s">
        <v>26</v>
      </c>
      <c r="M189" t="s">
        <v>27</v>
      </c>
      <c r="N189">
        <v>51.960548988565598</v>
      </c>
      <c r="O189">
        <v>100.617538529654</v>
      </c>
      <c r="P189">
        <v>15.4678068327489</v>
      </c>
      <c r="Q189">
        <v>117.37310184069</v>
      </c>
      <c r="R189">
        <v>131.24554929213599</v>
      </c>
      <c r="S189">
        <v>53.233964456137201</v>
      </c>
      <c r="T189">
        <v>9.0378259354338795</v>
      </c>
      <c r="U189">
        <v>9.3643677683804007</v>
      </c>
      <c r="V189">
        <v>32.173086004260497</v>
      </c>
      <c r="W189">
        <v>11.295947622920901</v>
      </c>
    </row>
    <row r="190" spans="1:23" x14ac:dyDescent="0.2">
      <c r="A190" t="s">
        <v>403</v>
      </c>
      <c r="B190" s="3" t="str">
        <f>HYPERLINK("http://www.ncbi.nlm.nih.gov/gene/238266","Syt16")</f>
        <v>Syt16</v>
      </c>
      <c r="C190">
        <v>238266</v>
      </c>
      <c r="D190" s="5" t="s">
        <v>404</v>
      </c>
      <c r="E190" s="3" t="str">
        <f>HYPERLINK("http://genome.ucsc.edu/cgi-bin/hgTracks?db=mm10&amp;lastVirtModeType=default&amp;lastVirtModeExtraState=&amp;virtModeType=default&amp;virtMode=0&amp;nonVirtPosition=&amp;position=chr12:73997760-74267916","chr12:73997760-74267916")</f>
        <v>chr12:73997760-74267916</v>
      </c>
      <c r="F190" t="s">
        <v>25</v>
      </c>
      <c r="G190" s="4">
        <v>1.51172704434664</v>
      </c>
      <c r="H190">
        <v>0.41393906957364202</v>
      </c>
      <c r="I190">
        <v>3.6520520904289602</v>
      </c>
      <c r="J190">
        <v>2.6015309623727802E-4</v>
      </c>
      <c r="K190">
        <v>2.1800290287282399E-2</v>
      </c>
      <c r="L190" t="s">
        <v>26</v>
      </c>
      <c r="M190" t="s">
        <v>27</v>
      </c>
      <c r="N190">
        <v>1373.84157398358</v>
      </c>
      <c r="O190">
        <v>585.81960611225304</v>
      </c>
      <c r="P190">
        <v>1964.8580498870699</v>
      </c>
      <c r="Q190">
        <v>522.84381729034601</v>
      </c>
      <c r="R190">
        <v>774.75051291327497</v>
      </c>
      <c r="S190">
        <v>459.864488133137</v>
      </c>
      <c r="T190">
        <v>3208.42820707903</v>
      </c>
      <c r="U190">
        <v>1563.8494173195299</v>
      </c>
      <c r="V190">
        <v>728.18417989643001</v>
      </c>
      <c r="W190">
        <v>2358.97039525331</v>
      </c>
    </row>
    <row r="191" spans="1:23" x14ac:dyDescent="0.2">
      <c r="A191" t="s">
        <v>405</v>
      </c>
      <c r="B191" s="3" t="str">
        <f>HYPERLINK("http://www.ncbi.nlm.nih.gov/gene/99470","Magi3")</f>
        <v>Magi3</v>
      </c>
      <c r="C191">
        <v>99470</v>
      </c>
      <c r="D191" s="5" t="s">
        <v>406</v>
      </c>
      <c r="E191" s="3" t="str">
        <f>HYPERLINK("http://genome.ucsc.edu/cgi-bin/hgTracks?db=mm10&amp;lastVirtModeType=default&amp;lastVirtModeExtraState=&amp;virtModeType=default&amp;virtMode=0&amp;nonVirtPosition=&amp;position=chr3:104013264-104220406","chr3:104013264-104220406")</f>
        <v>chr3:104013264-104220406</v>
      </c>
      <c r="F191" t="s">
        <v>30</v>
      </c>
      <c r="G191" s="4">
        <v>0.86228363891987503</v>
      </c>
      <c r="H191">
        <v>0.23650137434261101</v>
      </c>
      <c r="I191">
        <v>3.6459984273525499</v>
      </c>
      <c r="J191">
        <v>2.6635560356012697E-4</v>
      </c>
      <c r="K191">
        <v>2.2117403573134901E-2</v>
      </c>
      <c r="L191" t="s">
        <v>26</v>
      </c>
      <c r="M191" t="s">
        <v>27</v>
      </c>
      <c r="N191">
        <v>1172.25826329714</v>
      </c>
      <c r="O191">
        <v>783.43089608090997</v>
      </c>
      <c r="P191">
        <v>1463.8787887093099</v>
      </c>
      <c r="Q191">
        <v>746.91973898620904</v>
      </c>
      <c r="R191">
        <v>819.61506292640297</v>
      </c>
      <c r="S191">
        <v>783.757886330117</v>
      </c>
      <c r="T191">
        <v>1968.95493593381</v>
      </c>
      <c r="U191">
        <v>1327.0646894619099</v>
      </c>
      <c r="V191">
        <v>1363.0664103805</v>
      </c>
      <c r="W191">
        <v>1196.42911906104</v>
      </c>
    </row>
    <row r="192" spans="1:23" x14ac:dyDescent="0.2">
      <c r="A192" t="s">
        <v>407</v>
      </c>
      <c r="B192" s="3" t="str">
        <f>HYPERLINK("http://www.ncbi.nlm.nih.gov/gene/12125","Bcl2l11")</f>
        <v>Bcl2l11</v>
      </c>
      <c r="C192">
        <v>12125</v>
      </c>
      <c r="D192" t="s">
        <v>408</v>
      </c>
      <c r="E192" s="3" t="str">
        <f>HYPERLINK("http://genome.ucsc.edu/cgi-bin/hgTracks?db=mm10&amp;lastVirtModeType=default&amp;lastVirtModeExtraState=&amp;virtModeType=default&amp;virtMode=0&amp;nonVirtPosition=&amp;position=chr2:128127574-128131498","chr2:128127574-128131498")</f>
        <v>chr2:128127574-128131498</v>
      </c>
      <c r="F192" t="s">
        <v>25</v>
      </c>
      <c r="G192">
        <v>-1.3814248464158101</v>
      </c>
      <c r="H192">
        <v>0.37891971346116299</v>
      </c>
      <c r="I192">
        <v>-3.6456927347418202</v>
      </c>
      <c r="J192">
        <v>2.6667246007304203E-4</v>
      </c>
      <c r="K192">
        <v>2.2117403573134901E-2</v>
      </c>
      <c r="L192" t="s">
        <v>26</v>
      </c>
      <c r="M192" t="s">
        <v>27</v>
      </c>
      <c r="N192">
        <v>350.53310901216599</v>
      </c>
      <c r="O192">
        <v>566.64191148077703</v>
      </c>
      <c r="P192">
        <v>188.45150716070901</v>
      </c>
      <c r="Q192">
        <v>981.66594266758898</v>
      </c>
      <c r="R192">
        <v>423.86955460164501</v>
      </c>
      <c r="S192">
        <v>294.39023717309601</v>
      </c>
      <c r="T192">
        <v>225.94564838584699</v>
      </c>
      <c r="U192">
        <v>145.81658382192299</v>
      </c>
      <c r="V192">
        <v>214.48724002840399</v>
      </c>
      <c r="W192">
        <v>167.55655640666001</v>
      </c>
    </row>
    <row r="193" spans="1:23" x14ac:dyDescent="0.2">
      <c r="A193" t="s">
        <v>409</v>
      </c>
      <c r="B193" s="3" t="str">
        <f>HYPERLINK("http://www.ncbi.nlm.nih.gov/gene/16582","Kifc3")</f>
        <v>Kifc3</v>
      </c>
      <c r="C193">
        <v>16582</v>
      </c>
      <c r="D193" s="5" t="s">
        <v>410</v>
      </c>
      <c r="E193" s="3" t="str">
        <f>HYPERLINK("http://genome.ucsc.edu/cgi-bin/hgTracks?db=mm10&amp;lastVirtModeType=default&amp;lastVirtModeExtraState=&amp;virtModeType=default&amp;virtMode=0&amp;nonVirtPosition=&amp;position=chr8:95099827-95142540","chr8:95099827-95142540")</f>
        <v>chr8:95099827-95142540</v>
      </c>
      <c r="F193" t="s">
        <v>30</v>
      </c>
      <c r="G193" s="4">
        <v>0.83726385980806195</v>
      </c>
      <c r="H193">
        <v>0.22988984947247401</v>
      </c>
      <c r="I193">
        <v>3.6420218714715902</v>
      </c>
      <c r="J193">
        <v>2.7050508395407301E-4</v>
      </c>
      <c r="K193">
        <v>2.2310302651340801E-2</v>
      </c>
      <c r="L193" t="s">
        <v>26</v>
      </c>
      <c r="M193" t="s">
        <v>27</v>
      </c>
      <c r="N193">
        <v>1017.7148383827</v>
      </c>
      <c r="O193">
        <v>686.00349333006102</v>
      </c>
      <c r="P193">
        <v>1266.49834717218</v>
      </c>
      <c r="Q193">
        <v>597.53579118896698</v>
      </c>
      <c r="R193">
        <v>746.62646663638805</v>
      </c>
      <c r="S193">
        <v>713.84822216482803</v>
      </c>
      <c r="T193">
        <v>1083.89355325668</v>
      </c>
      <c r="U193">
        <v>1583.91591968034</v>
      </c>
      <c r="V193">
        <v>1044.55285893833</v>
      </c>
      <c r="W193">
        <v>1353.6310568133499</v>
      </c>
    </row>
    <row r="194" spans="1:23" x14ac:dyDescent="0.2">
      <c r="A194" t="s">
        <v>411</v>
      </c>
      <c r="B194" s="3" t="str">
        <f>HYPERLINK("http://www.ncbi.nlm.nih.gov/gene/243499","Lrrtm4")</f>
        <v>Lrrtm4</v>
      </c>
      <c r="C194">
        <v>243499</v>
      </c>
      <c r="D194" s="5" t="s">
        <v>412</v>
      </c>
      <c r="E194" s="3" t="str">
        <f>HYPERLINK("http://genome.ucsc.edu/cgi-bin/hgTracks?db=mm10&amp;lastVirtModeType=default&amp;lastVirtModeExtraState=&amp;virtModeType=default&amp;virtMode=0&amp;nonVirtPosition=&amp;position=chr6:80018876-80810143","chr6:80018876-80810143")</f>
        <v>chr6:80018876-80810143</v>
      </c>
      <c r="F194" t="s">
        <v>25</v>
      </c>
      <c r="G194" s="4">
        <v>1.21436896363993</v>
      </c>
      <c r="H194">
        <v>0.33386032703128499</v>
      </c>
      <c r="I194">
        <v>3.63735629937884</v>
      </c>
      <c r="J194">
        <v>2.75450777350706E-4</v>
      </c>
      <c r="K194">
        <v>2.2440963905662199E-2</v>
      </c>
      <c r="L194" t="s">
        <v>26</v>
      </c>
      <c r="M194" t="s">
        <v>27</v>
      </c>
      <c r="N194">
        <v>717.72256771721902</v>
      </c>
      <c r="O194">
        <v>389.36951709886898</v>
      </c>
      <c r="P194">
        <v>963.98735568098095</v>
      </c>
      <c r="Q194">
        <v>437.48156140620802</v>
      </c>
      <c r="R194">
        <v>397.75436877310699</v>
      </c>
      <c r="S194">
        <v>332.872621117292</v>
      </c>
      <c r="T194">
        <v>958.65510815137998</v>
      </c>
      <c r="U194">
        <v>1030.08045452184</v>
      </c>
      <c r="V194">
        <v>485.81359866433399</v>
      </c>
      <c r="W194">
        <v>1381.4002613863699</v>
      </c>
    </row>
    <row r="195" spans="1:23" x14ac:dyDescent="0.2">
      <c r="A195" t="s">
        <v>413</v>
      </c>
      <c r="B195" s="3" t="str">
        <f>HYPERLINK("http://www.ncbi.nlm.nih.gov/gene/56191","Tro")</f>
        <v>Tro</v>
      </c>
      <c r="C195">
        <v>56191</v>
      </c>
      <c r="D195" s="5" t="s">
        <v>414</v>
      </c>
      <c r="E195" s="3" t="str">
        <f>HYPERLINK("http://genome.ucsc.edu/cgi-bin/hgTracks?db=mm10&amp;lastVirtModeType=default&amp;lastVirtModeExtraState=&amp;virtModeType=default&amp;virtMode=0&amp;nonVirtPosition=&amp;position=chrX:150644709-150657436","chrX:150644709-150657436")</f>
        <v>chrX:150644709-150657436</v>
      </c>
      <c r="F195" t="s">
        <v>30</v>
      </c>
      <c r="G195" s="4">
        <v>0.82028181695724101</v>
      </c>
      <c r="H195">
        <v>0.22555493733716001</v>
      </c>
      <c r="I195">
        <v>3.6367273828773801</v>
      </c>
      <c r="J195">
        <v>2.7612389891960501E-4</v>
      </c>
      <c r="K195">
        <v>2.2440963905662199E-2</v>
      </c>
      <c r="L195" t="s">
        <v>26</v>
      </c>
      <c r="M195" t="s">
        <v>27</v>
      </c>
      <c r="N195">
        <v>3462.2065634340502</v>
      </c>
      <c r="O195">
        <v>2366.06729673679</v>
      </c>
      <c r="P195">
        <v>4284.3110134569897</v>
      </c>
      <c r="Q195">
        <v>1995.3427312917299</v>
      </c>
      <c r="R195">
        <v>2708.6135045239398</v>
      </c>
      <c r="S195">
        <v>2394.2456543947001</v>
      </c>
      <c r="T195">
        <v>5294.8748801734801</v>
      </c>
      <c r="U195">
        <v>4025.34037357952</v>
      </c>
      <c r="V195">
        <v>3736.36772129479</v>
      </c>
      <c r="W195">
        <v>4080.6610787801701</v>
      </c>
    </row>
    <row r="196" spans="1:23" x14ac:dyDescent="0.2">
      <c r="A196" t="s">
        <v>415</v>
      </c>
      <c r="B196" s="3" t="str">
        <f>HYPERLINK("http://www.ncbi.nlm.nih.gov/gene/229521","Syt11")</f>
        <v>Syt11</v>
      </c>
      <c r="C196">
        <v>229521</v>
      </c>
      <c r="D196" s="5" t="s">
        <v>416</v>
      </c>
      <c r="E196" s="3" t="str">
        <f>HYPERLINK("http://genome.ucsc.edu/cgi-bin/hgTracks?db=mm10&amp;lastVirtModeType=default&amp;lastVirtModeExtraState=&amp;virtModeType=default&amp;virtMode=0&amp;nonVirtPosition=&amp;position=chr3:88744700-88772599","chr3:88744700-88772599")</f>
        <v>chr3:88744700-88772599</v>
      </c>
      <c r="F196" t="s">
        <v>30</v>
      </c>
      <c r="G196" s="4">
        <v>0.91276102110963397</v>
      </c>
      <c r="H196">
        <v>0.25108066824457898</v>
      </c>
      <c r="I196">
        <v>3.6353297427920999</v>
      </c>
      <c r="J196">
        <v>2.7762529925126698E-4</v>
      </c>
      <c r="K196">
        <v>2.2450169823953699E-2</v>
      </c>
      <c r="L196" t="s">
        <v>26</v>
      </c>
      <c r="M196" t="s">
        <v>27</v>
      </c>
      <c r="N196">
        <v>13572.634113313699</v>
      </c>
      <c r="O196">
        <v>8828.46323090644</v>
      </c>
      <c r="P196">
        <v>17130.762275119199</v>
      </c>
      <c r="Q196">
        <v>7106.4078023545098</v>
      </c>
      <c r="R196">
        <v>8435.8746427670103</v>
      </c>
      <c r="S196">
        <v>10943.1072475978</v>
      </c>
      <c r="T196">
        <v>20005.873267078299</v>
      </c>
      <c r="U196">
        <v>16356.8749577125</v>
      </c>
      <c r="V196">
        <v>15371.2280566355</v>
      </c>
      <c r="W196">
        <v>16789.0728190505</v>
      </c>
    </row>
    <row r="197" spans="1:23" x14ac:dyDescent="0.2">
      <c r="A197" t="s">
        <v>417</v>
      </c>
      <c r="B197" s="3" t="str">
        <f>HYPERLINK("http://www.ncbi.nlm.nih.gov/gene/72131","2010310C07Rik")</f>
        <v>2010310C07Rik</v>
      </c>
      <c r="C197">
        <v>72131</v>
      </c>
      <c r="D197" t="s">
        <v>418</v>
      </c>
      <c r="E197" s="3" t="str">
        <f>HYPERLINK("http://genome.ucsc.edu/cgi-bin/hgTracks?db=mm10&amp;lastVirtModeType=default&amp;lastVirtModeExtraState=&amp;virtModeType=default&amp;virtMode=0&amp;nonVirtPosition=&amp;position=chr6:42370670-42380558","chr6:42370670-42380558")</f>
        <v>chr6:42370670-42380558</v>
      </c>
      <c r="F197" t="s">
        <v>25</v>
      </c>
      <c r="G197">
        <v>-2.2236815950264099</v>
      </c>
      <c r="H197">
        <v>0.611916743991059</v>
      </c>
      <c r="I197">
        <v>-3.6339610197999499</v>
      </c>
      <c r="J197">
        <v>2.7910304759249098E-4</v>
      </c>
      <c r="K197">
        <v>2.2457381038374899E-2</v>
      </c>
      <c r="L197" t="s">
        <v>26</v>
      </c>
      <c r="M197" t="s">
        <v>27</v>
      </c>
      <c r="N197">
        <v>17.6317743237813</v>
      </c>
      <c r="O197">
        <v>40.165921826149898</v>
      </c>
      <c r="P197">
        <v>0.73116369700480399</v>
      </c>
      <c r="Q197">
        <v>96.032537869655499</v>
      </c>
      <c r="R197">
        <v>17.410123885691601</v>
      </c>
      <c r="S197">
        <v>7.0551037231025298</v>
      </c>
      <c r="T197">
        <v>0.64555899538813499</v>
      </c>
      <c r="U197">
        <v>1.3377668240543401</v>
      </c>
      <c r="V197">
        <v>0</v>
      </c>
      <c r="W197">
        <v>0.94132896857674198</v>
      </c>
    </row>
    <row r="198" spans="1:23" x14ac:dyDescent="0.2">
      <c r="A198" t="s">
        <v>419</v>
      </c>
      <c r="B198" s="3" t="str">
        <f>HYPERLINK("http://www.ncbi.nlm.nih.gov/gene/13992","Khdrbs3")</f>
        <v>Khdrbs3</v>
      </c>
      <c r="C198">
        <v>13992</v>
      </c>
      <c r="D198" s="5" t="s">
        <v>420</v>
      </c>
      <c r="E198" s="3" t="str">
        <f>HYPERLINK("http://genome.ucsc.edu/cgi-bin/hgTracks?db=mm10&amp;lastVirtModeType=default&amp;lastVirtModeExtraState=&amp;virtModeType=default&amp;virtMode=0&amp;nonVirtPosition=&amp;position=chr15:68928419-69093518","chr15:68928419-69093518")</f>
        <v>chr15:68928419-69093518</v>
      </c>
      <c r="F198" t="s">
        <v>25</v>
      </c>
      <c r="G198" s="4">
        <v>1.46306630634444</v>
      </c>
      <c r="H198">
        <v>0.40303254187958398</v>
      </c>
      <c r="I198">
        <v>3.6301443539057101</v>
      </c>
      <c r="J198">
        <v>2.8326275694697201E-4</v>
      </c>
      <c r="K198">
        <v>2.25910431209418E-2</v>
      </c>
      <c r="L198" t="s">
        <v>26</v>
      </c>
      <c r="M198" t="s">
        <v>27</v>
      </c>
      <c r="N198">
        <v>1737.03464798508</v>
      </c>
      <c r="O198">
        <v>770.69739024071202</v>
      </c>
      <c r="P198">
        <v>2461.78759129336</v>
      </c>
      <c r="Q198">
        <v>640.216919131037</v>
      </c>
      <c r="R198">
        <v>847.06948905383899</v>
      </c>
      <c r="S198">
        <v>824.80576253725906</v>
      </c>
      <c r="T198">
        <v>4628.0124379375402</v>
      </c>
      <c r="U198">
        <v>1969.1927650079899</v>
      </c>
      <c r="V198">
        <v>1089.59517934429</v>
      </c>
      <c r="W198">
        <v>2160.3499828836202</v>
      </c>
    </row>
    <row r="199" spans="1:23" x14ac:dyDescent="0.2">
      <c r="A199" t="s">
        <v>421</v>
      </c>
      <c r="B199" s="3" t="str">
        <f>HYPERLINK("http://www.ncbi.nlm.nih.gov/gene/214111","Slc24a1")</f>
        <v>Slc24a1</v>
      </c>
      <c r="C199">
        <v>214111</v>
      </c>
      <c r="D199" t="s">
        <v>422</v>
      </c>
      <c r="E199" s="3" t="str">
        <f>HYPERLINK("http://genome.ucsc.edu/cgi-bin/hgTracks?db=mm10&amp;lastVirtModeType=default&amp;lastVirtModeExtraState=&amp;virtModeType=default&amp;virtMode=0&amp;nonVirtPosition=&amp;position=chr9:64922860-64951607","chr9:64922860-64951607")</f>
        <v>chr9:64922860-64951607</v>
      </c>
      <c r="F199" t="s">
        <v>30</v>
      </c>
      <c r="G199">
        <v>-2.1961584660449698</v>
      </c>
      <c r="H199">
        <v>0.60502307317936699</v>
      </c>
      <c r="I199">
        <v>-3.6298755591324201</v>
      </c>
      <c r="J199">
        <v>2.8355788991227298E-4</v>
      </c>
      <c r="K199">
        <v>2.25910431209418E-2</v>
      </c>
      <c r="L199" t="s">
        <v>26</v>
      </c>
      <c r="M199" t="s">
        <v>27</v>
      </c>
      <c r="N199">
        <v>55.2356474352517</v>
      </c>
      <c r="O199">
        <v>118.34959304468499</v>
      </c>
      <c r="P199">
        <v>7.9001882281769404</v>
      </c>
      <c r="Q199">
        <v>309.43817758000102</v>
      </c>
      <c r="R199">
        <v>32.141767173584398</v>
      </c>
      <c r="S199">
        <v>13.4688343804685</v>
      </c>
      <c r="T199">
        <v>6.4555899538813497</v>
      </c>
      <c r="U199">
        <v>8.69548435635323</v>
      </c>
      <c r="V199">
        <v>7.5070534009941197</v>
      </c>
      <c r="W199">
        <v>8.9426252014790393</v>
      </c>
    </row>
    <row r="200" spans="1:23" x14ac:dyDescent="0.2">
      <c r="A200" t="s">
        <v>423</v>
      </c>
      <c r="B200" s="3" t="str">
        <f>HYPERLINK("http://www.ncbi.nlm.nih.gov/gene/330409","Cecr2")</f>
        <v>Cecr2</v>
      </c>
      <c r="C200">
        <v>330409</v>
      </c>
      <c r="D200" t="s">
        <v>424</v>
      </c>
      <c r="E200" s="3" t="str">
        <f>HYPERLINK("http://genome.ucsc.edu/cgi-bin/hgTracks?db=mm10&amp;lastVirtModeType=default&amp;lastVirtModeExtraState=&amp;virtModeType=default&amp;virtMode=0&amp;nonVirtPosition=&amp;position=chr6:120666420-120771191","chr6:120666420-120771191")</f>
        <v>chr6:120666420-120771191</v>
      </c>
      <c r="F200" t="s">
        <v>25</v>
      </c>
      <c r="G200">
        <v>-1.49435018144604</v>
      </c>
      <c r="H200">
        <v>0.41186254172653503</v>
      </c>
      <c r="I200">
        <v>-3.62827407217392</v>
      </c>
      <c r="J200">
        <v>2.8532228122364698E-4</v>
      </c>
      <c r="K200">
        <v>2.2620182618774801E-2</v>
      </c>
      <c r="L200" t="s">
        <v>26</v>
      </c>
      <c r="M200" t="s">
        <v>27</v>
      </c>
      <c r="N200">
        <v>319.53733801011998</v>
      </c>
      <c r="O200">
        <v>533.15020992946802</v>
      </c>
      <c r="P200">
        <v>159.327684070608</v>
      </c>
      <c r="Q200">
        <v>832.28199487034703</v>
      </c>
      <c r="R200">
        <v>366.951841898422</v>
      </c>
      <c r="S200">
        <v>400.216793019634</v>
      </c>
      <c r="T200">
        <v>267.26142409068802</v>
      </c>
      <c r="U200">
        <v>151.16765111814101</v>
      </c>
      <c r="V200">
        <v>142.63401461888799</v>
      </c>
      <c r="W200">
        <v>76.247646454716104</v>
      </c>
    </row>
    <row r="201" spans="1:23" x14ac:dyDescent="0.2">
      <c r="A201" t="s">
        <v>425</v>
      </c>
      <c r="B201" s="3" t="str">
        <f>HYPERLINK("http://www.ncbi.nlm.nih.gov/gene/227580","C1ql3")</f>
        <v>C1ql3</v>
      </c>
      <c r="C201">
        <v>227580</v>
      </c>
      <c r="D201" s="5" t="s">
        <v>426</v>
      </c>
      <c r="E201" s="3" t="str">
        <f>HYPERLINK("http://genome.ucsc.edu/cgi-bin/hgTracks?db=mm10&amp;lastVirtModeType=default&amp;lastVirtModeExtraState=&amp;virtModeType=default&amp;virtMode=0&amp;nonVirtPosition=&amp;position=chr2:13001886-13010864","chr2:13001886-13010864")</f>
        <v>chr2:13001886-13010864</v>
      </c>
      <c r="F201" t="s">
        <v>30</v>
      </c>
      <c r="G201" s="4">
        <v>1.35688922419049</v>
      </c>
      <c r="H201">
        <v>0.37424826080866902</v>
      </c>
      <c r="I201">
        <v>3.6256393583728199</v>
      </c>
      <c r="J201">
        <v>2.8824739827210501E-4</v>
      </c>
      <c r="K201">
        <v>2.2740610596364601E-2</v>
      </c>
      <c r="L201" t="s">
        <v>26</v>
      </c>
      <c r="M201" t="s">
        <v>27</v>
      </c>
      <c r="N201">
        <v>948.87044430256606</v>
      </c>
      <c r="O201">
        <v>467.86291023388901</v>
      </c>
      <c r="P201">
        <v>1309.6260948540801</v>
      </c>
      <c r="Q201">
        <v>682.898047073106</v>
      </c>
      <c r="R201">
        <v>329.45311352924</v>
      </c>
      <c r="S201">
        <v>391.237570099322</v>
      </c>
      <c r="T201">
        <v>1908.27239036733</v>
      </c>
      <c r="U201">
        <v>1090.9488450163201</v>
      </c>
      <c r="V201">
        <v>664.91044408805101</v>
      </c>
      <c r="W201">
        <v>1574.3726999446001</v>
      </c>
    </row>
    <row r="202" spans="1:23" x14ac:dyDescent="0.2">
      <c r="A202" t="s">
        <v>427</v>
      </c>
      <c r="B202" s="3" t="str">
        <f>HYPERLINK("http://www.ncbi.nlm.nih.gov/gene/15505","Hsph1")</f>
        <v>Hsph1</v>
      </c>
      <c r="C202">
        <v>15505</v>
      </c>
      <c r="D202" s="5" t="s">
        <v>428</v>
      </c>
      <c r="E202" s="3" t="str">
        <f>HYPERLINK("http://genome.ucsc.edu/cgi-bin/hgTracks?db=mm10&amp;lastVirtModeType=default&amp;lastVirtModeExtraState=&amp;virtModeType=default&amp;virtMode=0&amp;nonVirtPosition=&amp;position=chr5:149616844-149636315","chr5:149616844-149636315")</f>
        <v>chr5:149616844-149636315</v>
      </c>
      <c r="F202" t="s">
        <v>30</v>
      </c>
      <c r="G202" s="4">
        <v>0.89868571976143496</v>
      </c>
      <c r="H202">
        <v>0.24805918369236199</v>
      </c>
      <c r="I202">
        <v>3.62286816550992</v>
      </c>
      <c r="J202">
        <v>2.9135433730527401E-4</v>
      </c>
      <c r="K202">
        <v>2.2874144161350401E-2</v>
      </c>
      <c r="L202" t="s">
        <v>26</v>
      </c>
      <c r="M202" t="s">
        <v>27</v>
      </c>
      <c r="N202">
        <v>3795.0967479453502</v>
      </c>
      <c r="O202">
        <v>2488.7596358772398</v>
      </c>
      <c r="P202">
        <v>4774.8495819964301</v>
      </c>
      <c r="Q202">
        <v>2390.1431647558702</v>
      </c>
      <c r="R202">
        <v>1968.68323938205</v>
      </c>
      <c r="S202">
        <v>3107.4525034937901</v>
      </c>
      <c r="T202">
        <v>5646.0589736646198</v>
      </c>
      <c r="U202">
        <v>4998.5657380790499</v>
      </c>
      <c r="V202">
        <v>4102.0684655432196</v>
      </c>
      <c r="W202">
        <v>4352.70515069885</v>
      </c>
    </row>
    <row r="203" spans="1:23" x14ac:dyDescent="0.2">
      <c r="A203" t="s">
        <v>429</v>
      </c>
      <c r="B203" s="3" t="str">
        <f>HYPERLINK("http://www.ncbi.nlm.nih.gov/gene/11864","Arnt2")</f>
        <v>Arnt2</v>
      </c>
      <c r="C203">
        <v>11864</v>
      </c>
      <c r="D203" s="5" t="s">
        <v>430</v>
      </c>
      <c r="E203" s="3" t="str">
        <f>HYPERLINK("http://genome.ucsc.edu/cgi-bin/hgTracks?db=mm10&amp;lastVirtModeType=default&amp;lastVirtModeExtraState=&amp;virtModeType=default&amp;virtMode=0&amp;nonVirtPosition=&amp;position=chr7:84246274-84410038","chr7:84246274-84410038")</f>
        <v>chr7:84246274-84410038</v>
      </c>
      <c r="F203" t="s">
        <v>30</v>
      </c>
      <c r="G203" s="4">
        <v>1.0653819618940801</v>
      </c>
      <c r="H203">
        <v>0.29444744680012902</v>
      </c>
      <c r="I203">
        <v>3.6182414671004302</v>
      </c>
      <c r="J203">
        <v>2.9661159565441599E-4</v>
      </c>
      <c r="K203">
        <v>2.3174392930042802E-2</v>
      </c>
      <c r="L203" t="s">
        <v>26</v>
      </c>
      <c r="M203" t="s">
        <v>27</v>
      </c>
      <c r="N203">
        <v>5914.8133726964197</v>
      </c>
      <c r="O203">
        <v>3510.4448827837</v>
      </c>
      <c r="P203">
        <v>7718.0897401309503</v>
      </c>
      <c r="Q203">
        <v>3158.4034677131099</v>
      </c>
      <c r="R203">
        <v>4159.0107482319299</v>
      </c>
      <c r="S203">
        <v>3213.9204324060702</v>
      </c>
      <c r="T203">
        <v>7510.4333523455598</v>
      </c>
      <c r="U203">
        <v>6823.2796860891804</v>
      </c>
      <c r="V203">
        <v>5555.2195167356504</v>
      </c>
      <c r="W203">
        <v>10983.426405353401</v>
      </c>
    </row>
    <row r="204" spans="1:23" x14ac:dyDescent="0.2">
      <c r="A204" t="s">
        <v>431</v>
      </c>
      <c r="B204" s="3" t="str">
        <f>HYPERLINK("http://www.ncbi.nlm.nih.gov/gene/433940","Fam222a")</f>
        <v>Fam222a</v>
      </c>
      <c r="C204">
        <v>433940</v>
      </c>
      <c r="D204" t="s">
        <v>432</v>
      </c>
      <c r="E204" s="3" t="str">
        <f>HYPERLINK("http://genome.ucsc.edu/cgi-bin/hgTracks?db=mm10&amp;lastVirtModeType=default&amp;lastVirtModeExtraState=&amp;virtModeType=default&amp;virtMode=0&amp;nonVirtPosition=&amp;position=chr5:114568250-114613218","chr5:114568250-114613218")</f>
        <v>chr5:114568250-114613218</v>
      </c>
      <c r="F204" t="s">
        <v>25</v>
      </c>
      <c r="G204">
        <v>-1.1478630897242099</v>
      </c>
      <c r="H204">
        <v>0.31746841577676499</v>
      </c>
      <c r="I204">
        <v>-3.61567649782006</v>
      </c>
      <c r="J204">
        <v>2.9956428855064903E-4</v>
      </c>
      <c r="K204">
        <v>2.3292563647738702E-2</v>
      </c>
      <c r="L204" t="s">
        <v>26</v>
      </c>
      <c r="M204" t="s">
        <v>27</v>
      </c>
      <c r="N204">
        <v>222.855352375378</v>
      </c>
      <c r="O204">
        <v>338.23698682719498</v>
      </c>
      <c r="P204">
        <v>136.319126536515</v>
      </c>
      <c r="Q204">
        <v>512.17353530482899</v>
      </c>
      <c r="R204">
        <v>220.97464931839301</v>
      </c>
      <c r="S204">
        <v>281.56277585836398</v>
      </c>
      <c r="T204">
        <v>127.820681086851</v>
      </c>
      <c r="U204">
        <v>149.161000882059</v>
      </c>
      <c r="V204">
        <v>123.33016301633199</v>
      </c>
      <c r="W204">
        <v>144.964661160818</v>
      </c>
    </row>
    <row r="205" spans="1:23" x14ac:dyDescent="0.2">
      <c r="A205" t="s">
        <v>433</v>
      </c>
      <c r="B205" s="3" t="str">
        <f>HYPERLINK("http://www.ncbi.nlm.nih.gov/gene/320916","Wscd2")</f>
        <v>Wscd2</v>
      </c>
      <c r="C205">
        <v>320916</v>
      </c>
      <c r="D205" t="s">
        <v>434</v>
      </c>
      <c r="E205" s="3" t="str">
        <f>HYPERLINK("http://genome.ucsc.edu/cgi-bin/hgTracks?db=mm10&amp;lastVirtModeType=default&amp;lastVirtModeExtraState=&amp;virtModeType=default&amp;virtMode=0&amp;nonVirtPosition=&amp;position=chr5:113550419-113589725","chr5:113550419-113589725")</f>
        <v>chr5:113550419-113589725</v>
      </c>
      <c r="F205" t="s">
        <v>25</v>
      </c>
      <c r="G205">
        <v>-1.9478225607500499</v>
      </c>
      <c r="H205">
        <v>0.53968425721440105</v>
      </c>
      <c r="I205">
        <v>-3.6091891410800199</v>
      </c>
      <c r="J205">
        <v>3.0715560319983002E-4</v>
      </c>
      <c r="K205">
        <v>2.3708448625037501E-2</v>
      </c>
      <c r="L205" t="s">
        <v>26</v>
      </c>
      <c r="M205" t="s">
        <v>27</v>
      </c>
      <c r="N205">
        <v>1127.0845202955099</v>
      </c>
      <c r="O205">
        <v>2161.9295217334202</v>
      </c>
      <c r="P205">
        <v>350.95076921708699</v>
      </c>
      <c r="Q205">
        <v>1184.4013003924199</v>
      </c>
      <c r="R205">
        <v>1743.6908691669601</v>
      </c>
      <c r="S205">
        <v>3557.6963956408799</v>
      </c>
      <c r="T205">
        <v>854.72010989389003</v>
      </c>
      <c r="U205">
        <v>181.936288071391</v>
      </c>
      <c r="V205">
        <v>312.07893424132698</v>
      </c>
      <c r="W205">
        <v>55.067744661739397</v>
      </c>
    </row>
    <row r="206" spans="1:23" x14ac:dyDescent="0.2">
      <c r="A206" t="s">
        <v>435</v>
      </c>
      <c r="B206" s="3" t="str">
        <f>HYPERLINK("http://www.ncbi.nlm.nih.gov/gene/20311","Cxcl5")</f>
        <v>Cxcl5</v>
      </c>
      <c r="C206">
        <v>20311</v>
      </c>
      <c r="D206" t="s">
        <v>436</v>
      </c>
      <c r="E206" s="3" t="str">
        <f>HYPERLINK("http://genome.ucsc.edu/cgi-bin/hgTracks?db=mm10&amp;lastVirtModeType=default&amp;lastVirtModeExtraState=&amp;virtModeType=default&amp;virtMode=0&amp;nonVirtPosition=&amp;position=chr5:90759297-90761625","chr5:90759297-90761625")</f>
        <v>chr5:90759297-90761625</v>
      </c>
      <c r="F206" t="s">
        <v>25</v>
      </c>
      <c r="G206">
        <v>-2.2140383048960302</v>
      </c>
      <c r="H206">
        <v>0.613543655218729</v>
      </c>
      <c r="I206">
        <v>-3.6086076126184099</v>
      </c>
      <c r="J206">
        <v>3.07844816129221E-4</v>
      </c>
      <c r="K206">
        <v>2.3708448625037501E-2</v>
      </c>
      <c r="L206" t="s">
        <v>26</v>
      </c>
      <c r="M206" t="s">
        <v>27</v>
      </c>
      <c r="N206">
        <v>57.399651862047698</v>
      </c>
      <c r="O206">
        <v>125.798358925847</v>
      </c>
      <c r="P206">
        <v>6.1006215641984003</v>
      </c>
      <c r="Q206">
        <v>117.37310184069</v>
      </c>
      <c r="R206">
        <v>234.36705230738599</v>
      </c>
      <c r="S206">
        <v>25.654922629463702</v>
      </c>
      <c r="T206">
        <v>17.430092875479598</v>
      </c>
      <c r="U206">
        <v>0.66888341202717205</v>
      </c>
      <c r="V206">
        <v>5.3621810007100903</v>
      </c>
      <c r="W206">
        <v>0.94132896857674198</v>
      </c>
    </row>
    <row r="207" spans="1:23" x14ac:dyDescent="0.2">
      <c r="A207" t="s">
        <v>437</v>
      </c>
      <c r="B207" s="3" t="str">
        <f>HYPERLINK("http://www.ncbi.nlm.nih.gov/gene/18675","Phex")</f>
        <v>Phex</v>
      </c>
      <c r="C207">
        <v>18675</v>
      </c>
      <c r="D207" t="s">
        <v>438</v>
      </c>
      <c r="E207" s="3" t="str">
        <f>HYPERLINK("http://genome.ucsc.edu/cgi-bin/hgTracks?db=mm10&amp;lastVirtModeType=default&amp;lastVirtModeExtraState=&amp;virtModeType=default&amp;virtMode=0&amp;nonVirtPosition=&amp;position=chrX:157162074-157415286","chrX:157162074-157415286")</f>
        <v>chrX:157162074-157415286</v>
      </c>
      <c r="F207" t="s">
        <v>30</v>
      </c>
      <c r="G207">
        <v>-1.8605785198059801</v>
      </c>
      <c r="H207">
        <v>0.51595392959194497</v>
      </c>
      <c r="I207">
        <v>-3.60609429077798</v>
      </c>
      <c r="J207">
        <v>3.1084022866732E-4</v>
      </c>
      <c r="K207">
        <v>2.38256825508842E-2</v>
      </c>
      <c r="L207" t="s">
        <v>26</v>
      </c>
      <c r="M207" t="s">
        <v>27</v>
      </c>
      <c r="N207">
        <v>65.617465912793193</v>
      </c>
      <c r="O207">
        <v>124.304494228286</v>
      </c>
      <c r="P207">
        <v>21.6021946761736</v>
      </c>
      <c r="Q207">
        <v>245.41648566689699</v>
      </c>
      <c r="R207">
        <v>57.587332852672098</v>
      </c>
      <c r="S207">
        <v>69.909664165288703</v>
      </c>
      <c r="T207">
        <v>22.594564838584699</v>
      </c>
      <c r="U207">
        <v>22.073152596896701</v>
      </c>
      <c r="V207">
        <v>25.738468803408399</v>
      </c>
      <c r="W207">
        <v>16.0025924658046</v>
      </c>
    </row>
    <row r="208" spans="1:23" x14ac:dyDescent="0.2">
      <c r="A208" t="s">
        <v>439</v>
      </c>
      <c r="B208" s="3" t="str">
        <f>HYPERLINK("http://www.ncbi.nlm.nih.gov/gene/268527","Greb1")</f>
        <v>Greb1</v>
      </c>
      <c r="C208">
        <v>268527</v>
      </c>
      <c r="D208" t="s">
        <v>440</v>
      </c>
      <c r="E208" s="3" t="str">
        <f>HYPERLINK("http://genome.ucsc.edu/cgi-bin/hgTracks?db=mm10&amp;lastVirtModeType=default&amp;lastVirtModeExtraState=&amp;virtModeType=default&amp;virtMode=0&amp;nonVirtPosition=&amp;position=chr12:16670614-16800886","chr12:16670614-16800886")</f>
        <v>chr12:16670614-16800886</v>
      </c>
      <c r="F208" t="s">
        <v>30</v>
      </c>
      <c r="G208">
        <v>-1.93889594183336</v>
      </c>
      <c r="H208">
        <v>0.53876596504095298</v>
      </c>
      <c r="I208">
        <v>-3.5987721341788501</v>
      </c>
      <c r="J208">
        <v>3.1972317289895497E-4</v>
      </c>
      <c r="K208">
        <v>2.4390956958937698E-2</v>
      </c>
      <c r="L208" t="s">
        <v>26</v>
      </c>
      <c r="M208" t="s">
        <v>27</v>
      </c>
      <c r="N208">
        <v>122.712744759084</v>
      </c>
      <c r="O208">
        <v>236.94530731106701</v>
      </c>
      <c r="P208">
        <v>37.038322845096197</v>
      </c>
      <c r="Q208">
        <v>522.84381729034601</v>
      </c>
      <c r="R208">
        <v>77.675937336162306</v>
      </c>
      <c r="S208">
        <v>110.316167306694</v>
      </c>
      <c r="T208">
        <v>47.771365658721997</v>
      </c>
      <c r="U208">
        <v>36.119704249467297</v>
      </c>
      <c r="V208">
        <v>48.259629006390803</v>
      </c>
      <c r="W208">
        <v>16.0025924658046</v>
      </c>
    </row>
    <row r="209" spans="1:23" x14ac:dyDescent="0.2">
      <c r="A209" t="s">
        <v>441</v>
      </c>
      <c r="B209" s="3" t="str">
        <f>HYPERLINK("http://www.ncbi.nlm.nih.gov/gene/16803","Lbp")</f>
        <v>Lbp</v>
      </c>
      <c r="C209">
        <v>16803</v>
      </c>
      <c r="D209" t="s">
        <v>442</v>
      </c>
      <c r="E209" s="3" t="str">
        <f>HYPERLINK("http://genome.ucsc.edu/cgi-bin/hgTracks?db=mm10&amp;lastVirtModeType=default&amp;lastVirtModeExtraState=&amp;virtModeType=default&amp;virtMode=0&amp;nonVirtPosition=&amp;position=chr2:158306492-158332852","chr2:158306492-158332852")</f>
        <v>chr2:158306492-158332852</v>
      </c>
      <c r="F209" t="s">
        <v>25</v>
      </c>
      <c r="G209">
        <v>-1.8901113518071799</v>
      </c>
      <c r="H209">
        <v>0.52683339515753402</v>
      </c>
      <c r="I209">
        <v>-3.5876832584654199</v>
      </c>
      <c r="J209">
        <v>3.3362923310629598E-4</v>
      </c>
      <c r="K209">
        <v>2.5213951341252899E-2</v>
      </c>
      <c r="L209" t="s">
        <v>26</v>
      </c>
      <c r="M209" t="s">
        <v>27</v>
      </c>
      <c r="N209">
        <v>224.590603356494</v>
      </c>
      <c r="O209">
        <v>422.05049535815698</v>
      </c>
      <c r="P209">
        <v>76.495684355245999</v>
      </c>
      <c r="Q209">
        <v>213.40563971034501</v>
      </c>
      <c r="R209">
        <v>674.977110645273</v>
      </c>
      <c r="S209">
        <v>377.76873571885301</v>
      </c>
      <c r="T209">
        <v>81.340433418904993</v>
      </c>
      <c r="U209">
        <v>41.470771545684599</v>
      </c>
      <c r="V209">
        <v>166.22761102201301</v>
      </c>
      <c r="W209">
        <v>16.943921434381298</v>
      </c>
    </row>
    <row r="210" spans="1:23" x14ac:dyDescent="0.2">
      <c r="A210" t="s">
        <v>443</v>
      </c>
      <c r="B210" s="3" t="str">
        <f>HYPERLINK("http://www.ncbi.nlm.nih.gov/gene/54120","Gipc2")</f>
        <v>Gipc2</v>
      </c>
      <c r="C210">
        <v>54120</v>
      </c>
      <c r="D210" t="s">
        <v>444</v>
      </c>
      <c r="E210" s="3" t="str">
        <f>HYPERLINK("http://genome.ucsc.edu/cgi-bin/hgTracks?db=mm10&amp;lastVirtModeType=default&amp;lastVirtModeExtraState=&amp;virtModeType=default&amp;virtMode=0&amp;nonVirtPosition=&amp;position=chr3:152093840-152165900","chr3:152093840-152165900")</f>
        <v>chr3:152093840-152165900</v>
      </c>
      <c r="F210" t="s">
        <v>30</v>
      </c>
      <c r="G210">
        <v>-2.0613213318695101</v>
      </c>
      <c r="H210">
        <v>0.57556575193190296</v>
      </c>
      <c r="I210">
        <v>-3.5813828827560199</v>
      </c>
      <c r="J210">
        <v>3.41780343189608E-4</v>
      </c>
      <c r="K210">
        <v>2.5468677821252599E-2</v>
      </c>
      <c r="L210" t="s">
        <v>26</v>
      </c>
      <c r="M210" t="s">
        <v>27</v>
      </c>
      <c r="N210">
        <v>65.246705308587195</v>
      </c>
      <c r="O210">
        <v>131.85737444445999</v>
      </c>
      <c r="P210">
        <v>15.288703456682899</v>
      </c>
      <c r="Q210">
        <v>256.08676765241501</v>
      </c>
      <c r="R210">
        <v>52.899991806524397</v>
      </c>
      <c r="S210">
        <v>86.585363874440105</v>
      </c>
      <c r="T210">
        <v>12.911179907762699</v>
      </c>
      <c r="U210">
        <v>13.3776682405434</v>
      </c>
      <c r="V210">
        <v>31.1006498041185</v>
      </c>
      <c r="W210">
        <v>3.7653158743069701</v>
      </c>
    </row>
    <row r="211" spans="1:23" x14ac:dyDescent="0.2">
      <c r="A211" t="s">
        <v>445</v>
      </c>
      <c r="B211" s="3" t="str">
        <f>HYPERLINK("http://www.ncbi.nlm.nih.gov/gene/56838","Ccl28")</f>
        <v>Ccl28</v>
      </c>
      <c r="C211">
        <v>56838</v>
      </c>
      <c r="D211" t="s">
        <v>446</v>
      </c>
      <c r="E211" s="3" t="str">
        <f>HYPERLINK("http://genome.ucsc.edu/cgi-bin/hgTracks?db=mm10&amp;lastVirtModeType=default&amp;lastVirtModeExtraState=&amp;virtModeType=default&amp;virtMode=0&amp;nonVirtPosition=&amp;position=chr13:119623818-119654358","chr13:119623818-119654358")</f>
        <v>chr13:119623818-119654358</v>
      </c>
      <c r="F211" t="s">
        <v>25</v>
      </c>
      <c r="G211">
        <v>-2.12434185731856</v>
      </c>
      <c r="H211">
        <v>0.59335433179413299</v>
      </c>
      <c r="I211">
        <v>-3.5802247383872001</v>
      </c>
      <c r="J211">
        <v>3.4329881685729699E-4</v>
      </c>
      <c r="K211">
        <v>2.5468677821252599E-2</v>
      </c>
      <c r="L211" t="s">
        <v>26</v>
      </c>
      <c r="M211" t="s">
        <v>27</v>
      </c>
      <c r="N211">
        <v>51.674593732147599</v>
      </c>
      <c r="O211">
        <v>107.73749826673701</v>
      </c>
      <c r="P211">
        <v>9.6274153312053006</v>
      </c>
      <c r="Q211">
        <v>234.74620368138</v>
      </c>
      <c r="R211">
        <v>74.997456738363695</v>
      </c>
      <c r="S211">
        <v>13.4688343804685</v>
      </c>
      <c r="T211">
        <v>12.911179907762699</v>
      </c>
      <c r="U211">
        <v>11.3710180044619</v>
      </c>
      <c r="V211">
        <v>8.5794896011361406</v>
      </c>
      <c r="W211">
        <v>5.6479738114604503</v>
      </c>
    </row>
    <row r="212" spans="1:23" x14ac:dyDescent="0.2">
      <c r="A212" t="s">
        <v>447</v>
      </c>
      <c r="B212" s="3" t="str">
        <f>HYPERLINK("http://www.ncbi.nlm.nih.gov/gene/332942","Gm853")</f>
        <v>Gm853</v>
      </c>
      <c r="C212">
        <v>332942</v>
      </c>
      <c r="D212" t="s">
        <v>448</v>
      </c>
      <c r="E212" s="3" t="str">
        <f>HYPERLINK("http://genome.ucsc.edu/cgi-bin/hgTracks?db=mm10&amp;lastVirtModeType=default&amp;lastVirtModeExtraState=&amp;virtModeType=default&amp;virtMode=0&amp;nonVirtPosition=&amp;position=chr4:130209108-130222295","chr4:130209108-130222295")</f>
        <v>chr4:130209108-130222295</v>
      </c>
      <c r="F212" t="s">
        <v>30</v>
      </c>
      <c r="G212">
        <v>-2.1633794673107398</v>
      </c>
      <c r="H212">
        <v>0.605183359261937</v>
      </c>
      <c r="I212">
        <v>-3.57475041935907</v>
      </c>
      <c r="J212">
        <v>3.50562142922964E-4</v>
      </c>
      <c r="K212">
        <v>2.58887741438041E-2</v>
      </c>
      <c r="L212" t="s">
        <v>26</v>
      </c>
      <c r="M212" t="s">
        <v>27</v>
      </c>
      <c r="N212">
        <v>12.4781421983215</v>
      </c>
      <c r="O212">
        <v>28.758186396036201</v>
      </c>
      <c r="P212">
        <v>0.268109050035505</v>
      </c>
      <c r="Q212">
        <v>42.681127942069097</v>
      </c>
      <c r="R212">
        <v>14.731643287892901</v>
      </c>
      <c r="S212">
        <v>28.861787958146699</v>
      </c>
      <c r="T212">
        <v>0</v>
      </c>
      <c r="U212">
        <v>0</v>
      </c>
      <c r="V212">
        <v>1.07243620014202</v>
      </c>
      <c r="W212">
        <v>0</v>
      </c>
    </row>
    <row r="213" spans="1:23" x14ac:dyDescent="0.2">
      <c r="A213" t="s">
        <v>449</v>
      </c>
      <c r="B213" s="3" t="str">
        <f>HYPERLINK("http://www.ncbi.nlm.nih.gov/gene/11997","Akr1b7")</f>
        <v>Akr1b7</v>
      </c>
      <c r="C213">
        <v>11997</v>
      </c>
      <c r="D213" t="s">
        <v>450</v>
      </c>
      <c r="E213" s="3" t="str">
        <f>HYPERLINK("http://genome.ucsc.edu/cgi-bin/hgTracks?db=mm10&amp;lastVirtModeType=default&amp;lastVirtModeExtraState=&amp;virtModeType=default&amp;virtMode=0&amp;nonVirtPosition=&amp;position=chr6:34412361-34423137","chr6:34412361-34423137")</f>
        <v>chr6:34412361-34423137</v>
      </c>
      <c r="F213" t="s">
        <v>25</v>
      </c>
      <c r="G213">
        <v>-2.1850059038257501</v>
      </c>
      <c r="H213">
        <v>0.61150072548829704</v>
      </c>
      <c r="I213">
        <v>-3.5731861185953102</v>
      </c>
      <c r="J213">
        <v>3.5266391211140899E-4</v>
      </c>
      <c r="K213">
        <v>2.5925606593535499E-2</v>
      </c>
      <c r="L213" t="s">
        <v>26</v>
      </c>
      <c r="M213" t="s">
        <v>27</v>
      </c>
      <c r="N213">
        <v>21.799806052543399</v>
      </c>
      <c r="O213">
        <v>49.371559137117401</v>
      </c>
      <c r="P213">
        <v>1.12099123911285</v>
      </c>
      <c r="Q213">
        <v>64.021691913103695</v>
      </c>
      <c r="R213">
        <v>32.141767173584398</v>
      </c>
      <c r="S213">
        <v>51.951218324664097</v>
      </c>
      <c r="T213">
        <v>0</v>
      </c>
      <c r="U213">
        <v>4.0133004721630297</v>
      </c>
      <c r="V213">
        <v>0</v>
      </c>
      <c r="W213">
        <v>0.47066448428837099</v>
      </c>
    </row>
    <row r="214" spans="1:23" x14ac:dyDescent="0.2">
      <c r="A214" t="s">
        <v>451</v>
      </c>
      <c r="B214" s="3" t="str">
        <f>HYPERLINK("http://www.ncbi.nlm.nih.gov/gene/69137","Vstm5")</f>
        <v>Vstm5</v>
      </c>
      <c r="C214">
        <v>69137</v>
      </c>
      <c r="D214" s="5" t="s">
        <v>452</v>
      </c>
      <c r="E214" s="3" t="str">
        <f>HYPERLINK("http://genome.ucsc.edu/cgi-bin/hgTracks?db=mm10&amp;lastVirtModeType=default&amp;lastVirtModeExtraState=&amp;virtModeType=default&amp;virtMode=0&amp;nonVirtPosition=&amp;position=chr9:15239044-15259413","chr9:15239044-15259413")</f>
        <v>chr9:15239044-15259413</v>
      </c>
      <c r="F214" t="s">
        <v>25</v>
      </c>
      <c r="G214" s="4">
        <v>1.2664330262850001</v>
      </c>
      <c r="H214">
        <v>0.35461687221001398</v>
      </c>
      <c r="I214">
        <v>3.5712712099467701</v>
      </c>
      <c r="J214">
        <v>3.5525279593503898E-4</v>
      </c>
      <c r="K214">
        <v>2.5997753251843399E-2</v>
      </c>
      <c r="L214" t="s">
        <v>26</v>
      </c>
      <c r="M214" t="s">
        <v>27</v>
      </c>
      <c r="N214">
        <v>143.985189231985</v>
      </c>
      <c r="O214">
        <v>79.034758046879006</v>
      </c>
      <c r="P214">
        <v>192.69801262081501</v>
      </c>
      <c r="Q214">
        <v>106.702819855173</v>
      </c>
      <c r="R214">
        <v>65.622774646068194</v>
      </c>
      <c r="S214">
        <v>64.778679639395904</v>
      </c>
      <c r="T214">
        <v>161.38974884703401</v>
      </c>
      <c r="U214">
        <v>216.04934208477599</v>
      </c>
      <c r="V214">
        <v>253.09494323351601</v>
      </c>
      <c r="W214">
        <v>140.25801631793399</v>
      </c>
    </row>
    <row r="215" spans="1:23" x14ac:dyDescent="0.2">
      <c r="A215" t="s">
        <v>453</v>
      </c>
      <c r="B215" s="3" t="str">
        <f>HYPERLINK("http://www.ncbi.nlm.nih.gov/gene/218989","Tmem260")</f>
        <v>Tmem260</v>
      </c>
      <c r="C215">
        <v>218989</v>
      </c>
      <c r="D215" t="s">
        <v>454</v>
      </c>
      <c r="E215" s="3" t="str">
        <f>HYPERLINK("http://genome.ucsc.edu/cgi-bin/hgTracks?db=mm10&amp;lastVirtModeType=default&amp;lastVirtModeExtraState=&amp;virtModeType=default&amp;virtMode=0&amp;nonVirtPosition=&amp;position=chr14:48446351-48515130","chr14:48446351-48515130")</f>
        <v>chr14:48446351-48515130</v>
      </c>
      <c r="F215" t="s">
        <v>25</v>
      </c>
      <c r="G215">
        <v>-0.93358392299663895</v>
      </c>
      <c r="H215">
        <v>0.26163757117785302</v>
      </c>
      <c r="I215">
        <v>-3.5682334107971698</v>
      </c>
      <c r="J215">
        <v>3.59396275677291E-4</v>
      </c>
      <c r="K215">
        <v>2.6079950929083301E-2</v>
      </c>
      <c r="L215" t="s">
        <v>26</v>
      </c>
      <c r="M215" t="s">
        <v>27</v>
      </c>
      <c r="N215">
        <v>527.76678026417505</v>
      </c>
      <c r="O215">
        <v>743.53191949393204</v>
      </c>
      <c r="P215">
        <v>365.94292584185803</v>
      </c>
      <c r="Q215">
        <v>1056.35791656621</v>
      </c>
      <c r="R215">
        <v>559.80244493992905</v>
      </c>
      <c r="S215">
        <v>614.43539697565598</v>
      </c>
      <c r="T215">
        <v>400.24657714064301</v>
      </c>
      <c r="U215">
        <v>389.29014579981401</v>
      </c>
      <c r="V215">
        <v>329.23791344359898</v>
      </c>
      <c r="W215">
        <v>344.99706698337599</v>
      </c>
    </row>
    <row r="216" spans="1:23" x14ac:dyDescent="0.2">
      <c r="A216" t="s">
        <v>455</v>
      </c>
      <c r="B216" s="3" t="str">
        <f>HYPERLINK("http://www.ncbi.nlm.nih.gov/gene/67749","Mgarp")</f>
        <v>Mgarp</v>
      </c>
      <c r="C216">
        <v>67749</v>
      </c>
      <c r="D216" t="s">
        <v>456</v>
      </c>
      <c r="E216" s="3" t="str">
        <f>HYPERLINK("http://genome.ucsc.edu/cgi-bin/hgTracks?db=mm10&amp;lastVirtModeType=default&amp;lastVirtModeExtraState=&amp;virtModeType=default&amp;virtMode=0&amp;nonVirtPosition=&amp;position=chr3:51388412-51396547","chr3:51388412-51396547")</f>
        <v>chr3:51388412-51396547</v>
      </c>
      <c r="F216" t="s">
        <v>30</v>
      </c>
      <c r="G216">
        <v>-2.16525351229871</v>
      </c>
      <c r="H216">
        <v>0.606839263802887</v>
      </c>
      <c r="I216">
        <v>-3.5680840734162298</v>
      </c>
      <c r="J216">
        <v>3.59601128868211E-4</v>
      </c>
      <c r="K216">
        <v>2.6079950929083301E-2</v>
      </c>
      <c r="L216" t="s">
        <v>26</v>
      </c>
      <c r="M216" t="s">
        <v>27</v>
      </c>
      <c r="N216">
        <v>23.751809422626099</v>
      </c>
      <c r="O216">
        <v>50.537441145610103</v>
      </c>
      <c r="P216">
        <v>3.6625856303880999</v>
      </c>
      <c r="Q216">
        <v>64.021691913103695</v>
      </c>
      <c r="R216">
        <v>54.239232105423703</v>
      </c>
      <c r="S216">
        <v>33.351399418302798</v>
      </c>
      <c r="T216">
        <v>0.64555899538813499</v>
      </c>
      <c r="U216">
        <v>4.0133004721630297</v>
      </c>
      <c r="V216">
        <v>8.5794896011361406</v>
      </c>
      <c r="W216">
        <v>1.4119934528651099</v>
      </c>
    </row>
    <row r="217" spans="1:23" x14ac:dyDescent="0.2">
      <c r="A217" t="s">
        <v>457</v>
      </c>
      <c r="B217" s="3" t="str">
        <f>HYPERLINK("http://www.ncbi.nlm.nih.gov/gene/59036","Dact1")</f>
        <v>Dact1</v>
      </c>
      <c r="C217">
        <v>59036</v>
      </c>
      <c r="D217" t="s">
        <v>458</v>
      </c>
      <c r="E217" s="3" t="str">
        <f>HYPERLINK("http://genome.ucsc.edu/cgi-bin/hgTracks?db=mm10&amp;lastVirtModeType=default&amp;lastVirtModeExtraState=&amp;virtModeType=default&amp;virtMode=0&amp;nonVirtPosition=&amp;position=chr12:71309883-71320107","chr12:71309883-71320107")</f>
        <v>chr12:71309883-71320107</v>
      </c>
      <c r="F217" t="s">
        <v>25</v>
      </c>
      <c r="G217">
        <v>-1.3268481171872899</v>
      </c>
      <c r="H217">
        <v>0.37203611709428502</v>
      </c>
      <c r="I217">
        <v>-3.5664497510359299</v>
      </c>
      <c r="J217">
        <v>3.6185015409967902E-4</v>
      </c>
      <c r="K217">
        <v>2.61259042064916E-2</v>
      </c>
      <c r="L217" t="s">
        <v>26</v>
      </c>
      <c r="M217" t="s">
        <v>27</v>
      </c>
      <c r="N217">
        <v>487.83643755531</v>
      </c>
      <c r="O217">
        <v>769.16552254131295</v>
      </c>
      <c r="P217">
        <v>276.83962381580801</v>
      </c>
      <c r="Q217">
        <v>672.22776508758795</v>
      </c>
      <c r="R217">
        <v>861.13151219228303</v>
      </c>
      <c r="S217">
        <v>774.13729034406799</v>
      </c>
      <c r="T217">
        <v>233.69235633050499</v>
      </c>
      <c r="U217">
        <v>274.911082343168</v>
      </c>
      <c r="V217">
        <v>127.6199078169</v>
      </c>
      <c r="W217">
        <v>471.13514877265902</v>
      </c>
    </row>
    <row r="218" spans="1:23" x14ac:dyDescent="0.2">
      <c r="A218" t="s">
        <v>459</v>
      </c>
      <c r="B218" s="3" t="str">
        <f>HYPERLINK("http://www.ncbi.nlm.nih.gov/gene/269529","Fbxo10")</f>
        <v>Fbxo10</v>
      </c>
      <c r="C218">
        <v>269529</v>
      </c>
      <c r="D218" s="5" t="s">
        <v>460</v>
      </c>
      <c r="E218" s="3" t="str">
        <f>HYPERLINK("http://genome.ucsc.edu/cgi-bin/hgTracks?db=mm10&amp;lastVirtModeType=default&amp;lastVirtModeExtraState=&amp;virtModeType=default&amp;virtMode=0&amp;nonVirtPosition=&amp;position=chr4:45034247-45084604","chr4:45034247-45084604")</f>
        <v>chr4:45034247-45084604</v>
      </c>
      <c r="F218" t="s">
        <v>30</v>
      </c>
      <c r="G218" s="4">
        <v>0.67235436336536902</v>
      </c>
      <c r="H218">
        <v>0.18892763549757299</v>
      </c>
      <c r="I218">
        <v>3.5587930881292702</v>
      </c>
      <c r="J218">
        <v>3.72562887099564E-4</v>
      </c>
      <c r="K218">
        <v>2.67798203247166E-2</v>
      </c>
      <c r="L218" t="s">
        <v>26</v>
      </c>
      <c r="M218" t="s">
        <v>27</v>
      </c>
      <c r="N218">
        <v>679.94970866994004</v>
      </c>
      <c r="O218">
        <v>507.90465993852098</v>
      </c>
      <c r="P218">
        <v>808.983495218504</v>
      </c>
      <c r="Q218">
        <v>544.18438126138096</v>
      </c>
      <c r="R218">
        <v>490.161949397162</v>
      </c>
      <c r="S218">
        <v>489.36764915702099</v>
      </c>
      <c r="T218">
        <v>917.33933244653895</v>
      </c>
      <c r="U218">
        <v>756.50713900273104</v>
      </c>
      <c r="V218">
        <v>700.30083869273801</v>
      </c>
      <c r="W218">
        <v>861.786670732007</v>
      </c>
    </row>
    <row r="219" spans="1:23" x14ac:dyDescent="0.2">
      <c r="A219" t="s">
        <v>461</v>
      </c>
      <c r="B219" s="3" t="str">
        <f>HYPERLINK("http://www.ncbi.nlm.nih.gov/gene/15186","Hdc")</f>
        <v>Hdc</v>
      </c>
      <c r="C219">
        <v>15186</v>
      </c>
      <c r="D219" t="s">
        <v>462</v>
      </c>
      <c r="E219" s="3" t="str">
        <f>HYPERLINK("http://genome.ucsc.edu/cgi-bin/hgTracks?db=mm10&amp;lastVirtModeType=default&amp;lastVirtModeExtraState=&amp;virtModeType=default&amp;virtMode=0&amp;nonVirtPosition=&amp;position=chr2:126593659-126618678","chr2:126593659-126618678")</f>
        <v>chr2:126593659-126618678</v>
      </c>
      <c r="F219" t="s">
        <v>30</v>
      </c>
      <c r="G219">
        <v>-1.9634850579446601</v>
      </c>
      <c r="H219">
        <v>0.55230192408169998</v>
      </c>
      <c r="I219">
        <v>-3.5550936405106799</v>
      </c>
      <c r="J219">
        <v>3.77844497432356E-4</v>
      </c>
      <c r="K219">
        <v>2.70392878627146E-2</v>
      </c>
      <c r="L219" t="s">
        <v>26</v>
      </c>
      <c r="M219" t="s">
        <v>27</v>
      </c>
      <c r="N219">
        <v>133.90752953273099</v>
      </c>
      <c r="O219">
        <v>261.13360398917399</v>
      </c>
      <c r="P219">
        <v>38.487973690399102</v>
      </c>
      <c r="Q219">
        <v>522.84381729034601</v>
      </c>
      <c r="R219">
        <v>140.620231384432</v>
      </c>
      <c r="S219">
        <v>119.936763292743</v>
      </c>
      <c r="T219">
        <v>31.632390774018599</v>
      </c>
      <c r="U219">
        <v>46.152955429874801</v>
      </c>
      <c r="V219">
        <v>68.635916809089096</v>
      </c>
      <c r="W219">
        <v>7.5306317486139296</v>
      </c>
    </row>
    <row r="220" spans="1:23" x14ac:dyDescent="0.2">
      <c r="A220" t="s">
        <v>463</v>
      </c>
      <c r="B220" s="3" t="str">
        <f>HYPERLINK("http://www.ncbi.nlm.nih.gov/gene/56318","Acpp")</f>
        <v>Acpp</v>
      </c>
      <c r="C220">
        <v>56318</v>
      </c>
      <c r="D220" t="s">
        <v>464</v>
      </c>
      <c r="E220" s="3" t="str">
        <f>HYPERLINK("http://genome.ucsc.edu/cgi-bin/hgTracks?db=mm10&amp;lastVirtModeType=default&amp;lastVirtModeExtraState=&amp;virtModeType=default&amp;virtMode=0&amp;nonVirtPosition=&amp;position=chr9:104298999-104337722","chr9:104298999-104337722")</f>
        <v>chr9:104298999-104337722</v>
      </c>
      <c r="F220" t="s">
        <v>30</v>
      </c>
      <c r="G220">
        <v>-2.1052882416710901</v>
      </c>
      <c r="H220">
        <v>0.59239941065156398</v>
      </c>
      <c r="I220">
        <v>-3.5538324377391599</v>
      </c>
      <c r="J220">
        <v>3.7966102508457298E-4</v>
      </c>
      <c r="K220">
        <v>2.7049593650629099E-2</v>
      </c>
      <c r="L220" t="s">
        <v>26</v>
      </c>
      <c r="M220" t="s">
        <v>27</v>
      </c>
      <c r="N220">
        <v>80.932641808412299</v>
      </c>
      <c r="O220">
        <v>167.88381053661499</v>
      </c>
      <c r="P220">
        <v>15.7192652622601</v>
      </c>
      <c r="Q220">
        <v>426.81127942069099</v>
      </c>
      <c r="R220">
        <v>27.454426127436701</v>
      </c>
      <c r="S220">
        <v>49.385726061717698</v>
      </c>
      <c r="T220">
        <v>12.911179907762699</v>
      </c>
      <c r="U220">
        <v>8.69548435635323</v>
      </c>
      <c r="V220">
        <v>25.738468803408399</v>
      </c>
      <c r="W220">
        <v>15.531927981516199</v>
      </c>
    </row>
    <row r="221" spans="1:23" x14ac:dyDescent="0.2">
      <c r="A221" t="s">
        <v>465</v>
      </c>
      <c r="B221" s="3" t="str">
        <f>HYPERLINK("http://www.ncbi.nlm.nih.gov/gene/77411","Esrp2")</f>
        <v>Esrp2</v>
      </c>
      <c r="C221">
        <v>77411</v>
      </c>
      <c r="D221" t="s">
        <v>466</v>
      </c>
      <c r="E221" s="3" t="str">
        <f>HYPERLINK("http://genome.ucsc.edu/cgi-bin/hgTracks?db=mm10&amp;lastVirtModeType=default&amp;lastVirtModeExtraState=&amp;virtModeType=default&amp;virtMode=0&amp;nonVirtPosition=&amp;position=chr8:106131182-106136974","chr8:106131182-106136974")</f>
        <v>chr8:106131182-106136974</v>
      </c>
      <c r="F221" t="s">
        <v>30</v>
      </c>
      <c r="G221">
        <v>-2.1519040234241502</v>
      </c>
      <c r="H221">
        <v>0.60675086603683503</v>
      </c>
      <c r="I221">
        <v>-3.5466023105659801</v>
      </c>
      <c r="J221">
        <v>3.9023318502037698E-4</v>
      </c>
      <c r="K221">
        <v>2.76761793493631E-2</v>
      </c>
      <c r="L221" t="s">
        <v>26</v>
      </c>
      <c r="M221" t="s">
        <v>27</v>
      </c>
      <c r="N221">
        <v>32.167477147743099</v>
      </c>
      <c r="O221">
        <v>69.097028791642003</v>
      </c>
      <c r="P221">
        <v>4.4703134148187198</v>
      </c>
      <c r="Q221">
        <v>170.72451176827599</v>
      </c>
      <c r="R221">
        <v>15.4012634373425</v>
      </c>
      <c r="S221">
        <v>21.1653111693076</v>
      </c>
      <c r="T221">
        <v>3.8733539723288102</v>
      </c>
      <c r="U221">
        <v>5.3510672962173702</v>
      </c>
      <c r="V221">
        <v>5.3621810007100903</v>
      </c>
      <c r="W221">
        <v>3.2946513900186001</v>
      </c>
    </row>
    <row r="222" spans="1:23" x14ac:dyDescent="0.2">
      <c r="A222" t="s">
        <v>467</v>
      </c>
      <c r="B222" s="3" t="str">
        <f>HYPERLINK("http://www.ncbi.nlm.nih.gov/gene/257926","Olfr544")</f>
        <v>Olfr544</v>
      </c>
      <c r="C222">
        <v>257926</v>
      </c>
      <c r="D222" t="s">
        <v>468</v>
      </c>
      <c r="E222" s="3" t="str">
        <f>HYPERLINK("http://genome.ucsc.edu/cgi-bin/hgTracks?db=mm10&amp;lastVirtModeType=default&amp;lastVirtModeExtraState=&amp;virtModeType=default&amp;virtMode=0&amp;nonVirtPosition=&amp;position=chr7:102484113-102488307","chr7:102484113-102488307")</f>
        <v>chr7:102484113-102488307</v>
      </c>
      <c r="F222" t="s">
        <v>30</v>
      </c>
      <c r="G222">
        <v>-2.1768768578589999</v>
      </c>
      <c r="H222">
        <v>0.61398410235661705</v>
      </c>
      <c r="I222">
        <v>-3.5454938482993801</v>
      </c>
      <c r="J222">
        <v>3.9187813460731799E-4</v>
      </c>
      <c r="K222">
        <v>2.76761793493631E-2</v>
      </c>
      <c r="L222" t="s">
        <v>26</v>
      </c>
      <c r="M222" t="s">
        <v>27</v>
      </c>
      <c r="N222">
        <v>22.887505479053601</v>
      </c>
      <c r="O222">
        <v>50.732631171385698</v>
      </c>
      <c r="P222">
        <v>2.0036612098044801</v>
      </c>
      <c r="Q222">
        <v>128.04338382620699</v>
      </c>
      <c r="R222">
        <v>10.0443022417451</v>
      </c>
      <c r="S222">
        <v>14.1102074462051</v>
      </c>
      <c r="T222">
        <v>2.58223598155254</v>
      </c>
      <c r="U222">
        <v>2.0066502360815099</v>
      </c>
      <c r="V222">
        <v>1.07243620014202</v>
      </c>
      <c r="W222">
        <v>2.3533224214418502</v>
      </c>
    </row>
    <row r="223" spans="1:23" x14ac:dyDescent="0.2">
      <c r="A223" t="s">
        <v>469</v>
      </c>
      <c r="B223" s="3" t="str">
        <f>HYPERLINK("http://www.ncbi.nlm.nih.gov/gene/27260","Plek2")</f>
        <v>Plek2</v>
      </c>
      <c r="C223">
        <v>27260</v>
      </c>
      <c r="D223" t="s">
        <v>470</v>
      </c>
      <c r="E223" s="3" t="str">
        <f>HYPERLINK("http://genome.ucsc.edu/cgi-bin/hgTracks?db=mm10&amp;lastVirtModeType=default&amp;lastVirtModeExtraState=&amp;virtModeType=default&amp;virtMode=0&amp;nonVirtPosition=&amp;position=chr12:78888696-78906938","chr12:78888696-78906938")</f>
        <v>chr12:78888696-78906938</v>
      </c>
      <c r="F223" t="s">
        <v>30</v>
      </c>
      <c r="G223">
        <v>-2.0600836502406699</v>
      </c>
      <c r="H223">
        <v>0.58132120052997105</v>
      </c>
      <c r="I223">
        <v>-3.5437958367294402</v>
      </c>
      <c r="J223">
        <v>3.9441054022392998E-4</v>
      </c>
      <c r="K223">
        <v>2.77339202914853E-2</v>
      </c>
      <c r="L223" t="s">
        <v>26</v>
      </c>
      <c r="M223" t="s">
        <v>27</v>
      </c>
      <c r="N223">
        <v>28.076435795941901</v>
      </c>
      <c r="O223">
        <v>57.417493538162198</v>
      </c>
      <c r="P223">
        <v>6.0706424892767696</v>
      </c>
      <c r="Q223">
        <v>106.702819855173</v>
      </c>
      <c r="R223">
        <v>33.481007472483803</v>
      </c>
      <c r="S223">
        <v>32.068653286829701</v>
      </c>
      <c r="T223">
        <v>6.4555899538813497</v>
      </c>
      <c r="U223">
        <v>5.3510672962173702</v>
      </c>
      <c r="V223">
        <v>9.6519258012781606</v>
      </c>
      <c r="W223">
        <v>2.8239869057302198</v>
      </c>
    </row>
    <row r="224" spans="1:23" x14ac:dyDescent="0.2">
      <c r="A224" t="s">
        <v>471</v>
      </c>
      <c r="B224" s="3" t="str">
        <f>HYPERLINK("http://www.ncbi.nlm.nih.gov/gene/57890","Il17re")</f>
        <v>Il17re</v>
      </c>
      <c r="C224">
        <v>57890</v>
      </c>
      <c r="D224" t="s">
        <v>472</v>
      </c>
      <c r="E224" s="3" t="str">
        <f>HYPERLINK("http://genome.ucsc.edu/cgi-bin/hgTracks?db=mm10&amp;lastVirtModeType=default&amp;lastVirtModeExtraState=&amp;virtModeType=default&amp;virtMode=0&amp;nonVirtPosition=&amp;position=chr6:113458483-113470751","chr6:113458483-113470751")</f>
        <v>chr6:113458483-113470751</v>
      </c>
      <c r="F224" t="s">
        <v>25</v>
      </c>
      <c r="G224">
        <v>-2.1691644193708401</v>
      </c>
      <c r="H224">
        <v>0.613047256485732</v>
      </c>
      <c r="I224">
        <v>-3.5383315012377401</v>
      </c>
      <c r="J224">
        <v>4.0266418463208502E-4</v>
      </c>
      <c r="K224">
        <v>2.8154637410020899E-2</v>
      </c>
      <c r="L224" t="s">
        <v>26</v>
      </c>
      <c r="M224" t="s">
        <v>27</v>
      </c>
      <c r="N224">
        <v>44.204703388081299</v>
      </c>
      <c r="O224">
        <v>96.483443217816301</v>
      </c>
      <c r="P224">
        <v>4.9956485157800001</v>
      </c>
      <c r="Q224">
        <v>202.73535772482799</v>
      </c>
      <c r="R224">
        <v>33.481007472483803</v>
      </c>
      <c r="S224">
        <v>53.233964456137201</v>
      </c>
      <c r="T224">
        <v>6.4555899538813497</v>
      </c>
      <c r="U224">
        <v>6.0199507082445498</v>
      </c>
      <c r="V224">
        <v>7.5070534009941197</v>
      </c>
      <c r="W224">
        <v>0</v>
      </c>
    </row>
    <row r="225" spans="1:23" x14ac:dyDescent="0.2">
      <c r="A225" t="s">
        <v>473</v>
      </c>
      <c r="B225" s="3" t="str">
        <f>HYPERLINK("http://www.ncbi.nlm.nih.gov/gene/73873","Fam161a")</f>
        <v>Fam161a</v>
      </c>
      <c r="C225">
        <v>73873</v>
      </c>
      <c r="D225" t="s">
        <v>474</v>
      </c>
      <c r="E225" s="3" t="str">
        <f>HYPERLINK("http://genome.ucsc.edu/cgi-bin/hgTracks?db=mm10&amp;lastVirtModeType=default&amp;lastVirtModeExtraState=&amp;virtModeType=default&amp;virtMode=0&amp;nonVirtPosition=&amp;position=chr11:23013386-23023741","chr11:23013386-23023741")</f>
        <v>chr11:23013386-23023741</v>
      </c>
      <c r="F225" t="s">
        <v>25</v>
      </c>
      <c r="G225">
        <v>-1.5796099401480199</v>
      </c>
      <c r="H225">
        <v>0.44652798886364198</v>
      </c>
      <c r="I225">
        <v>-3.5375384736081901</v>
      </c>
      <c r="J225">
        <v>4.0387534032800698E-4</v>
      </c>
      <c r="K225">
        <v>2.8154637410020899E-2</v>
      </c>
      <c r="L225" t="s">
        <v>26</v>
      </c>
      <c r="M225" t="s">
        <v>27</v>
      </c>
      <c r="N225">
        <v>139.05536411178099</v>
      </c>
      <c r="O225">
        <v>241.45351976736001</v>
      </c>
      <c r="P225">
        <v>62.256747370096598</v>
      </c>
      <c r="Q225">
        <v>458.82212537724303</v>
      </c>
      <c r="R225">
        <v>121.870867199841</v>
      </c>
      <c r="S225">
        <v>143.66756672499699</v>
      </c>
      <c r="T225">
        <v>60.682545566484599</v>
      </c>
      <c r="U225">
        <v>76.252708971097604</v>
      </c>
      <c r="V225">
        <v>62.201299608237001</v>
      </c>
      <c r="W225">
        <v>49.8904353345673</v>
      </c>
    </row>
    <row r="226" spans="1:23" x14ac:dyDescent="0.2">
      <c r="A226" t="s">
        <v>475</v>
      </c>
      <c r="B226" s="3" t="str">
        <f>HYPERLINK("http://www.ncbi.nlm.nih.gov/gene/241732","Tspyl3")</f>
        <v>Tspyl3</v>
      </c>
      <c r="C226">
        <v>241732</v>
      </c>
      <c r="D226" s="5" t="s">
        <v>476</v>
      </c>
      <c r="E226" s="3" t="str">
        <f>HYPERLINK("http://genome.ucsc.edu/cgi-bin/hgTracks?db=mm10&amp;lastVirtModeType=default&amp;lastVirtModeExtraState=&amp;virtModeType=default&amp;virtMode=0&amp;nonVirtPosition=&amp;position=chr2:153222369-153225441","chr2:153222369-153225441")</f>
        <v>chr2:153222369-153225441</v>
      </c>
      <c r="F226" t="s">
        <v>30</v>
      </c>
      <c r="G226" s="4">
        <v>0.86365924857897503</v>
      </c>
      <c r="H226">
        <v>0.24443574695252299</v>
      </c>
      <c r="I226">
        <v>3.5332771877540599</v>
      </c>
      <c r="J226">
        <v>4.1044189518725901E-4</v>
      </c>
      <c r="K226">
        <v>2.8373980737061599E-2</v>
      </c>
      <c r="L226" t="s">
        <v>26</v>
      </c>
      <c r="M226" t="s">
        <v>27</v>
      </c>
      <c r="N226">
        <v>257.06848355029302</v>
      </c>
      <c r="O226">
        <v>170.28790562071001</v>
      </c>
      <c r="P226">
        <v>322.15391699748102</v>
      </c>
      <c r="Q226">
        <v>160.05422978275899</v>
      </c>
      <c r="R226">
        <v>166.735417212969</v>
      </c>
      <c r="S226">
        <v>184.074069866402</v>
      </c>
      <c r="T226">
        <v>402.82881312219598</v>
      </c>
      <c r="U226">
        <v>280.93103305141199</v>
      </c>
      <c r="V226">
        <v>304.57188084033299</v>
      </c>
      <c r="W226">
        <v>300.28394097598101</v>
      </c>
    </row>
    <row r="227" spans="1:23" x14ac:dyDescent="0.2">
      <c r="A227" t="s">
        <v>477</v>
      </c>
      <c r="B227" s="3" t="str">
        <f>HYPERLINK("http://www.ncbi.nlm.nih.gov/gene/73102","Slc22a23")</f>
        <v>Slc22a23</v>
      </c>
      <c r="C227">
        <v>73102</v>
      </c>
      <c r="D227" s="5" t="s">
        <v>478</v>
      </c>
      <c r="E227" s="3" t="str">
        <f>HYPERLINK("http://genome.ucsc.edu/cgi-bin/hgTracks?db=mm10&amp;lastVirtModeType=default&amp;lastVirtModeExtraState=&amp;virtModeType=default&amp;virtMode=0&amp;nonVirtPosition=&amp;position=chr13:34179157-34345182","chr13:34179157-34345182")</f>
        <v>chr13:34179157-34345182</v>
      </c>
      <c r="F227" t="s">
        <v>30</v>
      </c>
      <c r="G227" s="4">
        <v>0.78068278434465799</v>
      </c>
      <c r="H227">
        <v>0.22095504150374501</v>
      </c>
      <c r="I227">
        <v>3.5332200570378398</v>
      </c>
      <c r="J227">
        <v>4.1053060610105898E-4</v>
      </c>
      <c r="K227">
        <v>2.8373980737061599E-2</v>
      </c>
      <c r="L227" t="s">
        <v>26</v>
      </c>
      <c r="M227" t="s">
        <v>27</v>
      </c>
      <c r="N227">
        <v>1966.77738409329</v>
      </c>
      <c r="O227">
        <v>1374.54428382624</v>
      </c>
      <c r="P227">
        <v>2410.9522092935799</v>
      </c>
      <c r="Q227">
        <v>1312.4446842186201</v>
      </c>
      <c r="R227">
        <v>1384.7744690619299</v>
      </c>
      <c r="S227">
        <v>1426.4136981981801</v>
      </c>
      <c r="T227">
        <v>2569.9703606401599</v>
      </c>
      <c r="U227">
        <v>2694.93126705747</v>
      </c>
      <c r="V227">
        <v>1762.01267683334</v>
      </c>
      <c r="W227">
        <v>2616.89453264334</v>
      </c>
    </row>
    <row r="228" spans="1:23" x14ac:dyDescent="0.2">
      <c r="A228" t="s">
        <v>479</v>
      </c>
      <c r="B228" s="3" t="str">
        <f>HYPERLINK("http://www.ncbi.nlm.nih.gov/gene/17968","Ncam2")</f>
        <v>Ncam2</v>
      </c>
      <c r="C228">
        <v>17968</v>
      </c>
      <c r="D228" s="5" t="s">
        <v>480</v>
      </c>
      <c r="E228" s="3" t="str">
        <f>HYPERLINK("http://genome.ucsc.edu/cgi-bin/hgTracks?db=mm10&amp;lastVirtModeType=default&amp;lastVirtModeExtraState=&amp;virtModeType=default&amp;virtMode=0&amp;nonVirtPosition=&amp;position=chr16:81200696-81597805","chr16:81200696-81597805")</f>
        <v>chr16:81200696-81597805</v>
      </c>
      <c r="F228" t="s">
        <v>25</v>
      </c>
      <c r="G228" s="4">
        <v>0.88114568478622701</v>
      </c>
      <c r="H228">
        <v>0.249801013996055</v>
      </c>
      <c r="I228">
        <v>3.5273903443808301</v>
      </c>
      <c r="J228">
        <v>4.1967755587606802E-4</v>
      </c>
      <c r="K228">
        <v>2.8820771191588299E-2</v>
      </c>
      <c r="L228" t="s">
        <v>26</v>
      </c>
      <c r="M228" t="s">
        <v>27</v>
      </c>
      <c r="N228">
        <v>3745.3654472824501</v>
      </c>
      <c r="O228">
        <v>2469.8324712530798</v>
      </c>
      <c r="P228">
        <v>4702.0151793044697</v>
      </c>
      <c r="Q228">
        <v>1867.29934746552</v>
      </c>
      <c r="R228">
        <v>2860.61727844901</v>
      </c>
      <c r="S228">
        <v>2681.5807878446999</v>
      </c>
      <c r="T228">
        <v>5343.2918048275897</v>
      </c>
      <c r="U228">
        <v>4488.2076947023197</v>
      </c>
      <c r="V228">
        <v>3731.0055402940802</v>
      </c>
      <c r="W228">
        <v>5245.5556773938897</v>
      </c>
    </row>
    <row r="229" spans="1:23" x14ac:dyDescent="0.2">
      <c r="A229" t="s">
        <v>481</v>
      </c>
      <c r="B229" s="3" t="str">
        <f>HYPERLINK("http://www.ncbi.nlm.nih.gov/gene/69368","Wdfy1")</f>
        <v>Wdfy1</v>
      </c>
      <c r="C229">
        <v>69368</v>
      </c>
      <c r="D229" s="5" t="s">
        <v>482</v>
      </c>
      <c r="E229" s="3" t="str">
        <f>HYPERLINK("http://genome.ucsc.edu/cgi-bin/hgTracks?db=mm10&amp;lastVirtModeType=default&amp;lastVirtModeExtraState=&amp;virtModeType=default&amp;virtMode=0&amp;nonVirtPosition=&amp;position=chr1:79702261-79761769","chr1:79702261-79761769")</f>
        <v>chr1:79702261-79761769</v>
      </c>
      <c r="F229" t="s">
        <v>30</v>
      </c>
      <c r="G229" s="4">
        <v>1.0402554099465799</v>
      </c>
      <c r="H229">
        <v>0.29495439088071201</v>
      </c>
      <c r="I229">
        <v>3.5268347992394902</v>
      </c>
      <c r="J229">
        <v>4.20559080023176E-4</v>
      </c>
      <c r="K229">
        <v>2.8820771191588299E-2</v>
      </c>
      <c r="L229" t="s">
        <v>26</v>
      </c>
      <c r="M229" t="s">
        <v>27</v>
      </c>
      <c r="N229">
        <v>1095.72063947273</v>
      </c>
      <c r="O229">
        <v>655.49342946040599</v>
      </c>
      <c r="P229">
        <v>1425.89104698198</v>
      </c>
      <c r="Q229">
        <v>554.85466324689799</v>
      </c>
      <c r="R229">
        <v>500.87587178835702</v>
      </c>
      <c r="S229">
        <v>910.74975334596297</v>
      </c>
      <c r="T229">
        <v>1045.1600135333899</v>
      </c>
      <c r="U229">
        <v>1684.2484314844201</v>
      </c>
      <c r="V229">
        <v>1682.6523980228301</v>
      </c>
      <c r="W229">
        <v>1291.50334488729</v>
      </c>
    </row>
    <row r="230" spans="1:23" x14ac:dyDescent="0.2">
      <c r="A230" t="s">
        <v>483</v>
      </c>
      <c r="B230" s="3" t="str">
        <f>HYPERLINK("http://www.ncbi.nlm.nih.gov/gene/75767","Rab11fip1")</f>
        <v>Rab11fip1</v>
      </c>
      <c r="C230">
        <v>75767</v>
      </c>
      <c r="D230" t="s">
        <v>484</v>
      </c>
      <c r="E230" s="3" t="str">
        <f>HYPERLINK("http://genome.ucsc.edu/cgi-bin/hgTracks?db=mm10&amp;lastVirtModeType=default&amp;lastVirtModeExtraState=&amp;virtModeType=default&amp;virtMode=0&amp;nonVirtPosition=&amp;position=chr8:27138772-27174646","chr8:27138772-27174646")</f>
        <v>chr8:27138772-27174646</v>
      </c>
      <c r="F230" t="s">
        <v>30</v>
      </c>
      <c r="G230">
        <v>-1.60292851590688</v>
      </c>
      <c r="H230">
        <v>0.45493570659270699</v>
      </c>
      <c r="I230">
        <v>-3.5234176888690598</v>
      </c>
      <c r="J230">
        <v>4.2601939917288201E-4</v>
      </c>
      <c r="K230">
        <v>2.9071779505582401E-2</v>
      </c>
      <c r="L230" t="s">
        <v>26</v>
      </c>
      <c r="M230" t="s">
        <v>27</v>
      </c>
      <c r="N230">
        <v>192.57846689013499</v>
      </c>
      <c r="O230">
        <v>335.22720603560902</v>
      </c>
      <c r="P230">
        <v>85.591912531029195</v>
      </c>
      <c r="Q230">
        <v>640.216919131037</v>
      </c>
      <c r="R230">
        <v>194.85946348985601</v>
      </c>
      <c r="S230">
        <v>170.605235485934</v>
      </c>
      <c r="T230">
        <v>80.694874423516794</v>
      </c>
      <c r="U230">
        <v>80.2660094432606</v>
      </c>
      <c r="V230">
        <v>128.69234401704199</v>
      </c>
      <c r="W230">
        <v>52.714422240297502</v>
      </c>
    </row>
    <row r="231" spans="1:23" x14ac:dyDescent="0.2">
      <c r="A231" t="s">
        <v>485</v>
      </c>
      <c r="B231" s="3" t="str">
        <f>HYPERLINK("http://www.ncbi.nlm.nih.gov/gene/213119","Itga10")</f>
        <v>Itga10</v>
      </c>
      <c r="C231">
        <v>213119</v>
      </c>
      <c r="D231" t="s">
        <v>486</v>
      </c>
      <c r="E231" s="3" t="str">
        <f>HYPERLINK("http://genome.ucsc.edu/cgi-bin/hgTracks?db=mm10&amp;lastVirtModeType=default&amp;lastVirtModeExtraState=&amp;virtModeType=default&amp;virtMode=0&amp;nonVirtPosition=&amp;position=chr3:96645583-96664519","chr3:96645583-96664519")</f>
        <v>chr3:96645583-96664519</v>
      </c>
      <c r="F231" t="s">
        <v>25</v>
      </c>
      <c r="G231">
        <v>-1.4584285534015999</v>
      </c>
      <c r="H231">
        <v>0.41427122081328899</v>
      </c>
      <c r="I231">
        <v>-3.5204679449816498</v>
      </c>
      <c r="J231">
        <v>4.3078605896645802E-4</v>
      </c>
      <c r="K231">
        <v>2.9273541729682901E-2</v>
      </c>
      <c r="L231" t="s">
        <v>26</v>
      </c>
      <c r="M231" t="s">
        <v>27</v>
      </c>
      <c r="N231">
        <v>115.150947548934</v>
      </c>
      <c r="O231">
        <v>193.00239538776199</v>
      </c>
      <c r="P231">
        <v>56.7623616698137</v>
      </c>
      <c r="Q231">
        <v>320.10845956551799</v>
      </c>
      <c r="R231">
        <v>116.51390600424401</v>
      </c>
      <c r="S231">
        <v>142.38482059352401</v>
      </c>
      <c r="T231">
        <v>49.708042644886397</v>
      </c>
      <c r="U231">
        <v>74.246058735016106</v>
      </c>
      <c r="V231">
        <v>57.9115548076689</v>
      </c>
      <c r="W231">
        <v>45.183790491683602</v>
      </c>
    </row>
    <row r="232" spans="1:23" x14ac:dyDescent="0.2">
      <c r="A232" t="s">
        <v>487</v>
      </c>
      <c r="B232" s="3" t="str">
        <f>HYPERLINK("http://www.ncbi.nlm.nih.gov/gene/14012","Mpzl2")</f>
        <v>Mpzl2</v>
      </c>
      <c r="C232">
        <v>14012</v>
      </c>
      <c r="D232" t="s">
        <v>488</v>
      </c>
      <c r="E232" s="3" t="str">
        <f>HYPERLINK("http://genome.ucsc.edu/cgi-bin/hgTracks?db=mm10&amp;lastVirtModeType=default&amp;lastVirtModeExtraState=&amp;virtModeType=default&amp;virtMode=0&amp;nonVirtPosition=&amp;position=chr9:45042343-45054043","chr9:45042343-45054043")</f>
        <v>chr9:45042343-45054043</v>
      </c>
      <c r="F232" t="s">
        <v>25</v>
      </c>
      <c r="G232">
        <v>-1.9942830657849899</v>
      </c>
      <c r="H232">
        <v>0.56804858369201405</v>
      </c>
      <c r="I232">
        <v>-3.5107614437187902</v>
      </c>
      <c r="J232">
        <v>4.4682518435920599E-4</v>
      </c>
      <c r="K232">
        <v>3.02364171826002E-2</v>
      </c>
      <c r="L232" t="s">
        <v>26</v>
      </c>
      <c r="M232" t="s">
        <v>27</v>
      </c>
      <c r="N232">
        <v>151.87440543357101</v>
      </c>
      <c r="O232">
        <v>300.04062747462501</v>
      </c>
      <c r="P232">
        <v>40.749738902779796</v>
      </c>
      <c r="Q232">
        <v>373.45986949310497</v>
      </c>
      <c r="R232">
        <v>123.87972764819</v>
      </c>
      <c r="S232">
        <v>402.78228528258097</v>
      </c>
      <c r="T232">
        <v>66.492576524977807</v>
      </c>
      <c r="U232">
        <v>14.7154350645978</v>
      </c>
      <c r="V232">
        <v>76.142970210083206</v>
      </c>
      <c r="W232">
        <v>5.6479738114604503</v>
      </c>
    </row>
    <row r="233" spans="1:23" x14ac:dyDescent="0.2">
      <c r="A233" t="s">
        <v>489</v>
      </c>
      <c r="B233" s="3" t="str">
        <f>HYPERLINK("http://www.ncbi.nlm.nih.gov/gene/435684","Shf")</f>
        <v>Shf</v>
      </c>
      <c r="C233">
        <v>435684</v>
      </c>
      <c r="D233" t="s">
        <v>490</v>
      </c>
      <c r="E233" s="3" t="str">
        <f>HYPERLINK("http://genome.ucsc.edu/cgi-bin/hgTracks?db=mm10&amp;lastVirtModeType=default&amp;lastVirtModeExtraState=&amp;virtModeType=default&amp;virtMode=0&amp;nonVirtPosition=&amp;position=chr2:122348891-122368918","chr2:122348891-122368918")</f>
        <v>chr2:122348891-122368918</v>
      </c>
      <c r="F233" t="s">
        <v>30</v>
      </c>
      <c r="G233">
        <v>-1.29844197332652</v>
      </c>
      <c r="H233">
        <v>0.37092957358129203</v>
      </c>
      <c r="I233">
        <v>-3.5005080904986299</v>
      </c>
      <c r="J233">
        <v>4.6437214257942798E-4</v>
      </c>
      <c r="K233">
        <v>3.1031016659720499E-2</v>
      </c>
      <c r="L233" t="s">
        <v>26</v>
      </c>
      <c r="M233" t="s">
        <v>27</v>
      </c>
      <c r="N233">
        <v>862.27757609287403</v>
      </c>
      <c r="O233">
        <v>1346.9776648787699</v>
      </c>
      <c r="P233">
        <v>498.75250950345401</v>
      </c>
      <c r="Q233">
        <v>768.26030295724399</v>
      </c>
      <c r="R233">
        <v>1286.34030709283</v>
      </c>
      <c r="S233">
        <v>1986.3323845862301</v>
      </c>
      <c r="T233">
        <v>802.42983126745105</v>
      </c>
      <c r="U233">
        <v>462.19843771077598</v>
      </c>
      <c r="V233">
        <v>349.61420124629802</v>
      </c>
      <c r="W233">
        <v>380.767567789292</v>
      </c>
    </row>
    <row r="234" spans="1:23" x14ac:dyDescent="0.2">
      <c r="A234" t="s">
        <v>491</v>
      </c>
      <c r="B234" s="3" t="str">
        <f>HYPERLINK("http://www.ncbi.nlm.nih.gov/gene/434246","Trim72")</f>
        <v>Trim72</v>
      </c>
      <c r="C234">
        <v>434246</v>
      </c>
      <c r="D234" t="s">
        <v>492</v>
      </c>
      <c r="E234" s="3" t="str">
        <f>HYPERLINK("http://genome.ucsc.edu/cgi-bin/hgTracks?db=mm10&amp;lastVirtModeType=default&amp;lastVirtModeExtraState=&amp;virtModeType=default&amp;virtMode=0&amp;nonVirtPosition=&amp;position=chr7:128004377-128011393","chr7:128004377-128011393")</f>
        <v>chr7:128004377-128011393</v>
      </c>
      <c r="F234" t="s">
        <v>25</v>
      </c>
      <c r="G234">
        <v>-2.13348045333667</v>
      </c>
      <c r="H234">
        <v>0.609521045559276</v>
      </c>
      <c r="I234">
        <v>-3.50025724112457</v>
      </c>
      <c r="J234">
        <v>4.64809380377724E-4</v>
      </c>
      <c r="K234">
        <v>3.1031016659720499E-2</v>
      </c>
      <c r="L234" t="s">
        <v>26</v>
      </c>
      <c r="M234" t="s">
        <v>27</v>
      </c>
      <c r="N234">
        <v>37.257079554441503</v>
      </c>
      <c r="O234">
        <v>80.183962492384694</v>
      </c>
      <c r="P234">
        <v>5.0619173509841797</v>
      </c>
      <c r="Q234">
        <v>192.065075739311</v>
      </c>
      <c r="R234">
        <v>39.507588817530902</v>
      </c>
      <c r="S234">
        <v>8.97922292031231</v>
      </c>
      <c r="T234">
        <v>3.22779497694067</v>
      </c>
      <c r="U234">
        <v>6.6888341202717196</v>
      </c>
      <c r="V234">
        <v>7.5070534009941197</v>
      </c>
      <c r="W234">
        <v>2.8239869057302198</v>
      </c>
    </row>
    <row r="235" spans="1:23" x14ac:dyDescent="0.2">
      <c r="A235" t="s">
        <v>493</v>
      </c>
      <c r="B235" s="3" t="str">
        <f>HYPERLINK("http://www.ncbi.nlm.nih.gov/gene/237465","Ccdc38")</f>
        <v>Ccdc38</v>
      </c>
      <c r="C235">
        <v>237465</v>
      </c>
      <c r="D235" t="s">
        <v>494</v>
      </c>
      <c r="E235" s="3" t="str">
        <f>HYPERLINK("http://genome.ucsc.edu/cgi-bin/hgTracks?db=mm10&amp;lastVirtModeType=default&amp;lastVirtModeExtraState=&amp;virtModeType=default&amp;virtMode=0&amp;nonVirtPosition=&amp;position=chr10:93540631-93584326","chr10:93540631-93584326")</f>
        <v>chr10:93540631-93584326</v>
      </c>
      <c r="F235" t="s">
        <v>25</v>
      </c>
      <c r="G235">
        <v>-2.0789665188811499</v>
      </c>
      <c r="H235">
        <v>0.593946814623037</v>
      </c>
      <c r="I235">
        <v>-3.5002570393455401</v>
      </c>
      <c r="J235">
        <v>4.6480973223902202E-4</v>
      </c>
      <c r="K235">
        <v>3.1031016659720499E-2</v>
      </c>
      <c r="L235" t="s">
        <v>26</v>
      </c>
      <c r="M235" t="s">
        <v>27</v>
      </c>
      <c r="N235">
        <v>46.715454450972402</v>
      </c>
      <c r="O235">
        <v>97.244012638804406</v>
      </c>
      <c r="P235">
        <v>8.8190358100983293</v>
      </c>
      <c r="Q235">
        <v>234.74620368138</v>
      </c>
      <c r="R235">
        <v>28.1240462768864</v>
      </c>
      <c r="S235">
        <v>28.861787958146699</v>
      </c>
      <c r="T235">
        <v>13.5567389031508</v>
      </c>
      <c r="U235">
        <v>8.69548435635323</v>
      </c>
      <c r="V235">
        <v>6.4346172008521103</v>
      </c>
      <c r="W235">
        <v>6.5893027800371904</v>
      </c>
    </row>
    <row r="236" spans="1:23" x14ac:dyDescent="0.2">
      <c r="A236" t="s">
        <v>495</v>
      </c>
      <c r="B236" s="3" t="str">
        <f>HYPERLINK("http://www.ncbi.nlm.nih.gov/gene/244653","Hydin")</f>
        <v>Hydin</v>
      </c>
      <c r="C236">
        <v>244653</v>
      </c>
      <c r="D236" t="s">
        <v>496</v>
      </c>
      <c r="E236" s="3" t="str">
        <f>HYPERLINK("http://genome.ucsc.edu/cgi-bin/hgTracks?db=mm10&amp;lastVirtModeType=default&amp;lastVirtModeExtraState=&amp;virtModeType=default&amp;virtMode=0&amp;nonVirtPosition=&amp;position=chr8:110266976-110610253","chr8:110266976-110610253")</f>
        <v>chr8:110266976-110610253</v>
      </c>
      <c r="F236" t="s">
        <v>25</v>
      </c>
      <c r="G236">
        <v>-2.0886404257928</v>
      </c>
      <c r="H236">
        <v>0.59685046894583105</v>
      </c>
      <c r="I236">
        <v>-3.49943668383438</v>
      </c>
      <c r="J236">
        <v>4.6624232042985801E-4</v>
      </c>
      <c r="K236">
        <v>3.1031016659720499E-2</v>
      </c>
      <c r="L236" t="s">
        <v>26</v>
      </c>
      <c r="M236" t="s">
        <v>27</v>
      </c>
      <c r="N236">
        <v>160.77652848003399</v>
      </c>
      <c r="O236">
        <v>333.25069885210598</v>
      </c>
      <c r="P236">
        <v>31.4209007009791</v>
      </c>
      <c r="Q236">
        <v>704.23861104414004</v>
      </c>
      <c r="R236">
        <v>117.85314630314301</v>
      </c>
      <c r="S236">
        <v>177.66033920903601</v>
      </c>
      <c r="T236">
        <v>27.759036801689799</v>
      </c>
      <c r="U236">
        <v>34.781937425412899</v>
      </c>
      <c r="V236">
        <v>62.201299608237001</v>
      </c>
      <c r="W236">
        <v>0.94132896857674198</v>
      </c>
    </row>
    <row r="237" spans="1:23" x14ac:dyDescent="0.2">
      <c r="A237" t="s">
        <v>497</v>
      </c>
      <c r="B237" s="3" t="str">
        <f>HYPERLINK("http://www.ncbi.nlm.nih.gov/gene/320864","Krt26")</f>
        <v>Krt26</v>
      </c>
      <c r="C237">
        <v>320864</v>
      </c>
      <c r="D237" t="s">
        <v>498</v>
      </c>
      <c r="E237" s="3" t="str">
        <f>HYPERLINK("http://genome.ucsc.edu/cgi-bin/hgTracks?db=mm10&amp;lastVirtModeType=default&amp;lastVirtModeExtraState=&amp;virtModeType=default&amp;virtMode=0&amp;nonVirtPosition=&amp;position=chr11:99328483-99337965","chr11:99328483-99337965")</f>
        <v>chr11:99328483-99337965</v>
      </c>
      <c r="F237" t="s">
        <v>30</v>
      </c>
      <c r="G237">
        <v>-2.1274252753659599</v>
      </c>
      <c r="H237">
        <v>0.60825716995330203</v>
      </c>
      <c r="I237">
        <v>-3.4975753356582602</v>
      </c>
      <c r="J237">
        <v>4.69508086773039E-4</v>
      </c>
      <c r="K237">
        <v>3.1120304456476899E-2</v>
      </c>
      <c r="L237" t="s">
        <v>26</v>
      </c>
      <c r="M237" t="s">
        <v>27</v>
      </c>
      <c r="N237">
        <v>28.9842346859648</v>
      </c>
      <c r="O237">
        <v>66.188695736010501</v>
      </c>
      <c r="P237">
        <v>1.0808888984304299</v>
      </c>
      <c r="Q237">
        <v>170.72451176827599</v>
      </c>
      <c r="R237">
        <v>21.427844782389599</v>
      </c>
      <c r="S237">
        <v>6.4137306573659298</v>
      </c>
      <c r="T237">
        <v>2.58223598155254</v>
      </c>
      <c r="U237">
        <v>0.66888341202717205</v>
      </c>
      <c r="V237">
        <v>1.07243620014202</v>
      </c>
      <c r="W237">
        <v>0</v>
      </c>
    </row>
    <row r="238" spans="1:23" x14ac:dyDescent="0.2">
      <c r="A238" t="s">
        <v>499</v>
      </c>
      <c r="B238" s="3" t="str">
        <f>HYPERLINK("http://www.ncbi.nlm.nih.gov/gene/210762","Ppp1r36")</f>
        <v>Ppp1r36</v>
      </c>
      <c r="C238">
        <v>210762</v>
      </c>
      <c r="D238" t="s">
        <v>500</v>
      </c>
      <c r="E238" s="3" t="str">
        <f>HYPERLINK("http://genome.ucsc.edu/cgi-bin/hgTracks?db=mm10&amp;lastVirtModeType=default&amp;lastVirtModeExtraState=&amp;virtModeType=default&amp;virtMode=0&amp;nonVirtPosition=&amp;position=chr12:76417598-76439491","chr12:76417598-76439491")</f>
        <v>chr12:76417598-76439491</v>
      </c>
      <c r="F238" t="s">
        <v>25</v>
      </c>
      <c r="G238">
        <v>-1.96279559270809</v>
      </c>
      <c r="H238">
        <v>0.56154560960164801</v>
      </c>
      <c r="I238">
        <v>-3.4953449179319001</v>
      </c>
      <c r="J238">
        <v>4.7344949640193499E-4</v>
      </c>
      <c r="K238">
        <v>3.11306964238026E-2</v>
      </c>
      <c r="L238" t="s">
        <v>26</v>
      </c>
      <c r="M238" t="s">
        <v>27</v>
      </c>
      <c r="N238">
        <v>62.156657108360399</v>
      </c>
      <c r="O238">
        <v>122.94170023204499</v>
      </c>
      <c r="P238">
        <v>16.567874765597299</v>
      </c>
      <c r="Q238">
        <v>266.75704963793203</v>
      </c>
      <c r="R238">
        <v>62.944294048269498</v>
      </c>
      <c r="S238">
        <v>39.123757009932199</v>
      </c>
      <c r="T238">
        <v>16.138974884703401</v>
      </c>
      <c r="U238">
        <v>16.053201888652101</v>
      </c>
      <c r="V238">
        <v>24.666032603266402</v>
      </c>
      <c r="W238">
        <v>9.4132896857674204</v>
      </c>
    </row>
    <row r="239" spans="1:23" x14ac:dyDescent="0.2">
      <c r="A239" t="s">
        <v>501</v>
      </c>
      <c r="B239" s="3" t="str">
        <f>HYPERLINK("http://www.ncbi.nlm.nih.gov/gene/67703","Kirrel3")</f>
        <v>Kirrel3</v>
      </c>
      <c r="C239">
        <v>67703</v>
      </c>
      <c r="D239" t="s">
        <v>502</v>
      </c>
      <c r="E239" s="3" t="str">
        <f>HYPERLINK("http://genome.ucsc.edu/cgi-bin/hgTracks?db=mm10&amp;lastVirtModeType=default&amp;lastVirtModeExtraState=&amp;virtModeType=default&amp;virtMode=0&amp;nonVirtPosition=&amp;position=chr9:34488730-35036307","chr9:34488730-35036307")</f>
        <v>chr9:34488730-35036307</v>
      </c>
      <c r="F239" t="s">
        <v>25</v>
      </c>
      <c r="G239">
        <v>-0.923241331530811</v>
      </c>
      <c r="H239">
        <v>0.26413731497127502</v>
      </c>
      <c r="I239">
        <v>-3.4953082325047999</v>
      </c>
      <c r="J239">
        <v>4.7351458110773698E-4</v>
      </c>
      <c r="K239">
        <v>3.11306964238026E-2</v>
      </c>
      <c r="L239" t="s">
        <v>26</v>
      </c>
      <c r="M239" t="s">
        <v>27</v>
      </c>
      <c r="N239">
        <v>944.60068587124704</v>
      </c>
      <c r="O239">
        <v>1303.7364719300599</v>
      </c>
      <c r="P239">
        <v>675.24884632713497</v>
      </c>
      <c r="Q239">
        <v>810.94143089931299</v>
      </c>
      <c r="R239">
        <v>1517.3592586529601</v>
      </c>
      <c r="S239">
        <v>1582.9087262379101</v>
      </c>
      <c r="T239">
        <v>602.30654269712898</v>
      </c>
      <c r="U239">
        <v>625.40599024540597</v>
      </c>
      <c r="V239">
        <v>759.28482970054802</v>
      </c>
      <c r="W239">
        <v>713.99802266545805</v>
      </c>
    </row>
    <row r="240" spans="1:23" x14ac:dyDescent="0.2">
      <c r="A240" t="s">
        <v>503</v>
      </c>
      <c r="B240" s="3" t="str">
        <f>HYPERLINK("http://www.ncbi.nlm.nih.gov/gene/18647","Cdk14")</f>
        <v>Cdk14</v>
      </c>
      <c r="C240">
        <v>18647</v>
      </c>
      <c r="D240" s="5" t="s">
        <v>504</v>
      </c>
      <c r="E240" s="3" t="str">
        <f>HYPERLINK("http://genome.ucsc.edu/cgi-bin/hgTracks?db=mm10&amp;lastVirtModeType=default&amp;lastVirtModeExtraState=&amp;virtModeType=default&amp;virtMode=0&amp;nonVirtPosition=&amp;position=chr5:4803383-5380251","chr5:4803383-5380251")</f>
        <v>chr5:4803383-5380251</v>
      </c>
      <c r="F240" t="s">
        <v>30</v>
      </c>
      <c r="G240" s="4">
        <v>0.93475600720838004</v>
      </c>
      <c r="H240">
        <v>0.26803169244832697</v>
      </c>
      <c r="I240">
        <v>3.4874831355571501</v>
      </c>
      <c r="J240">
        <v>4.8758967281702E-4</v>
      </c>
      <c r="K240">
        <v>3.1888938061827202E-2</v>
      </c>
      <c r="L240" t="s">
        <v>26</v>
      </c>
      <c r="M240" t="s">
        <v>27</v>
      </c>
      <c r="N240">
        <v>3602.0601751337299</v>
      </c>
      <c r="O240">
        <v>2311.42513040625</v>
      </c>
      <c r="P240">
        <v>4570.0364586793403</v>
      </c>
      <c r="Q240">
        <v>2379.4728827703502</v>
      </c>
      <c r="R240">
        <v>2366.43760815515</v>
      </c>
      <c r="S240">
        <v>2188.3649002932598</v>
      </c>
      <c r="T240">
        <v>6118.60815828874</v>
      </c>
      <c r="U240">
        <v>3709.6274031026901</v>
      </c>
      <c r="V240">
        <v>5056.5366836696103</v>
      </c>
      <c r="W240">
        <v>3395.3735896563098</v>
      </c>
    </row>
    <row r="241" spans="1:23" x14ac:dyDescent="0.2">
      <c r="A241" t="s">
        <v>505</v>
      </c>
      <c r="B241" s="3" t="str">
        <f>HYPERLINK("http://www.ncbi.nlm.nih.gov/gene/57810","Cdon")</f>
        <v>Cdon</v>
      </c>
      <c r="C241">
        <v>57810</v>
      </c>
      <c r="D241" t="s">
        <v>506</v>
      </c>
      <c r="E241" s="3" t="str">
        <f>HYPERLINK("http://genome.ucsc.edu/cgi-bin/hgTracks?db=mm10&amp;lastVirtModeType=default&amp;lastVirtModeExtraState=&amp;virtModeType=default&amp;virtMode=0&amp;nonVirtPosition=&amp;position=chr9:35452075-35507652","chr9:35452075-35507652")</f>
        <v>chr9:35452075-35507652</v>
      </c>
      <c r="F241" t="s">
        <v>25</v>
      </c>
      <c r="G241">
        <v>-1.21098306873956</v>
      </c>
      <c r="H241">
        <v>0.34731341963801399</v>
      </c>
      <c r="I241">
        <v>-3.4867154571847601</v>
      </c>
      <c r="J241">
        <v>4.8899132129679996E-4</v>
      </c>
      <c r="K241">
        <v>3.1888938061827202E-2</v>
      </c>
      <c r="L241" t="s">
        <v>26</v>
      </c>
      <c r="M241" t="s">
        <v>27</v>
      </c>
      <c r="N241">
        <v>430.50720599090801</v>
      </c>
      <c r="O241">
        <v>653.45539449955299</v>
      </c>
      <c r="P241">
        <v>263.29606460942398</v>
      </c>
      <c r="Q241">
        <v>501.50325331931202</v>
      </c>
      <c r="R241">
        <v>601.98851435525796</v>
      </c>
      <c r="S241">
        <v>856.87441582408906</v>
      </c>
      <c r="T241">
        <v>380.87980727899901</v>
      </c>
      <c r="U241">
        <v>260.19564727856999</v>
      </c>
      <c r="V241">
        <v>275.61610343649897</v>
      </c>
      <c r="W241">
        <v>136.492700443628</v>
      </c>
    </row>
    <row r="242" spans="1:23" x14ac:dyDescent="0.2">
      <c r="A242" t="s">
        <v>507</v>
      </c>
      <c r="B242" s="3" t="str">
        <f>HYPERLINK("http://www.ncbi.nlm.nih.gov/gene/100504518","3425401B19Rik")</f>
        <v>3425401B19Rik</v>
      </c>
      <c r="C242">
        <v>100504518</v>
      </c>
      <c r="D242" t="s">
        <v>508</v>
      </c>
      <c r="E242" s="3" t="str">
        <f>HYPERLINK("http://genome.ucsc.edu/cgi-bin/hgTracks?db=mm10&amp;lastVirtModeType=default&amp;lastVirtModeExtraState=&amp;virtModeType=default&amp;virtMode=0&amp;nonVirtPosition=&amp;position=chr14:32659118-32685272","chr14:32659118-32685272")</f>
        <v>chr14:32659118-32685272</v>
      </c>
      <c r="F242" t="s">
        <v>30</v>
      </c>
      <c r="G242">
        <v>-2.1374083110253301</v>
      </c>
      <c r="H242">
        <v>0.61417232919713505</v>
      </c>
      <c r="I242">
        <v>-3.4801442680093002</v>
      </c>
      <c r="J242">
        <v>5.01143846356302E-4</v>
      </c>
      <c r="K242">
        <v>3.2550198502491898E-2</v>
      </c>
      <c r="L242" t="s">
        <v>26</v>
      </c>
      <c r="M242" t="s">
        <v>27</v>
      </c>
      <c r="N242">
        <v>29.476952426641699</v>
      </c>
      <c r="O242">
        <v>65.1263863677991</v>
      </c>
      <c r="P242">
        <v>2.7398769707735999</v>
      </c>
      <c r="Q242">
        <v>170.72451176827599</v>
      </c>
      <c r="R242">
        <v>6.6962014944967496</v>
      </c>
      <c r="S242">
        <v>17.958445840624599</v>
      </c>
      <c r="T242">
        <v>2.58223598155254</v>
      </c>
      <c r="U242">
        <v>2.67553364810869</v>
      </c>
      <c r="V242">
        <v>4.2897448005680703</v>
      </c>
      <c r="W242">
        <v>1.4119934528651099</v>
      </c>
    </row>
    <row r="243" spans="1:23" x14ac:dyDescent="0.2">
      <c r="A243" t="s">
        <v>509</v>
      </c>
      <c r="B243" s="3" t="str">
        <f>HYPERLINK("http://www.ncbi.nlm.nih.gov/gene/235534","Pxylp1")</f>
        <v>Pxylp1</v>
      </c>
      <c r="C243">
        <v>235534</v>
      </c>
      <c r="D243" t="s">
        <v>510</v>
      </c>
      <c r="E243" s="3" t="str">
        <f>HYPERLINK("http://genome.ucsc.edu/cgi-bin/hgTracks?db=mm10&amp;lastVirtModeType=default&amp;lastVirtModeExtraState=&amp;virtModeType=default&amp;virtMode=0&amp;nonVirtPosition=&amp;position=chr9:96823342-96889474","chr9:96823342-96889474")</f>
        <v>chr9:96823342-96889474</v>
      </c>
      <c r="F243" t="s">
        <v>30</v>
      </c>
      <c r="G243">
        <v>-1.0316313943934701</v>
      </c>
      <c r="H243">
        <v>0.29685738946443002</v>
      </c>
      <c r="I243">
        <v>-3.47517505376796</v>
      </c>
      <c r="J243">
        <v>5.1052008522937801E-4</v>
      </c>
      <c r="K243">
        <v>3.3026565353658902E-2</v>
      </c>
      <c r="L243" t="s">
        <v>26</v>
      </c>
      <c r="M243" t="s">
        <v>27</v>
      </c>
      <c r="N243">
        <v>349.42114283735299</v>
      </c>
      <c r="O243">
        <v>498.05602022210098</v>
      </c>
      <c r="P243">
        <v>237.94498479879201</v>
      </c>
      <c r="Q243">
        <v>330.77874155103598</v>
      </c>
      <c r="R243">
        <v>454.67208147632999</v>
      </c>
      <c r="S243">
        <v>708.71723763893601</v>
      </c>
      <c r="T243">
        <v>295.020460892377</v>
      </c>
      <c r="U243">
        <v>243.47356197789</v>
      </c>
      <c r="V243">
        <v>200.54556942655699</v>
      </c>
      <c r="W243">
        <v>212.740346898344</v>
      </c>
    </row>
    <row r="244" spans="1:23" x14ac:dyDescent="0.2">
      <c r="A244" t="s">
        <v>511</v>
      </c>
      <c r="B244" s="3" t="str">
        <f>HYPERLINK("http://www.ncbi.nlm.nih.gov/gene/99439","Duox1")</f>
        <v>Duox1</v>
      </c>
      <c r="C244">
        <v>99439</v>
      </c>
      <c r="D244" t="s">
        <v>512</v>
      </c>
      <c r="E244" s="3" t="str">
        <f>HYPERLINK("http://genome.ucsc.edu/cgi-bin/hgTracks?db=mm10&amp;lastVirtModeType=default&amp;lastVirtModeExtraState=&amp;virtModeType=default&amp;virtMode=0&amp;nonVirtPosition=&amp;position=chr2:122315671-122347972","chr2:122315671-122347972")</f>
        <v>chr2:122315671-122347972</v>
      </c>
      <c r="F244" t="s">
        <v>25</v>
      </c>
      <c r="G244">
        <v>-2.0439484480477601</v>
      </c>
      <c r="H244">
        <v>0.58850646078381896</v>
      </c>
      <c r="I244">
        <v>-3.47311131525296</v>
      </c>
      <c r="J244">
        <v>5.1446193307071999E-4</v>
      </c>
      <c r="K244">
        <v>3.31489754723217E-2</v>
      </c>
      <c r="L244" t="s">
        <v>26</v>
      </c>
      <c r="M244" t="s">
        <v>27</v>
      </c>
      <c r="N244">
        <v>61.335282726488202</v>
      </c>
      <c r="O244">
        <v>125.757390975994</v>
      </c>
      <c r="P244">
        <v>13.018701539359</v>
      </c>
      <c r="Q244">
        <v>277.42733162344899</v>
      </c>
      <c r="R244">
        <v>25.4455656790877</v>
      </c>
      <c r="S244">
        <v>74.399275625444801</v>
      </c>
      <c r="T244">
        <v>5.1644719631050799</v>
      </c>
      <c r="U244">
        <v>24.079802832978199</v>
      </c>
      <c r="V244">
        <v>9.6519258012781606</v>
      </c>
      <c r="W244">
        <v>13.1786055600744</v>
      </c>
    </row>
    <row r="245" spans="1:23" x14ac:dyDescent="0.2">
      <c r="A245" t="s">
        <v>513</v>
      </c>
      <c r="B245" s="3" t="str">
        <f>HYPERLINK("http://www.ncbi.nlm.nih.gov/gene/242202","Pde5a")</f>
        <v>Pde5a</v>
      </c>
      <c r="C245">
        <v>242202</v>
      </c>
      <c r="D245" t="s">
        <v>514</v>
      </c>
      <c r="E245" s="3" t="str">
        <f>HYPERLINK("http://genome.ucsc.edu/cgi-bin/hgTracks?db=mm10&amp;lastVirtModeType=default&amp;lastVirtModeExtraState=&amp;virtModeType=default&amp;virtMode=0&amp;nonVirtPosition=&amp;position=chr3:122729157-122859374","chr3:122729157-122859374")</f>
        <v>chr3:122729157-122859374</v>
      </c>
      <c r="F245" t="s">
        <v>25</v>
      </c>
      <c r="G245">
        <v>-1.75671287398059</v>
      </c>
      <c r="H245">
        <v>0.50607570191950602</v>
      </c>
      <c r="I245">
        <v>-3.4712452451629501</v>
      </c>
      <c r="J245">
        <v>5.1805063008899404E-4</v>
      </c>
      <c r="K245">
        <v>3.3247749366782903E-2</v>
      </c>
      <c r="L245" t="s">
        <v>26</v>
      </c>
      <c r="M245" t="s">
        <v>27</v>
      </c>
      <c r="N245">
        <v>1044.21455956467</v>
      </c>
      <c r="O245">
        <v>1897.0400623466701</v>
      </c>
      <c r="P245">
        <v>404.59543247816401</v>
      </c>
      <c r="Q245">
        <v>629.54663714551896</v>
      </c>
      <c r="R245">
        <v>1699.49593930328</v>
      </c>
      <c r="S245">
        <v>3362.07761059122</v>
      </c>
      <c r="T245">
        <v>704.95042296384304</v>
      </c>
      <c r="U245">
        <v>380.59466144346101</v>
      </c>
      <c r="V245">
        <v>435.40909725765903</v>
      </c>
      <c r="W245">
        <v>97.427548247692698</v>
      </c>
    </row>
    <row r="246" spans="1:23" x14ac:dyDescent="0.2">
      <c r="A246" t="s">
        <v>515</v>
      </c>
      <c r="B246" s="3" t="str">
        <f>HYPERLINK("http://www.ncbi.nlm.nih.gov/gene/269633","Wdr86")</f>
        <v>Wdr86</v>
      </c>
      <c r="C246">
        <v>269633</v>
      </c>
      <c r="D246" t="s">
        <v>516</v>
      </c>
      <c r="E246" s="3" t="str">
        <f>HYPERLINK("http://genome.ucsc.edu/cgi-bin/hgTracks?db=mm10&amp;lastVirtModeType=default&amp;lastVirtModeExtraState=&amp;virtModeType=default&amp;virtMode=0&amp;nonVirtPosition=&amp;position=chr5:24712268-24730680","chr5:24712268-24730680")</f>
        <v>chr5:24712268-24730680</v>
      </c>
      <c r="F246" t="s">
        <v>30</v>
      </c>
      <c r="G246">
        <v>-2.0891949391553402</v>
      </c>
      <c r="H246">
        <v>0.60265134790007602</v>
      </c>
      <c r="I246">
        <v>-3.4666726398855401</v>
      </c>
      <c r="J246">
        <v>5.2694322227414699E-4</v>
      </c>
      <c r="K246">
        <v>3.3684793414386502E-2</v>
      </c>
      <c r="L246" t="s">
        <v>26</v>
      </c>
      <c r="M246" t="s">
        <v>27</v>
      </c>
      <c r="N246">
        <v>91.713471385172994</v>
      </c>
      <c r="O246">
        <v>191.64837789396401</v>
      </c>
      <c r="P246">
        <v>16.762291503579501</v>
      </c>
      <c r="Q246">
        <v>266.75704963793203</v>
      </c>
      <c r="R246">
        <v>144.63795228113</v>
      </c>
      <c r="S246">
        <v>163.550131762831</v>
      </c>
      <c r="T246">
        <v>9.6833849308220206</v>
      </c>
      <c r="U246">
        <v>6.0199507082445498</v>
      </c>
      <c r="V246">
        <v>50.404501406674797</v>
      </c>
      <c r="W246">
        <v>0.94132896857674198</v>
      </c>
    </row>
    <row r="247" spans="1:23" x14ac:dyDescent="0.2">
      <c r="A247" t="s">
        <v>517</v>
      </c>
      <c r="B247" s="3" t="str">
        <f>HYPERLINK("http://www.ncbi.nlm.nih.gov/gene/12160","Bmp5")</f>
        <v>Bmp5</v>
      </c>
      <c r="C247">
        <v>12160</v>
      </c>
      <c r="D247" t="s">
        <v>518</v>
      </c>
      <c r="E247" s="3" t="str">
        <f>HYPERLINK("http://genome.ucsc.edu/cgi-bin/hgTracks?db=mm10&amp;lastVirtModeType=default&amp;lastVirtModeExtraState=&amp;virtModeType=default&amp;virtMode=0&amp;nonVirtPosition=&amp;position=chr9:75775364-75900316","chr9:75775364-75900316")</f>
        <v>chr9:75775364-75900316</v>
      </c>
      <c r="F247" t="s">
        <v>25</v>
      </c>
      <c r="G247">
        <v>-1.3546740535322399</v>
      </c>
      <c r="H247">
        <v>0.39091693004682099</v>
      </c>
      <c r="I247">
        <v>-3.4653757599344202</v>
      </c>
      <c r="J247">
        <v>5.2949110870062705E-4</v>
      </c>
      <c r="K247">
        <v>3.37144082717135E-2</v>
      </c>
      <c r="L247" t="s">
        <v>26</v>
      </c>
      <c r="M247" t="s">
        <v>27</v>
      </c>
      <c r="N247">
        <v>179.472016946591</v>
      </c>
      <c r="O247">
        <v>286.80182395810499</v>
      </c>
      <c r="P247">
        <v>98.974661687954907</v>
      </c>
      <c r="Q247">
        <v>320.10845956551799</v>
      </c>
      <c r="R247">
        <v>173.43161870746599</v>
      </c>
      <c r="S247">
        <v>366.86539360133099</v>
      </c>
      <c r="T247">
        <v>67.783694515754107</v>
      </c>
      <c r="U247">
        <v>125.081198049081</v>
      </c>
      <c r="V247">
        <v>136.199397418036</v>
      </c>
      <c r="W247">
        <v>66.834356768948695</v>
      </c>
    </row>
    <row r="248" spans="1:23" x14ac:dyDescent="0.2">
      <c r="A248" t="s">
        <v>519</v>
      </c>
      <c r="B248" s="3" t="str">
        <f>HYPERLINK("http://www.ncbi.nlm.nih.gov/gene/433256","Acsl5")</f>
        <v>Acsl5</v>
      </c>
      <c r="C248">
        <v>433256</v>
      </c>
      <c r="D248" s="5" t="s">
        <v>520</v>
      </c>
      <c r="E248" s="3" t="str">
        <f>HYPERLINK("http://genome.ucsc.edu/cgi-bin/hgTracks?db=mm10&amp;lastVirtModeType=default&amp;lastVirtModeExtraState=&amp;virtModeType=default&amp;virtMode=0&amp;nonVirtPosition=&amp;position=chr19:55253368-55296628","chr19:55253368-55296628")</f>
        <v>chr19:55253368-55296628</v>
      </c>
      <c r="F248" t="s">
        <v>25</v>
      </c>
      <c r="G248" s="4">
        <v>1.19574431517028</v>
      </c>
      <c r="H248">
        <v>0.34578601915248097</v>
      </c>
      <c r="I248">
        <v>3.4580470260221698</v>
      </c>
      <c r="J248">
        <v>5.4410640097106303E-4</v>
      </c>
      <c r="K248">
        <v>3.4509148325117603E-2</v>
      </c>
      <c r="L248" t="s">
        <v>26</v>
      </c>
      <c r="M248" t="s">
        <v>27</v>
      </c>
      <c r="N248">
        <v>1142.67152168181</v>
      </c>
      <c r="O248">
        <v>620.482868330874</v>
      </c>
      <c r="P248">
        <v>1534.3130116949999</v>
      </c>
      <c r="Q248">
        <v>661.55748310207105</v>
      </c>
      <c r="R248">
        <v>711.80621886500501</v>
      </c>
      <c r="S248">
        <v>488.08490302554702</v>
      </c>
      <c r="T248">
        <v>2540.9202058476999</v>
      </c>
      <c r="U248">
        <v>1467.5302059876101</v>
      </c>
      <c r="V248">
        <v>1181.8246925564999</v>
      </c>
      <c r="W248">
        <v>946.97694238820202</v>
      </c>
    </row>
    <row r="249" spans="1:23" x14ac:dyDescent="0.2">
      <c r="A249" t="s">
        <v>521</v>
      </c>
      <c r="B249" s="3" t="str">
        <f>HYPERLINK("http://www.ncbi.nlm.nih.gov/gene/74176","Tgm5")</f>
        <v>Tgm5</v>
      </c>
      <c r="C249">
        <v>74176</v>
      </c>
      <c r="D249" t="s">
        <v>522</v>
      </c>
      <c r="E249" s="3" t="str">
        <f>HYPERLINK("http://genome.ucsc.edu/cgi-bin/hgTracks?db=mm10&amp;lastVirtModeType=default&amp;lastVirtModeExtraState=&amp;virtModeType=default&amp;virtMode=0&amp;nonVirtPosition=&amp;position=chr2:121046110-121085759","chr2:121046110-121085759")</f>
        <v>chr2:121046110-121085759</v>
      </c>
      <c r="F249" t="s">
        <v>30</v>
      </c>
      <c r="G249">
        <v>-2.1196488796388002</v>
      </c>
      <c r="H249">
        <v>0.61337591465623498</v>
      </c>
      <c r="I249">
        <v>-3.4557093439620199</v>
      </c>
      <c r="J249">
        <v>5.4884680747587303E-4</v>
      </c>
      <c r="K249">
        <v>3.4622534916667801E-2</v>
      </c>
      <c r="L249" t="s">
        <v>26</v>
      </c>
      <c r="M249" t="s">
        <v>27</v>
      </c>
      <c r="N249">
        <v>23.144326775791001</v>
      </c>
      <c r="O249">
        <v>51.689444466166499</v>
      </c>
      <c r="P249">
        <v>1.73548850800943</v>
      </c>
      <c r="Q249">
        <v>106.702819855173</v>
      </c>
      <c r="R249">
        <v>21.427844782389599</v>
      </c>
      <c r="S249">
        <v>26.937668760936901</v>
      </c>
      <c r="T249">
        <v>0.64555899538813499</v>
      </c>
      <c r="U249">
        <v>2.0066502360815099</v>
      </c>
      <c r="V249">
        <v>4.2897448005680703</v>
      </c>
      <c r="W249">
        <v>0</v>
      </c>
    </row>
    <row r="250" spans="1:23" x14ac:dyDescent="0.2">
      <c r="A250" t="s">
        <v>523</v>
      </c>
      <c r="B250" s="3" t="str">
        <f>HYPERLINK("http://www.ncbi.nlm.nih.gov/gene/14570","Arhgdig")</f>
        <v>Arhgdig</v>
      </c>
      <c r="C250">
        <v>14570</v>
      </c>
      <c r="D250" s="5" t="s">
        <v>524</v>
      </c>
      <c r="E250" s="3" t="str">
        <f>HYPERLINK("http://genome.ucsc.edu/cgi-bin/hgTracks?db=mm10&amp;lastVirtModeType=default&amp;lastVirtModeExtraState=&amp;virtModeType=default&amp;virtMode=0&amp;nonVirtPosition=&amp;position=chr17:26199182-26201350","chr17:26199182-26201350")</f>
        <v>chr17:26199182-26201350</v>
      </c>
      <c r="F250" t="s">
        <v>30</v>
      </c>
      <c r="G250" s="4">
        <v>1.28211680118164</v>
      </c>
      <c r="H250">
        <v>0.37112941556129497</v>
      </c>
      <c r="I250">
        <v>3.4546353574333799</v>
      </c>
      <c r="J250">
        <v>5.5103753549707397E-4</v>
      </c>
      <c r="K250">
        <v>3.4622534916667801E-2</v>
      </c>
      <c r="L250" t="s">
        <v>26</v>
      </c>
      <c r="M250" t="s">
        <v>27</v>
      </c>
      <c r="N250">
        <v>462.28345219151299</v>
      </c>
      <c r="O250">
        <v>241.46011352182001</v>
      </c>
      <c r="P250">
        <v>627.90095619378201</v>
      </c>
      <c r="Q250">
        <v>341.449023536553</v>
      </c>
      <c r="R250">
        <v>213.60882767444599</v>
      </c>
      <c r="S250">
        <v>169.322489354461</v>
      </c>
      <c r="T250">
        <v>894.09920861256603</v>
      </c>
      <c r="U250">
        <v>387.95237897575998</v>
      </c>
      <c r="V250">
        <v>821.48612930878596</v>
      </c>
      <c r="W250">
        <v>408.06610787801702</v>
      </c>
    </row>
    <row r="251" spans="1:23" x14ac:dyDescent="0.2">
      <c r="A251" t="s">
        <v>525</v>
      </c>
      <c r="B251" s="3" t="str">
        <f>HYPERLINK("http://www.ncbi.nlm.nih.gov/gene/170935","Grid2ip")</f>
        <v>Grid2ip</v>
      </c>
      <c r="C251">
        <v>170935</v>
      </c>
      <c r="D251" t="s">
        <v>526</v>
      </c>
      <c r="E251" s="3" t="str">
        <f>HYPERLINK("http://genome.ucsc.edu/cgi-bin/hgTracks?db=mm10&amp;lastVirtModeType=default&amp;lastVirtModeExtraState=&amp;virtModeType=default&amp;virtMode=0&amp;nonVirtPosition=&amp;position=chr5:143363907-143391798","chr5:143363907-143391798")</f>
        <v>chr5:143363907-143391798</v>
      </c>
      <c r="F251" t="s">
        <v>25</v>
      </c>
      <c r="G251">
        <v>-1.7307581321501999</v>
      </c>
      <c r="H251">
        <v>0.50108657016118496</v>
      </c>
      <c r="I251">
        <v>-3.45401021542737</v>
      </c>
      <c r="J251">
        <v>5.5231645387375798E-4</v>
      </c>
      <c r="K251">
        <v>3.4622534916667801E-2</v>
      </c>
      <c r="L251" t="s">
        <v>26</v>
      </c>
      <c r="M251" t="s">
        <v>27</v>
      </c>
      <c r="N251">
        <v>428.11583598704402</v>
      </c>
      <c r="O251">
        <v>771.89242369664805</v>
      </c>
      <c r="P251">
        <v>170.28339520484101</v>
      </c>
      <c r="Q251">
        <v>533.51409927586406</v>
      </c>
      <c r="R251">
        <v>846.39986890439002</v>
      </c>
      <c r="S251">
        <v>935.76330290968997</v>
      </c>
      <c r="T251">
        <v>30.341272783242299</v>
      </c>
      <c r="U251">
        <v>347.15049084210199</v>
      </c>
      <c r="V251">
        <v>108.316056214344</v>
      </c>
      <c r="W251">
        <v>195.32576097967399</v>
      </c>
    </row>
    <row r="252" spans="1:23" x14ac:dyDescent="0.2">
      <c r="A252" t="s">
        <v>527</v>
      </c>
      <c r="B252" s="3" t="str">
        <f>HYPERLINK("http://www.ncbi.nlm.nih.gov/gene/17240","Mdfi")</f>
        <v>Mdfi</v>
      </c>
      <c r="C252">
        <v>17240</v>
      </c>
      <c r="D252" t="s">
        <v>528</v>
      </c>
      <c r="E252" s="3" t="str">
        <f>HYPERLINK("http://genome.ucsc.edu/cgi-bin/hgTracks?db=mm10&amp;lastVirtModeType=default&amp;lastVirtModeExtraState=&amp;virtModeType=default&amp;virtMode=0&amp;nonVirtPosition=&amp;position=chr17:47815327-47833291","chr17:47815327-47833291")</f>
        <v>chr17:47815327-47833291</v>
      </c>
      <c r="F252" t="s">
        <v>30</v>
      </c>
      <c r="G252">
        <v>-1.89901305354928</v>
      </c>
      <c r="H252">
        <v>0.550261772673178</v>
      </c>
      <c r="I252">
        <v>-3.4511084502996598</v>
      </c>
      <c r="J252">
        <v>5.5828918322497795E-4</v>
      </c>
      <c r="K252">
        <v>3.4861818379527301E-2</v>
      </c>
      <c r="L252" t="s">
        <v>26</v>
      </c>
      <c r="M252" t="s">
        <v>27</v>
      </c>
      <c r="N252">
        <v>82.958541313198495</v>
      </c>
      <c r="O252">
        <v>159.80835066760301</v>
      </c>
      <c r="P252">
        <v>25.321184297394801</v>
      </c>
      <c r="Q252">
        <v>234.74620368138</v>
      </c>
      <c r="R252">
        <v>68.301255243866905</v>
      </c>
      <c r="S252">
        <v>176.37759307756301</v>
      </c>
      <c r="T252">
        <v>5.1644719631050799</v>
      </c>
      <c r="U252">
        <v>30.768636953249899</v>
      </c>
      <c r="V252">
        <v>22.521160202982401</v>
      </c>
      <c r="W252">
        <v>42.8304680702417</v>
      </c>
    </row>
    <row r="253" spans="1:23" x14ac:dyDescent="0.2">
      <c r="A253" t="s">
        <v>529</v>
      </c>
      <c r="B253" s="3" t="str">
        <f>HYPERLINK("http://www.ncbi.nlm.nih.gov/gene/217944","Rapgef5")</f>
        <v>Rapgef5</v>
      </c>
      <c r="C253">
        <v>217944</v>
      </c>
      <c r="D253" s="5" t="s">
        <v>530</v>
      </c>
      <c r="E253" s="3" t="str">
        <f>HYPERLINK("http://genome.ucsc.edu/cgi-bin/hgTracks?db=mm10&amp;lastVirtModeType=default&amp;lastVirtModeExtraState=&amp;virtModeType=default&amp;virtMode=0&amp;nonVirtPosition=&amp;position=chr12:117516478-117756978","chr12:117516478-117756978")</f>
        <v>chr12:117516478-117756978</v>
      </c>
      <c r="F253" t="s">
        <v>25</v>
      </c>
      <c r="G253" s="4">
        <v>1.1096074438529799</v>
      </c>
      <c r="H253">
        <v>0.32187998041606602</v>
      </c>
      <c r="I253">
        <v>3.4472707573135999</v>
      </c>
      <c r="J253">
        <v>5.6628075575766202E-4</v>
      </c>
      <c r="K253">
        <v>3.5224841011033299E-2</v>
      </c>
      <c r="L253" t="s">
        <v>26</v>
      </c>
      <c r="M253" t="s">
        <v>27</v>
      </c>
      <c r="N253">
        <v>2288.16529369616</v>
      </c>
      <c r="O253">
        <v>1317.38082977862</v>
      </c>
      <c r="P253">
        <v>3016.25364163432</v>
      </c>
      <c r="Q253">
        <v>1461.82863201587</v>
      </c>
      <c r="R253">
        <v>1243.48461752805</v>
      </c>
      <c r="S253">
        <v>1246.8292397919399</v>
      </c>
      <c r="T253">
        <v>4935.2985197422904</v>
      </c>
      <c r="U253">
        <v>2666.1692803403098</v>
      </c>
      <c r="V253">
        <v>2215.6531894934101</v>
      </c>
      <c r="W253">
        <v>2247.8935769612599</v>
      </c>
    </row>
    <row r="254" spans="1:23" x14ac:dyDescent="0.2">
      <c r="A254" t="s">
        <v>531</v>
      </c>
      <c r="B254" s="3" t="str">
        <f>HYPERLINK("http://www.ncbi.nlm.nih.gov/gene/56643","Slc15a1")</f>
        <v>Slc15a1</v>
      </c>
      <c r="C254">
        <v>56643</v>
      </c>
      <c r="D254" t="s">
        <v>532</v>
      </c>
      <c r="E254" s="3" t="str">
        <f>HYPERLINK("http://genome.ucsc.edu/cgi-bin/hgTracks?db=mm10&amp;lastVirtModeType=default&amp;lastVirtModeExtraState=&amp;virtModeType=default&amp;virtMode=0&amp;nonVirtPosition=&amp;position=chr14:121459620-121505254","chr14:121459620-121505254")</f>
        <v>chr14:121459620-121505254</v>
      </c>
      <c r="F254" t="s">
        <v>30</v>
      </c>
      <c r="G254">
        <v>-2.10577589206039</v>
      </c>
      <c r="H254">
        <v>0.61123902170942601</v>
      </c>
      <c r="I254">
        <v>-3.4450940094944502</v>
      </c>
      <c r="J254">
        <v>5.7086081301925399E-4</v>
      </c>
      <c r="K254">
        <v>3.5373685551572401E-2</v>
      </c>
      <c r="L254" t="s">
        <v>26</v>
      </c>
      <c r="M254" t="s">
        <v>27</v>
      </c>
      <c r="N254">
        <v>26.0566901954057</v>
      </c>
      <c r="O254">
        <v>58.893915061382899</v>
      </c>
      <c r="P254">
        <v>1.4287715459228501</v>
      </c>
      <c r="Q254">
        <v>160.05422978275899</v>
      </c>
      <c r="R254">
        <v>14.0620231384432</v>
      </c>
      <c r="S254">
        <v>2.5654922629463699</v>
      </c>
      <c r="T254">
        <v>1.29111799077627</v>
      </c>
      <c r="U254">
        <v>1.3377668240543401</v>
      </c>
      <c r="V254">
        <v>2.14487240028404</v>
      </c>
      <c r="W254">
        <v>0.94132896857674198</v>
      </c>
    </row>
    <row r="255" spans="1:23" x14ac:dyDescent="0.2">
      <c r="A255" t="s">
        <v>533</v>
      </c>
      <c r="B255" s="3" t="str">
        <f>HYPERLINK("http://www.ncbi.nlm.nih.gov/gene/665934","Gm7854")</f>
        <v>Gm7854</v>
      </c>
      <c r="C255">
        <v>665934</v>
      </c>
      <c r="D255" t="s">
        <v>534</v>
      </c>
      <c r="E255" s="3" t="str">
        <f>HYPERLINK("http://genome.ucsc.edu/cgi-bin/hgTracks?db=mm10&amp;lastVirtModeType=default&amp;lastVirtModeExtraState=&amp;virtModeType=default&amp;virtMode=0&amp;nonVirtPosition=&amp;position=chr5:43151685-43235354","chr5:43151685-43235354")</f>
        <v>chr5:43151685-43235354</v>
      </c>
      <c r="F255" t="s">
        <v>30</v>
      </c>
      <c r="G255">
        <v>-1.90229551746777</v>
      </c>
      <c r="H255">
        <v>0.55242660809130295</v>
      </c>
      <c r="I255">
        <v>-3.44352623426381</v>
      </c>
      <c r="J255">
        <v>5.7418088510374505E-4</v>
      </c>
      <c r="K255">
        <v>3.54436162396293E-2</v>
      </c>
      <c r="L255" t="s">
        <v>26</v>
      </c>
      <c r="M255" t="s">
        <v>27</v>
      </c>
      <c r="N255">
        <v>190.67923196164199</v>
      </c>
      <c r="O255">
        <v>365.17256546240401</v>
      </c>
      <c r="P255">
        <v>59.809231836070502</v>
      </c>
      <c r="Q255">
        <v>138.71366581172501</v>
      </c>
      <c r="R255">
        <v>285.92780381501098</v>
      </c>
      <c r="S255">
        <v>670.87622676047704</v>
      </c>
      <c r="T255">
        <v>76.175961455799893</v>
      </c>
      <c r="U255">
        <v>51.504022726092202</v>
      </c>
      <c r="V255">
        <v>104.026311413776</v>
      </c>
      <c r="W255">
        <v>7.5306317486139296</v>
      </c>
    </row>
    <row r="256" spans="1:23" x14ac:dyDescent="0.2">
      <c r="A256" t="s">
        <v>535</v>
      </c>
      <c r="B256" s="3" t="str">
        <f>HYPERLINK("http://www.ncbi.nlm.nih.gov/gene/12922","Crhr2")</f>
        <v>Crhr2</v>
      </c>
      <c r="C256">
        <v>12922</v>
      </c>
      <c r="D256" t="s">
        <v>536</v>
      </c>
      <c r="E256" s="3" t="str">
        <f>HYPERLINK("http://genome.ucsc.edu/cgi-bin/hgTracks?db=mm10&amp;lastVirtModeType=default&amp;lastVirtModeExtraState=&amp;virtModeType=default&amp;virtMode=0&amp;nonVirtPosition=&amp;position=chr6:55090048-55133016","chr6:55090048-55133016")</f>
        <v>chr6:55090048-55133016</v>
      </c>
      <c r="F256" t="s">
        <v>30</v>
      </c>
      <c r="G256">
        <v>-2.1090118000822198</v>
      </c>
      <c r="H256">
        <v>0.61291985148679295</v>
      </c>
      <c r="I256">
        <v>-3.4409259138307799</v>
      </c>
      <c r="J256">
        <v>5.7972724307716196E-4</v>
      </c>
      <c r="K256">
        <v>3.5649919020102401E-2</v>
      </c>
      <c r="L256" t="s">
        <v>26</v>
      </c>
      <c r="M256" t="s">
        <v>27</v>
      </c>
      <c r="N256">
        <v>53.346404321411597</v>
      </c>
      <c r="O256">
        <v>115.61631131960399</v>
      </c>
      <c r="P256">
        <v>6.6439740727675103</v>
      </c>
      <c r="Q256">
        <v>266.75704963793203</v>
      </c>
      <c r="R256">
        <v>58.926573151571397</v>
      </c>
      <c r="S256">
        <v>21.1653111693076</v>
      </c>
      <c r="T256">
        <v>7.7467079446576097</v>
      </c>
      <c r="U256">
        <v>3.3444170601358598</v>
      </c>
      <c r="V256">
        <v>15.0141068019882</v>
      </c>
      <c r="W256">
        <v>0.47066448428837099</v>
      </c>
    </row>
    <row r="257" spans="1:23" x14ac:dyDescent="0.2">
      <c r="A257" t="s">
        <v>537</v>
      </c>
      <c r="B257" s="3" t="str">
        <f>HYPERLINK("http://www.ncbi.nlm.nih.gov/gene/279561","Wnk3")</f>
        <v>Wnk3</v>
      </c>
      <c r="C257">
        <v>279561</v>
      </c>
      <c r="D257" s="5" t="s">
        <v>538</v>
      </c>
      <c r="E257" s="3" t="str">
        <f>HYPERLINK("http://genome.ucsc.edu/cgi-bin/hgTracks?db=mm10&amp;lastVirtModeType=default&amp;lastVirtModeExtraState=&amp;virtModeType=default&amp;virtMode=0&amp;nonVirtPosition=&amp;position=chrX:151198077-151320192","chrX:151198077-151320192")</f>
        <v>chrX:151198077-151320192</v>
      </c>
      <c r="F257" t="s">
        <v>25</v>
      </c>
      <c r="G257" s="4">
        <v>0.79756742881408305</v>
      </c>
      <c r="H257">
        <v>0.23188315868440601</v>
      </c>
      <c r="I257">
        <v>3.4395228758271998</v>
      </c>
      <c r="J257">
        <v>5.8274053384460805E-4</v>
      </c>
      <c r="K257">
        <v>3.5699479749503202E-2</v>
      </c>
      <c r="L257" t="s">
        <v>26</v>
      </c>
      <c r="M257" t="s">
        <v>27</v>
      </c>
      <c r="N257">
        <v>1517.3107681399399</v>
      </c>
      <c r="O257">
        <v>1042.0738264475699</v>
      </c>
      <c r="P257">
        <v>1873.7384744092201</v>
      </c>
      <c r="Q257">
        <v>821.61171288483001</v>
      </c>
      <c r="R257">
        <v>1220.0479122973099</v>
      </c>
      <c r="S257">
        <v>1084.56185416058</v>
      </c>
      <c r="T257">
        <v>2227.8240930844499</v>
      </c>
      <c r="U257">
        <v>1872.20467026405</v>
      </c>
      <c r="V257">
        <v>1898.21207425137</v>
      </c>
      <c r="W257">
        <v>1496.7130600370201</v>
      </c>
    </row>
    <row r="258" spans="1:23" x14ac:dyDescent="0.2">
      <c r="A258" t="s">
        <v>539</v>
      </c>
      <c r="B258" s="3" t="str">
        <f>HYPERLINK("http://www.ncbi.nlm.nih.gov/gene/12373","Casq2")</f>
        <v>Casq2</v>
      </c>
      <c r="C258">
        <v>12373</v>
      </c>
      <c r="D258" t="s">
        <v>540</v>
      </c>
      <c r="E258" s="3" t="str">
        <f>HYPERLINK("http://genome.ucsc.edu/cgi-bin/hgTracks?db=mm10&amp;lastVirtModeType=default&amp;lastVirtModeExtraState=&amp;virtModeType=default&amp;virtMode=0&amp;nonVirtPosition=&amp;position=chr3:102086454-102146512","chr3:102086454-102146512")</f>
        <v>chr3:102086454-102146512</v>
      </c>
      <c r="F258" t="s">
        <v>25</v>
      </c>
      <c r="G258">
        <v>-2.0532629710272001</v>
      </c>
      <c r="H258">
        <v>0.59747506978737297</v>
      </c>
      <c r="I258">
        <v>-3.4365667704895402</v>
      </c>
      <c r="J258">
        <v>5.8913711978138695E-4</v>
      </c>
      <c r="K258">
        <v>3.5955149578205198E-2</v>
      </c>
      <c r="L258" t="s">
        <v>26</v>
      </c>
      <c r="M258" t="s">
        <v>27</v>
      </c>
      <c r="N258">
        <v>127.653614975371</v>
      </c>
      <c r="O258">
        <v>262.39242825955</v>
      </c>
      <c r="P258">
        <v>26.599505012237099</v>
      </c>
      <c r="Q258">
        <v>85.362255884138193</v>
      </c>
      <c r="R258">
        <v>231.68857170958799</v>
      </c>
      <c r="S258">
        <v>470.12645718492303</v>
      </c>
      <c r="T258">
        <v>30.341272783242299</v>
      </c>
      <c r="U258">
        <v>11.3710180044619</v>
      </c>
      <c r="V258">
        <v>63.273735808379001</v>
      </c>
      <c r="W258">
        <v>1.4119934528651099</v>
      </c>
    </row>
    <row r="259" spans="1:23" x14ac:dyDescent="0.2">
      <c r="A259" t="s">
        <v>541</v>
      </c>
      <c r="B259" s="3" t="str">
        <f>HYPERLINK("http://www.ncbi.nlm.nih.gov/gene/69993","Chn2")</f>
        <v>Chn2</v>
      </c>
      <c r="C259">
        <v>69993</v>
      </c>
      <c r="D259" t="s">
        <v>542</v>
      </c>
      <c r="E259" s="3" t="str">
        <f>HYPERLINK("http://genome.ucsc.edu/cgi-bin/hgTracks?db=mm10&amp;lastVirtModeType=default&amp;lastVirtModeExtraState=&amp;virtModeType=default&amp;virtMode=0&amp;nonVirtPosition=&amp;position=chr6:54264857-54301812","chr6:54264857-54301812")</f>
        <v>chr6:54264857-54301812</v>
      </c>
      <c r="F259" t="s">
        <v>25</v>
      </c>
      <c r="G259">
        <v>-1.74071837755853</v>
      </c>
      <c r="H259">
        <v>0.50677741134125998</v>
      </c>
      <c r="I259">
        <v>-3.43487759833546</v>
      </c>
      <c r="J259">
        <v>5.9282152941874202E-4</v>
      </c>
      <c r="K259">
        <v>3.6023875681847103E-2</v>
      </c>
      <c r="L259" t="s">
        <v>26</v>
      </c>
      <c r="M259" t="s">
        <v>27</v>
      </c>
      <c r="N259">
        <v>2939.2568304582301</v>
      </c>
      <c r="O259">
        <v>5328.1687438598401</v>
      </c>
      <c r="P259">
        <v>1147.57289540702</v>
      </c>
      <c r="Q259">
        <v>853.62255884138199</v>
      </c>
      <c r="R259">
        <v>6254.9218160094197</v>
      </c>
      <c r="S259">
        <v>8875.9618567287107</v>
      </c>
      <c r="T259">
        <v>1183.3096385464501</v>
      </c>
      <c r="U259">
        <v>948.47667825452902</v>
      </c>
      <c r="V259">
        <v>656.33095448691495</v>
      </c>
      <c r="W259">
        <v>1802.17431034017</v>
      </c>
    </row>
    <row r="260" spans="1:23" x14ac:dyDescent="0.2">
      <c r="A260" t="s">
        <v>543</v>
      </c>
      <c r="B260" s="3" t="str">
        <f>HYPERLINK("http://www.ncbi.nlm.nih.gov/gene/320712","Abi3bp")</f>
        <v>Abi3bp</v>
      </c>
      <c r="C260">
        <v>320712</v>
      </c>
      <c r="D260" t="s">
        <v>544</v>
      </c>
      <c r="E260" s="3" t="str">
        <f>HYPERLINK("http://genome.ucsc.edu/cgi-bin/hgTracks?db=mm10&amp;lastVirtModeType=default&amp;lastVirtModeExtraState=&amp;virtModeType=default&amp;virtMode=0&amp;nonVirtPosition=&amp;position=chr16:56477845-56690135","chr16:56477845-56690135")</f>
        <v>chr16:56477845-56690135</v>
      </c>
      <c r="F260" t="s">
        <v>25</v>
      </c>
      <c r="G260">
        <v>-1.7834789440612799</v>
      </c>
      <c r="H260">
        <v>0.51935723702400804</v>
      </c>
      <c r="I260">
        <v>-3.4340119226620902</v>
      </c>
      <c r="J260">
        <v>5.9471803666933699E-4</v>
      </c>
      <c r="K260">
        <v>3.6023875681847103E-2</v>
      </c>
      <c r="L260" t="s">
        <v>26</v>
      </c>
      <c r="M260" t="s">
        <v>27</v>
      </c>
      <c r="N260">
        <v>140.12843053363201</v>
      </c>
      <c r="O260">
        <v>257.97012560810202</v>
      </c>
      <c r="P260">
        <v>51.747159227778901</v>
      </c>
      <c r="Q260">
        <v>266.75704963793203</v>
      </c>
      <c r="R260">
        <v>299.98982695345501</v>
      </c>
      <c r="S260">
        <v>207.16350023292</v>
      </c>
      <c r="T260">
        <v>118.137296156029</v>
      </c>
      <c r="U260">
        <v>32.775287189331401</v>
      </c>
      <c r="V260">
        <v>42.897448005680701</v>
      </c>
      <c r="W260">
        <v>13.1786055600744</v>
      </c>
    </row>
    <row r="261" spans="1:23" x14ac:dyDescent="0.2">
      <c r="A261" t="s">
        <v>545</v>
      </c>
      <c r="B261" s="3" t="str">
        <f>HYPERLINK("http://www.ncbi.nlm.nih.gov/gene/70127","Dpf3")</f>
        <v>Dpf3</v>
      </c>
      <c r="C261">
        <v>70127</v>
      </c>
      <c r="D261" t="s">
        <v>546</v>
      </c>
      <c r="E261" s="3" t="str">
        <f>HYPERLINK("http://genome.ucsc.edu/cgi-bin/hgTracks?db=mm10&amp;lastVirtModeType=default&amp;lastVirtModeExtraState=&amp;virtModeType=default&amp;virtMode=0&amp;nonVirtPosition=&amp;position=chr12:83269010-83487736","chr12:83269010-83487736")</f>
        <v>chr12:83269010-83487736</v>
      </c>
      <c r="F261" t="s">
        <v>30</v>
      </c>
      <c r="G261">
        <v>-1.29170591586108</v>
      </c>
      <c r="H261">
        <v>0.37637433149051303</v>
      </c>
      <c r="I261">
        <v>-3.4319713322257699</v>
      </c>
      <c r="J261">
        <v>5.99210895618398E-4</v>
      </c>
      <c r="K261">
        <v>3.6160588861329598E-2</v>
      </c>
      <c r="L261" t="s">
        <v>26</v>
      </c>
      <c r="M261" t="s">
        <v>27</v>
      </c>
      <c r="N261">
        <v>258.741721023992</v>
      </c>
      <c r="O261">
        <v>403.25383464085701</v>
      </c>
      <c r="P261">
        <v>150.35763581134401</v>
      </c>
      <c r="Q261">
        <v>309.43817758000102</v>
      </c>
      <c r="R261">
        <v>315.39109039079699</v>
      </c>
      <c r="S261">
        <v>584.93223595177301</v>
      </c>
      <c r="T261">
        <v>74.884843465023593</v>
      </c>
      <c r="U261">
        <v>199.32725678409699</v>
      </c>
      <c r="V261">
        <v>158.720557621019</v>
      </c>
      <c r="W261">
        <v>168.49788537523699</v>
      </c>
    </row>
    <row r="262" spans="1:23" x14ac:dyDescent="0.2">
      <c r="A262" t="s">
        <v>547</v>
      </c>
      <c r="B262" s="3" t="str">
        <f>HYPERLINK("http://www.ncbi.nlm.nih.gov/gene/16780","Lamb3")</f>
        <v>Lamb3</v>
      </c>
      <c r="C262">
        <v>16780</v>
      </c>
      <c r="D262" t="s">
        <v>548</v>
      </c>
      <c r="E262" s="3" t="str">
        <f>HYPERLINK("http://genome.ucsc.edu/cgi-bin/hgTracks?db=mm10&amp;lastVirtModeType=default&amp;lastVirtModeExtraState=&amp;virtModeType=default&amp;virtMode=0&amp;nonVirtPosition=&amp;position=chr1:193302242-193343878","chr1:193302242-193343878")</f>
        <v>chr1:193302242-193343878</v>
      </c>
      <c r="F262" t="s">
        <v>25</v>
      </c>
      <c r="G262">
        <v>-1.80946463185562</v>
      </c>
      <c r="H262">
        <v>0.52852712091751397</v>
      </c>
      <c r="I262">
        <v>-3.4235984498097598</v>
      </c>
      <c r="J262">
        <v>6.1797862545273001E-4</v>
      </c>
      <c r="K262">
        <v>3.7154529031401498E-2</v>
      </c>
      <c r="L262" t="s">
        <v>26</v>
      </c>
      <c r="M262" t="s">
        <v>27</v>
      </c>
      <c r="N262">
        <v>95.482216650745599</v>
      </c>
      <c r="O262">
        <v>179.89269362890499</v>
      </c>
      <c r="P262">
        <v>32.174358917126199</v>
      </c>
      <c r="Q262">
        <v>384.130151478622</v>
      </c>
      <c r="R262">
        <v>53.569611955973997</v>
      </c>
      <c r="S262">
        <v>101.97831745211801</v>
      </c>
      <c r="T262">
        <v>27.759036801689799</v>
      </c>
      <c r="U262">
        <v>44.815188605820502</v>
      </c>
      <c r="V262">
        <v>27.883341203692499</v>
      </c>
      <c r="W262">
        <v>28.239869057302201</v>
      </c>
    </row>
    <row r="263" spans="1:23" x14ac:dyDescent="0.2">
      <c r="A263" t="s">
        <v>549</v>
      </c>
      <c r="B263" s="3" t="str">
        <f>HYPERLINK("http://www.ncbi.nlm.nih.gov/gene/207667","Skor1")</f>
        <v>Skor1</v>
      </c>
      <c r="C263">
        <v>207667</v>
      </c>
      <c r="D263" t="s">
        <v>550</v>
      </c>
      <c r="E263" s="3" t="str">
        <f>HYPERLINK("http://genome.ucsc.edu/cgi-bin/hgTracks?db=mm10&amp;lastVirtModeType=default&amp;lastVirtModeExtraState=&amp;virtModeType=default&amp;virtMode=0&amp;nonVirtPosition=&amp;position=chr9:63138163-63147011","chr9:63138163-63147011")</f>
        <v>chr9:63138163-63147011</v>
      </c>
      <c r="F263" t="s">
        <v>30</v>
      </c>
      <c r="G263">
        <v>-2.0722450879440601</v>
      </c>
      <c r="H263">
        <v>0.605466390983744</v>
      </c>
      <c r="I263">
        <v>-3.4225600608105302</v>
      </c>
      <c r="J263">
        <v>6.2034391178827605E-4</v>
      </c>
      <c r="K263">
        <v>3.7158600316117701E-2</v>
      </c>
      <c r="L263" t="s">
        <v>26</v>
      </c>
      <c r="M263" t="s">
        <v>27</v>
      </c>
      <c r="N263">
        <v>130.51687019304501</v>
      </c>
      <c r="O263">
        <v>273.57905295567701</v>
      </c>
      <c r="P263">
        <v>23.220233121070699</v>
      </c>
      <c r="Q263">
        <v>309.43817758000102</v>
      </c>
      <c r="R263">
        <v>231.01895156013799</v>
      </c>
      <c r="S263">
        <v>280.28002972689097</v>
      </c>
      <c r="T263">
        <v>7.1011489492694801</v>
      </c>
      <c r="U263">
        <v>8.69548435635323</v>
      </c>
      <c r="V263">
        <v>76.142970210083206</v>
      </c>
      <c r="W263">
        <v>0.94132896857674198</v>
      </c>
    </row>
    <row r="264" spans="1:23" x14ac:dyDescent="0.2">
      <c r="A264" t="s">
        <v>551</v>
      </c>
      <c r="B264" s="3" t="str">
        <f>HYPERLINK("http://www.ncbi.nlm.nih.gov/gene/230099","Car9")</f>
        <v>Car9</v>
      </c>
      <c r="C264">
        <v>230099</v>
      </c>
      <c r="D264" t="s">
        <v>552</v>
      </c>
      <c r="E264" s="3" t="str">
        <f>HYPERLINK("http://genome.ucsc.edu/cgi-bin/hgTracks?db=mm10&amp;lastVirtModeType=default&amp;lastVirtModeExtraState=&amp;virtModeType=default&amp;virtMode=0&amp;nonVirtPosition=&amp;position=chr4:43507025-43513725","chr4:43507025-43513725")</f>
        <v>chr4:43507025-43513725</v>
      </c>
      <c r="F264" t="s">
        <v>25</v>
      </c>
      <c r="G264">
        <v>-2.0696785772675801</v>
      </c>
      <c r="H264">
        <v>0.60516143842480297</v>
      </c>
      <c r="I264">
        <v>-3.4200437203249798</v>
      </c>
      <c r="J264">
        <v>6.2611072194583995E-4</v>
      </c>
      <c r="K264">
        <v>3.73656409816608E-2</v>
      </c>
      <c r="L264" t="s">
        <v>26</v>
      </c>
      <c r="M264" t="s">
        <v>27</v>
      </c>
      <c r="N264">
        <v>33.241877659001403</v>
      </c>
      <c r="O264">
        <v>70.200208612309794</v>
      </c>
      <c r="P264">
        <v>5.5231294440202703</v>
      </c>
      <c r="Q264">
        <v>138.71366581172501</v>
      </c>
      <c r="R264">
        <v>46.873410461477299</v>
      </c>
      <c r="S264">
        <v>25.0135495637271</v>
      </c>
      <c r="T264">
        <v>0.64555899538813499</v>
      </c>
      <c r="U264">
        <v>9.3643677683804007</v>
      </c>
      <c r="V264">
        <v>6.4346172008521103</v>
      </c>
      <c r="W264">
        <v>5.6479738114604503</v>
      </c>
    </row>
    <row r="265" spans="1:23" x14ac:dyDescent="0.2">
      <c r="A265" t="s">
        <v>553</v>
      </c>
      <c r="B265" s="3" t="str">
        <f>HYPERLINK("http://www.ncbi.nlm.nih.gov/gene/78365","Lhx1os")</f>
        <v>Lhx1os</v>
      </c>
      <c r="C265">
        <v>78365</v>
      </c>
      <c r="D265" t="s">
        <v>554</v>
      </c>
      <c r="E265" s="3" t="str">
        <f>HYPERLINK("http://genome.ucsc.edu/cgi-bin/hgTracks?db=mm10&amp;lastVirtModeType=default&amp;lastVirtModeExtraState=&amp;virtModeType=default&amp;virtMode=0&amp;nonVirtPosition=&amp;position=chr11:84525659-84535831","chr11:84525659-84535831")</f>
        <v>chr11:84525659-84535831</v>
      </c>
      <c r="F265" t="s">
        <v>25</v>
      </c>
      <c r="G265">
        <v>-2.0840675726350901</v>
      </c>
      <c r="H265">
        <v>0.60991631252446699</v>
      </c>
      <c r="I265">
        <v>-3.4169730007860499</v>
      </c>
      <c r="J265">
        <v>6.3321559099699203E-4</v>
      </c>
      <c r="K265">
        <v>3.7597548813136698E-2</v>
      </c>
      <c r="L265" t="s">
        <v>26</v>
      </c>
      <c r="M265" t="s">
        <v>27</v>
      </c>
      <c r="N265">
        <v>136.749210833896</v>
      </c>
      <c r="O265">
        <v>290.14984965340301</v>
      </c>
      <c r="P265">
        <v>21.698731719265002</v>
      </c>
      <c r="Q265">
        <v>42.681127942069097</v>
      </c>
      <c r="R265">
        <v>374.31766354236902</v>
      </c>
      <c r="S265">
        <v>453.45075747577101</v>
      </c>
      <c r="T265">
        <v>3.8733539723288102</v>
      </c>
      <c r="U265">
        <v>29.430870129195601</v>
      </c>
      <c r="V265">
        <v>52.549373806958897</v>
      </c>
      <c r="W265">
        <v>0.94132896857674198</v>
      </c>
    </row>
    <row r="266" spans="1:23" x14ac:dyDescent="0.2">
      <c r="A266" t="s">
        <v>555</v>
      </c>
      <c r="B266" s="3" t="str">
        <f>HYPERLINK("http://www.ncbi.nlm.nih.gov/gene/353169","Slc2a12")</f>
        <v>Slc2a12</v>
      </c>
      <c r="C266">
        <v>353169</v>
      </c>
      <c r="D266" t="s">
        <v>556</v>
      </c>
      <c r="E266" s="3" t="str">
        <f>HYPERLINK("http://genome.ucsc.edu/cgi-bin/hgTracks?db=mm10&amp;lastVirtModeType=default&amp;lastVirtModeExtraState=&amp;virtModeType=default&amp;virtMode=0&amp;nonVirtPosition=&amp;position=chr10:22645010-22703880","chr10:22645010-22703880")</f>
        <v>chr10:22645010-22703880</v>
      </c>
      <c r="F266" t="s">
        <v>25</v>
      </c>
      <c r="G266">
        <v>-1.3026531332590201</v>
      </c>
      <c r="H266">
        <v>0.38129870858329001</v>
      </c>
      <c r="I266">
        <v>-3.4163586289054302</v>
      </c>
      <c r="J266">
        <v>6.34646066035141E-4</v>
      </c>
      <c r="K266">
        <v>3.7597548813136698E-2</v>
      </c>
      <c r="L266" t="s">
        <v>26</v>
      </c>
      <c r="M266" t="s">
        <v>27</v>
      </c>
      <c r="N266">
        <v>287.812944287557</v>
      </c>
      <c r="O266">
        <v>448.45479776517499</v>
      </c>
      <c r="P266">
        <v>167.33155417934299</v>
      </c>
      <c r="Q266">
        <v>213.40563971034501</v>
      </c>
      <c r="R266">
        <v>758.67962932648197</v>
      </c>
      <c r="S266">
        <v>373.27912425869698</v>
      </c>
      <c r="T266">
        <v>129.11179907762701</v>
      </c>
      <c r="U266">
        <v>202.00279043220601</v>
      </c>
      <c r="V266">
        <v>190.893643625279</v>
      </c>
      <c r="W266">
        <v>147.31798358226001</v>
      </c>
    </row>
    <row r="267" spans="1:23" x14ac:dyDescent="0.2">
      <c r="A267" t="s">
        <v>557</v>
      </c>
      <c r="B267" s="3" t="str">
        <f>HYPERLINK("http://www.ncbi.nlm.nih.gov/gene/269855","Ssc5d")</f>
        <v>Ssc5d</v>
      </c>
      <c r="C267">
        <v>269855</v>
      </c>
      <c r="D267" t="s">
        <v>558</v>
      </c>
      <c r="E267" s="3" t="str">
        <f>HYPERLINK("http://genome.ucsc.edu/cgi-bin/hgTracks?db=mm10&amp;lastVirtModeType=default&amp;lastVirtModeExtraState=&amp;virtModeType=default&amp;virtMode=0&amp;nonVirtPosition=&amp;position=chr7:4925843-4944797","chr7:4925843-4944797")</f>
        <v>chr7:4925843-4944797</v>
      </c>
      <c r="F267" t="s">
        <v>25</v>
      </c>
      <c r="G267">
        <v>-1.77350799269016</v>
      </c>
      <c r="H267">
        <v>0.51981090109914496</v>
      </c>
      <c r="I267">
        <v>-3.4118330126206602</v>
      </c>
      <c r="J267">
        <v>6.4527629409770004E-4</v>
      </c>
      <c r="K267">
        <v>3.8087786512562401E-2</v>
      </c>
      <c r="L267" t="s">
        <v>26</v>
      </c>
      <c r="M267" t="s">
        <v>27</v>
      </c>
      <c r="N267">
        <v>158.74805790992099</v>
      </c>
      <c r="O267">
        <v>294.02247069493097</v>
      </c>
      <c r="P267">
        <v>57.292248321162702</v>
      </c>
      <c r="Q267">
        <v>608.20607317448503</v>
      </c>
      <c r="R267">
        <v>197.53794408765401</v>
      </c>
      <c r="S267">
        <v>76.323394822654606</v>
      </c>
      <c r="T267">
        <v>28.404595797077899</v>
      </c>
      <c r="U267">
        <v>52.841789550146601</v>
      </c>
      <c r="V267">
        <v>85.794896011361402</v>
      </c>
      <c r="W267">
        <v>62.127711926064897</v>
      </c>
    </row>
    <row r="268" spans="1:23" x14ac:dyDescent="0.2">
      <c r="A268" t="s">
        <v>559</v>
      </c>
      <c r="B268" s="3" t="str">
        <f>HYPERLINK("http://www.ncbi.nlm.nih.gov/gene/74413","Tc2n")</f>
        <v>Tc2n</v>
      </c>
      <c r="C268">
        <v>74413</v>
      </c>
      <c r="D268" t="s">
        <v>560</v>
      </c>
      <c r="E268" s="3" t="str">
        <f>HYPERLINK("http://genome.ucsc.edu/cgi-bin/hgTracks?db=mm10&amp;lastVirtModeType=default&amp;lastVirtModeExtraState=&amp;virtModeType=default&amp;virtMode=0&amp;nonVirtPosition=&amp;position=chr12:101645445-101711573","chr12:101645445-101711573")</f>
        <v>chr12:101645445-101711573</v>
      </c>
      <c r="F268" t="s">
        <v>30</v>
      </c>
      <c r="G268">
        <v>-1.93110998176496</v>
      </c>
      <c r="H268">
        <v>0.56644501961302995</v>
      </c>
      <c r="I268">
        <v>-3.4091746151889701</v>
      </c>
      <c r="J268">
        <v>6.5159757837867196E-4</v>
      </c>
      <c r="K268">
        <v>3.8321045945884598E-2</v>
      </c>
      <c r="L268" t="s">
        <v>26</v>
      </c>
      <c r="M268" t="s">
        <v>27</v>
      </c>
      <c r="N268">
        <v>89.523671286271295</v>
      </c>
      <c r="O268">
        <v>175.810496595519</v>
      </c>
      <c r="P268">
        <v>24.808552304335901</v>
      </c>
      <c r="Q268">
        <v>320.10845956551799</v>
      </c>
      <c r="R268">
        <v>140.620231384432</v>
      </c>
      <c r="S268">
        <v>66.702798836605695</v>
      </c>
      <c r="T268">
        <v>55.518073603379598</v>
      </c>
      <c r="U268">
        <v>8.69548435635323</v>
      </c>
      <c r="V268">
        <v>24.666032603266402</v>
      </c>
      <c r="W268">
        <v>10.3546186543442</v>
      </c>
    </row>
    <row r="269" spans="1:23" x14ac:dyDescent="0.2">
      <c r="A269" t="s">
        <v>561</v>
      </c>
      <c r="B269" s="3" t="str">
        <f>HYPERLINK("http://www.ncbi.nlm.nih.gov/gene/66859","Slc16a9")</f>
        <v>Slc16a9</v>
      </c>
      <c r="C269">
        <v>66859</v>
      </c>
      <c r="D269" t="s">
        <v>562</v>
      </c>
      <c r="E269" s="3" t="str">
        <f>HYPERLINK("http://genome.ucsc.edu/cgi-bin/hgTracks?db=mm10&amp;lastVirtModeType=default&amp;lastVirtModeExtraState=&amp;virtModeType=default&amp;virtMode=0&amp;nonVirtPosition=&amp;position=chr10:70245275-70285951","chr10:70245275-70285951")</f>
        <v>chr10:70245275-70285951</v>
      </c>
      <c r="F269" t="s">
        <v>25</v>
      </c>
      <c r="G269">
        <v>-0.88020073485115802</v>
      </c>
      <c r="H269">
        <v>0.25864836448903999</v>
      </c>
      <c r="I269">
        <v>-3.4030786801609798</v>
      </c>
      <c r="J269">
        <v>6.6631089728458402E-4</v>
      </c>
      <c r="K269">
        <v>3.9044370078926E-2</v>
      </c>
      <c r="L269" t="s">
        <v>26</v>
      </c>
      <c r="M269" t="s">
        <v>27</v>
      </c>
      <c r="N269">
        <v>238.08630516822001</v>
      </c>
      <c r="O269">
        <v>326.90286084844598</v>
      </c>
      <c r="P269">
        <v>171.47388840805101</v>
      </c>
      <c r="Q269">
        <v>341.449023536553</v>
      </c>
      <c r="R269">
        <v>269.18730007877002</v>
      </c>
      <c r="S269">
        <v>370.07225893001402</v>
      </c>
      <c r="T269">
        <v>131.69403505917899</v>
      </c>
      <c r="U269">
        <v>193.97618948787999</v>
      </c>
      <c r="V269">
        <v>182.31415402414299</v>
      </c>
      <c r="W269">
        <v>177.911175061004</v>
      </c>
    </row>
    <row r="270" spans="1:23" x14ac:dyDescent="0.2">
      <c r="A270" t="s">
        <v>563</v>
      </c>
      <c r="B270" s="3" t="str">
        <f>HYPERLINK("http://www.ncbi.nlm.nih.gov/gene/236690","Nyx")</f>
        <v>Nyx</v>
      </c>
      <c r="C270">
        <v>236690</v>
      </c>
      <c r="D270" t="s">
        <v>564</v>
      </c>
      <c r="E270" s="3" t="str">
        <f>HYPERLINK("http://genome.ucsc.edu/cgi-bin/hgTracks?db=mm10&amp;lastVirtModeType=default&amp;lastVirtModeExtraState=&amp;virtModeType=default&amp;virtMode=0&amp;nonVirtPosition=&amp;position=chrX:13467671-13489313","chrX:13467671-13489313")</f>
        <v>chrX:13467671-13489313</v>
      </c>
      <c r="F270" t="s">
        <v>25</v>
      </c>
      <c r="G270">
        <v>-2.0217531011712202</v>
      </c>
      <c r="H270">
        <v>0.59472723414392303</v>
      </c>
      <c r="I270">
        <v>-3.3994627874767098</v>
      </c>
      <c r="J270">
        <v>6.7518366825536304E-4</v>
      </c>
      <c r="K270">
        <v>3.9421463778678598E-2</v>
      </c>
      <c r="L270" t="s">
        <v>26</v>
      </c>
      <c r="M270" t="s">
        <v>27</v>
      </c>
      <c r="N270">
        <v>46.934091079288201</v>
      </c>
      <c r="O270">
        <v>96.678402850586494</v>
      </c>
      <c r="P270">
        <v>9.6258572508144002</v>
      </c>
      <c r="Q270">
        <v>202.73535772482799</v>
      </c>
      <c r="R270">
        <v>32.141767173584398</v>
      </c>
      <c r="S270">
        <v>55.158083653346999</v>
      </c>
      <c r="T270">
        <v>12.911179907762699</v>
      </c>
      <c r="U270">
        <v>8.69548435635323</v>
      </c>
      <c r="V270">
        <v>15.0141068019882</v>
      </c>
      <c r="W270">
        <v>1.88265793715348</v>
      </c>
    </row>
    <row r="271" spans="1:23" x14ac:dyDescent="0.2">
      <c r="A271" t="s">
        <v>565</v>
      </c>
      <c r="B271" s="3" t="str">
        <f>HYPERLINK("http://www.ncbi.nlm.nih.gov/gene/319713","Ablim3")</f>
        <v>Ablim3</v>
      </c>
      <c r="C271">
        <v>319713</v>
      </c>
      <c r="D271" t="s">
        <v>566</v>
      </c>
      <c r="E271" s="3" t="str">
        <f>HYPERLINK("http://genome.ucsc.edu/cgi-bin/hgTracks?db=mm10&amp;lastVirtModeType=default&amp;lastVirtModeExtraState=&amp;virtModeType=default&amp;virtMode=0&amp;nonVirtPosition=&amp;position=chr18:61799392-61911824","chr18:61799392-61911824")</f>
        <v>chr18:61799392-61911824</v>
      </c>
      <c r="F271" t="s">
        <v>30</v>
      </c>
      <c r="G271">
        <v>-1.58689156015803</v>
      </c>
      <c r="H271">
        <v>0.46865238674739002</v>
      </c>
      <c r="I271">
        <v>-3.3860737831116299</v>
      </c>
      <c r="J271">
        <v>7.0900318031252602E-4</v>
      </c>
      <c r="K271">
        <v>4.1099313387793802E-2</v>
      </c>
      <c r="L271" t="s">
        <v>26</v>
      </c>
      <c r="M271" t="s">
        <v>27</v>
      </c>
      <c r="N271">
        <v>416.27717695420199</v>
      </c>
      <c r="O271">
        <v>717.62161627088096</v>
      </c>
      <c r="P271">
        <v>190.26884746669199</v>
      </c>
      <c r="Q271">
        <v>533.51409927586406</v>
      </c>
      <c r="R271">
        <v>559.80244493992905</v>
      </c>
      <c r="S271">
        <v>1059.5483045968499</v>
      </c>
      <c r="T271">
        <v>361.51303741735501</v>
      </c>
      <c r="U271">
        <v>137.12109946557001</v>
      </c>
      <c r="V271">
        <v>210.19749522783499</v>
      </c>
      <c r="W271">
        <v>52.243757756009202</v>
      </c>
    </row>
    <row r="272" spans="1:23" x14ac:dyDescent="0.2">
      <c r="A272" t="s">
        <v>567</v>
      </c>
      <c r="B272" s="3" t="str">
        <f>HYPERLINK("http://www.ncbi.nlm.nih.gov/gene/71265","4933431G14Rik")</f>
        <v>4933431G14Rik</v>
      </c>
      <c r="C272">
        <v>71265</v>
      </c>
      <c r="D272" t="s">
        <v>568</v>
      </c>
      <c r="E272" s="3" t="str">
        <f>HYPERLINK("http://genome.ucsc.edu/cgi-bin/hgTracks?db=mm10&amp;lastVirtModeType=default&amp;lastVirtModeExtraState=&amp;virtModeType=default&amp;virtMode=0&amp;nonVirtPosition=&amp;position=chr6:72120212-72122940","chr6:72120212-72122940")</f>
        <v>chr6:72120212-72122940</v>
      </c>
      <c r="F272" t="s">
        <v>30</v>
      </c>
      <c r="G272">
        <v>-2.0423602647403198</v>
      </c>
      <c r="H272">
        <v>0.60413208430695098</v>
      </c>
      <c r="I272">
        <v>-3.3806518769538201</v>
      </c>
      <c r="J272">
        <v>7.2314098151162604E-4</v>
      </c>
      <c r="K272">
        <v>4.1769139621383997E-2</v>
      </c>
      <c r="L272" t="s">
        <v>26</v>
      </c>
      <c r="M272" t="s">
        <v>27</v>
      </c>
      <c r="N272">
        <v>20.1797606561388</v>
      </c>
      <c r="O272">
        <v>42.572193801460699</v>
      </c>
      <c r="P272">
        <v>3.3854357971473799</v>
      </c>
      <c r="Q272">
        <v>74.691973898620901</v>
      </c>
      <c r="R272">
        <v>25.4455656790877</v>
      </c>
      <c r="S272">
        <v>27.5790418266735</v>
      </c>
      <c r="T272">
        <v>3.8733539723288102</v>
      </c>
      <c r="U272">
        <v>2.0066502360815099</v>
      </c>
      <c r="V272">
        <v>1.07243620014202</v>
      </c>
      <c r="W272">
        <v>6.5893027800371904</v>
      </c>
    </row>
    <row r="273" spans="1:23" x14ac:dyDescent="0.2">
      <c r="A273" t="s">
        <v>569</v>
      </c>
      <c r="B273" s="3" t="str">
        <f>HYPERLINK("http://www.ncbi.nlm.nih.gov/gene/214704","Iqub")</f>
        <v>Iqub</v>
      </c>
      <c r="C273">
        <v>214704</v>
      </c>
      <c r="D273" t="s">
        <v>570</v>
      </c>
      <c r="E273" s="3" t="str">
        <f>HYPERLINK("http://genome.ucsc.edu/cgi-bin/hgTracks?db=mm10&amp;lastVirtModeType=default&amp;lastVirtModeExtraState=&amp;virtModeType=default&amp;virtMode=0&amp;nonVirtPosition=&amp;position=chr6:24444864-24515067","chr6:24444864-24515067")</f>
        <v>chr6:24444864-24515067</v>
      </c>
      <c r="F273" t="s">
        <v>30</v>
      </c>
      <c r="G273">
        <v>-1.7919789663319401</v>
      </c>
      <c r="H273">
        <v>0.53115434722730204</v>
      </c>
      <c r="I273">
        <v>-3.3737443281530402</v>
      </c>
      <c r="J273">
        <v>7.4153206481315402E-4</v>
      </c>
      <c r="K273">
        <v>4.2678996741007599E-2</v>
      </c>
      <c r="L273" t="s">
        <v>26</v>
      </c>
      <c r="M273" t="s">
        <v>27</v>
      </c>
      <c r="N273">
        <v>115.23628746439999</v>
      </c>
      <c r="O273">
        <v>213.43130696048999</v>
      </c>
      <c r="P273">
        <v>41.590022842333298</v>
      </c>
      <c r="Q273">
        <v>181.394793753794</v>
      </c>
      <c r="R273">
        <v>174.77085900636499</v>
      </c>
      <c r="S273">
        <v>284.12826812131101</v>
      </c>
      <c r="T273">
        <v>69.720371501918507</v>
      </c>
      <c r="U273">
        <v>20.735385772842299</v>
      </c>
      <c r="V273">
        <v>66.491044408805095</v>
      </c>
      <c r="W273">
        <v>9.4132896857674204</v>
      </c>
    </row>
    <row r="274" spans="1:23" x14ac:dyDescent="0.2">
      <c r="A274" t="s">
        <v>571</v>
      </c>
      <c r="B274" s="3" t="str">
        <f>HYPERLINK("http://www.ncbi.nlm.nih.gov/gene/75706","Krt24")</f>
        <v>Krt24</v>
      </c>
      <c r="C274">
        <v>75706</v>
      </c>
      <c r="D274" t="s">
        <v>572</v>
      </c>
      <c r="E274" s="3" t="str">
        <f>HYPERLINK("http://genome.ucsc.edu/cgi-bin/hgTracks?db=mm10&amp;lastVirtModeType=default&amp;lastVirtModeExtraState=&amp;virtModeType=default&amp;virtMode=0&amp;nonVirtPosition=&amp;position=chr11:99280092-99285238","chr11:99280092-99285238")</f>
        <v>chr11:99280092-99285238</v>
      </c>
      <c r="F274" t="s">
        <v>30</v>
      </c>
      <c r="G274">
        <v>-2.0642168632615601</v>
      </c>
      <c r="H274">
        <v>0.612141161017564</v>
      </c>
      <c r="I274">
        <v>-3.37212557285023</v>
      </c>
      <c r="J274">
        <v>7.4590431367943999E-4</v>
      </c>
      <c r="K274">
        <v>4.2778405904743202E-2</v>
      </c>
      <c r="L274" t="s">
        <v>26</v>
      </c>
      <c r="M274" t="s">
        <v>27</v>
      </c>
      <c r="N274">
        <v>15.2677378401113</v>
      </c>
      <c r="O274">
        <v>34.180210933558897</v>
      </c>
      <c r="P274">
        <v>1.08338302002564</v>
      </c>
      <c r="Q274">
        <v>64.021691913103695</v>
      </c>
      <c r="R274">
        <v>16.070883586792199</v>
      </c>
      <c r="S274">
        <v>22.4480573007808</v>
      </c>
      <c r="T274">
        <v>0.64555899538813499</v>
      </c>
      <c r="U274">
        <v>0</v>
      </c>
      <c r="V274">
        <v>3.2173086004260498</v>
      </c>
      <c r="W274">
        <v>0.47066448428837099</v>
      </c>
    </row>
    <row r="275" spans="1:23" x14ac:dyDescent="0.2">
      <c r="A275" t="s">
        <v>573</v>
      </c>
      <c r="B275" s="3" t="str">
        <f>HYPERLINK("http://www.ncbi.nlm.nih.gov/gene/244757","Glb1l2")</f>
        <v>Glb1l2</v>
      </c>
      <c r="C275">
        <v>244757</v>
      </c>
      <c r="D275" t="s">
        <v>574</v>
      </c>
      <c r="E275" s="3" t="str">
        <f>HYPERLINK("http://genome.ucsc.edu/cgi-bin/hgTracks?db=mm10&amp;lastVirtModeType=default&amp;lastVirtModeExtraState=&amp;virtModeType=default&amp;virtMode=0&amp;nonVirtPosition=&amp;position=chr9:26763043-26806468","chr9:26763043-26806468")</f>
        <v>chr9:26763043-26806468</v>
      </c>
      <c r="F275" t="s">
        <v>30</v>
      </c>
      <c r="G275">
        <v>-1.8213895452555899</v>
      </c>
      <c r="H275">
        <v>0.54091947324676104</v>
      </c>
      <c r="I275">
        <v>-3.3672101585159502</v>
      </c>
      <c r="J275">
        <v>7.5932798463872902E-4</v>
      </c>
      <c r="K275">
        <v>4.3119377400611697E-2</v>
      </c>
      <c r="L275" t="s">
        <v>26</v>
      </c>
      <c r="M275" t="s">
        <v>27</v>
      </c>
      <c r="N275">
        <v>72.822821967124398</v>
      </c>
      <c r="O275">
        <v>137.874280780101</v>
      </c>
      <c r="P275">
        <v>24.034227857392001</v>
      </c>
      <c r="Q275">
        <v>234.74620368138</v>
      </c>
      <c r="R275">
        <v>135.26327018883401</v>
      </c>
      <c r="S275">
        <v>43.613368470088297</v>
      </c>
      <c r="T275">
        <v>23.240123833972799</v>
      </c>
      <c r="U275">
        <v>28.093103305141199</v>
      </c>
      <c r="V275">
        <v>35.390394604686598</v>
      </c>
      <c r="W275">
        <v>9.4132896857674204</v>
      </c>
    </row>
    <row r="276" spans="1:23" x14ac:dyDescent="0.2">
      <c r="A276" t="s">
        <v>575</v>
      </c>
      <c r="B276" s="3" t="str">
        <f>HYPERLINK("http://www.ncbi.nlm.nih.gov/gene/233280","Nipa1")</f>
        <v>Nipa1</v>
      </c>
      <c r="C276">
        <v>233280</v>
      </c>
      <c r="D276" s="5" t="s">
        <v>576</v>
      </c>
      <c r="E276" s="3" t="str">
        <f>HYPERLINK("http://genome.ucsc.edu/cgi-bin/hgTracks?db=mm10&amp;lastVirtModeType=default&amp;lastVirtModeExtraState=&amp;virtModeType=default&amp;virtMode=0&amp;nonVirtPosition=&amp;position=chr7:55978483-56019573","chr7:55978483-56019573")</f>
        <v>chr7:55978483-56019573</v>
      </c>
      <c r="F276" t="s">
        <v>30</v>
      </c>
      <c r="G276" s="4">
        <v>0.89953123048682204</v>
      </c>
      <c r="H276">
        <v>0.26720678147528798</v>
      </c>
      <c r="I276">
        <v>3.3664236570658002</v>
      </c>
      <c r="J276">
        <v>7.6149657083932098E-4</v>
      </c>
      <c r="K276">
        <v>4.3119377400611697E-2</v>
      </c>
      <c r="L276" t="s">
        <v>26</v>
      </c>
      <c r="M276" t="s">
        <v>27</v>
      </c>
      <c r="N276">
        <v>1308.0731521288201</v>
      </c>
      <c r="O276">
        <v>850.38861570671895</v>
      </c>
      <c r="P276">
        <v>1651.33655444539</v>
      </c>
      <c r="Q276">
        <v>736.24945700069202</v>
      </c>
      <c r="R276">
        <v>771.40241216602601</v>
      </c>
      <c r="S276">
        <v>1043.51397795344</v>
      </c>
      <c r="T276">
        <v>2175.5338144580101</v>
      </c>
      <c r="U276">
        <v>1531.7430135422201</v>
      </c>
      <c r="V276">
        <v>1695.52163242453</v>
      </c>
      <c r="W276">
        <v>1202.54775735679</v>
      </c>
    </row>
    <row r="277" spans="1:23" x14ac:dyDescent="0.2">
      <c r="A277" t="s">
        <v>577</v>
      </c>
      <c r="B277" s="3" t="str">
        <f>HYPERLINK("http://www.ncbi.nlm.nih.gov/gene/214742","Rcor3")</f>
        <v>Rcor3</v>
      </c>
      <c r="C277">
        <v>214742</v>
      </c>
      <c r="D277" t="s">
        <v>578</v>
      </c>
      <c r="E277" s="3" t="str">
        <f>HYPERLINK("http://genome.ucsc.edu/cgi-bin/hgTracks?db=mm10&amp;lastVirtModeType=default&amp;lastVirtModeExtraState=&amp;virtModeType=default&amp;virtMode=0&amp;nonVirtPosition=&amp;position=chr1:192098545-192138040","chr1:192098545-192138040")</f>
        <v>chr1:192098545-192138040</v>
      </c>
      <c r="F277" t="s">
        <v>30</v>
      </c>
      <c r="G277">
        <v>-0.62745401564681202</v>
      </c>
      <c r="H277">
        <v>0.18641744486498299</v>
      </c>
      <c r="I277">
        <v>-3.3658546071225199</v>
      </c>
      <c r="J277">
        <v>7.6306917140845601E-4</v>
      </c>
      <c r="K277">
        <v>4.3119377400611697E-2</v>
      </c>
      <c r="L277" t="s">
        <v>26</v>
      </c>
      <c r="M277" t="s">
        <v>27</v>
      </c>
      <c r="N277">
        <v>564.89495804345199</v>
      </c>
      <c r="O277">
        <v>713.10402191698802</v>
      </c>
      <c r="P277">
        <v>453.73816013829997</v>
      </c>
      <c r="Q277">
        <v>757.59002097172697</v>
      </c>
      <c r="R277">
        <v>689.03913378371601</v>
      </c>
      <c r="S277">
        <v>692.68291099552096</v>
      </c>
      <c r="T277">
        <v>498.37154443963999</v>
      </c>
      <c r="U277">
        <v>418.72101592900901</v>
      </c>
      <c r="V277">
        <v>502.972577866606</v>
      </c>
      <c r="W277">
        <v>394.88750231794302</v>
      </c>
    </row>
    <row r="278" spans="1:23" x14ac:dyDescent="0.2">
      <c r="A278" t="s">
        <v>579</v>
      </c>
      <c r="B278" s="3" t="str">
        <f>HYPERLINK("http://www.ncbi.nlm.nih.gov/gene/12487","Cd28")</f>
        <v>Cd28</v>
      </c>
      <c r="C278">
        <v>12487</v>
      </c>
      <c r="D278" t="s">
        <v>580</v>
      </c>
      <c r="E278" s="3" t="str">
        <f>HYPERLINK("http://genome.ucsc.edu/cgi-bin/hgTracks?db=mm10&amp;lastVirtModeType=default&amp;lastVirtModeExtraState=&amp;virtModeType=default&amp;virtMode=0&amp;nonVirtPosition=&amp;position=chr1:60746387-60773359","chr1:60746387-60773359")</f>
        <v>chr1:60746387-60773359</v>
      </c>
      <c r="F278" t="s">
        <v>25</v>
      </c>
      <c r="G278">
        <v>-2.0193060047254501</v>
      </c>
      <c r="H278">
        <v>0.60007446145472598</v>
      </c>
      <c r="I278">
        <v>-3.36509239175111</v>
      </c>
      <c r="J278">
        <v>7.6518031991439799E-4</v>
      </c>
      <c r="K278">
        <v>4.3119377400611697E-2</v>
      </c>
      <c r="L278" t="s">
        <v>26</v>
      </c>
      <c r="M278" t="s">
        <v>27</v>
      </c>
      <c r="N278">
        <v>52.431868492268897</v>
      </c>
      <c r="O278">
        <v>108.906000744165</v>
      </c>
      <c r="P278">
        <v>10.0762693033468</v>
      </c>
      <c r="Q278">
        <v>245.41648566689699</v>
      </c>
      <c r="R278">
        <v>26.784805977986998</v>
      </c>
      <c r="S278">
        <v>54.516710587610397</v>
      </c>
      <c r="T278">
        <v>3.8733539723288102</v>
      </c>
      <c r="U278">
        <v>22.073152596896701</v>
      </c>
      <c r="V278">
        <v>9.6519258012781606</v>
      </c>
      <c r="W278">
        <v>4.7066448428837102</v>
      </c>
    </row>
    <row r="279" spans="1:23" x14ac:dyDescent="0.2">
      <c r="A279" t="s">
        <v>581</v>
      </c>
      <c r="B279" s="3" t="str">
        <f>HYPERLINK("http://www.ncbi.nlm.nih.gov/gene/94185","Tnfrsf21")</f>
        <v>Tnfrsf21</v>
      </c>
      <c r="C279">
        <v>94185</v>
      </c>
      <c r="D279" s="5" t="s">
        <v>582</v>
      </c>
      <c r="E279" s="3" t="str">
        <f>HYPERLINK("http://genome.ucsc.edu/cgi-bin/hgTracks?db=mm10&amp;lastVirtModeType=default&amp;lastVirtModeExtraState=&amp;virtModeType=default&amp;virtMode=0&amp;nonVirtPosition=&amp;position=chr17:43016554-43089188","chr17:43016554-43089188")</f>
        <v>chr17:43016554-43089188</v>
      </c>
      <c r="F279" t="s">
        <v>25</v>
      </c>
      <c r="G279" s="4">
        <v>0.83433780122235501</v>
      </c>
      <c r="H279">
        <v>0.24819280185413101</v>
      </c>
      <c r="I279">
        <v>3.3616518891338201</v>
      </c>
      <c r="J279">
        <v>7.7477731948883603E-4</v>
      </c>
      <c r="K279">
        <v>4.3508588847545E-2</v>
      </c>
      <c r="L279" t="s">
        <v>26</v>
      </c>
      <c r="M279" t="s">
        <v>27</v>
      </c>
      <c r="N279">
        <v>2234.6372263309599</v>
      </c>
      <c r="O279">
        <v>1524.72835833408</v>
      </c>
      <c r="P279">
        <v>2767.0688773286302</v>
      </c>
      <c r="Q279">
        <v>1856.62906548001</v>
      </c>
      <c r="R279">
        <v>1400.17573249927</v>
      </c>
      <c r="S279">
        <v>1317.3802770229599</v>
      </c>
      <c r="T279">
        <v>2058.0420772973698</v>
      </c>
      <c r="U279">
        <v>2795.2637788615498</v>
      </c>
      <c r="V279">
        <v>2832.3040045750699</v>
      </c>
      <c r="W279">
        <v>3382.6656485805202</v>
      </c>
    </row>
    <row r="280" spans="1:23" x14ac:dyDescent="0.2">
      <c r="A280" t="s">
        <v>583</v>
      </c>
      <c r="B280" s="3" t="str">
        <f>HYPERLINK("http://www.ncbi.nlm.nih.gov/gene/108760","Galnt16")</f>
        <v>Galnt16</v>
      </c>
      <c r="C280">
        <v>108760</v>
      </c>
      <c r="D280" s="5" t="s">
        <v>584</v>
      </c>
      <c r="E280" s="3" t="str">
        <f>HYPERLINK("http://genome.ucsc.edu/cgi-bin/hgTracks?db=mm10&amp;lastVirtModeType=default&amp;lastVirtModeExtraState=&amp;virtModeType=default&amp;virtMode=0&amp;nonVirtPosition=&amp;position=chr12:80518989-80603896","chr12:80518989-80603896")</f>
        <v>chr12:80518989-80603896</v>
      </c>
      <c r="F280" t="s">
        <v>25</v>
      </c>
      <c r="G280" s="4">
        <v>0.89632678416078204</v>
      </c>
      <c r="H280">
        <v>0.26676369576763698</v>
      </c>
      <c r="I280">
        <v>3.3600028728853801</v>
      </c>
      <c r="J280">
        <v>7.79416620205989E-4</v>
      </c>
      <c r="K280">
        <v>4.3617664354987797E-2</v>
      </c>
      <c r="L280" t="s">
        <v>26</v>
      </c>
      <c r="M280" t="s">
        <v>27</v>
      </c>
      <c r="N280">
        <v>2166.5519097318802</v>
      </c>
      <c r="O280">
        <v>1424.0566058823799</v>
      </c>
      <c r="P280">
        <v>2723.4233876190001</v>
      </c>
      <c r="Q280">
        <v>1653.89370775518</v>
      </c>
      <c r="R280">
        <v>1388.12256980918</v>
      </c>
      <c r="S280">
        <v>1230.15354008279</v>
      </c>
      <c r="T280">
        <v>3558.9667415747899</v>
      </c>
      <c r="U280">
        <v>1901.63554039325</v>
      </c>
      <c r="V280">
        <v>2908.4469747851499</v>
      </c>
      <c r="W280">
        <v>2524.6442937228198</v>
      </c>
    </row>
    <row r="281" spans="1:23" x14ac:dyDescent="0.2">
      <c r="A281" t="s">
        <v>585</v>
      </c>
      <c r="B281" s="3" t="str">
        <f>HYPERLINK("http://www.ncbi.nlm.nih.gov/gene/234683","Elmo3")</f>
        <v>Elmo3</v>
      </c>
      <c r="C281">
        <v>234683</v>
      </c>
      <c r="D281" t="s">
        <v>586</v>
      </c>
      <c r="E281" s="3" t="str">
        <f>HYPERLINK("http://genome.ucsc.edu/cgi-bin/hgTracks?db=mm10&amp;lastVirtModeType=default&amp;lastVirtModeExtraState=&amp;virtModeType=default&amp;virtMode=0&amp;nonVirtPosition=&amp;position=chr8:105305600-105310623","chr8:105305600-105310623")</f>
        <v>chr8:105305600-105310623</v>
      </c>
      <c r="F281" t="s">
        <v>25</v>
      </c>
      <c r="G281">
        <v>-1.3798475420874801</v>
      </c>
      <c r="H281">
        <v>0.41104329264596901</v>
      </c>
      <c r="I281">
        <v>-3.3569396868274399</v>
      </c>
      <c r="J281">
        <v>7.8810302248085297E-4</v>
      </c>
      <c r="K281">
        <v>4.3951690284768398E-2</v>
      </c>
      <c r="L281" t="s">
        <v>26</v>
      </c>
      <c r="M281" t="s">
        <v>27</v>
      </c>
      <c r="N281">
        <v>131.85993362724901</v>
      </c>
      <c r="O281">
        <v>216.08045770472901</v>
      </c>
      <c r="P281">
        <v>68.694540569138596</v>
      </c>
      <c r="Q281">
        <v>341.449023536553</v>
      </c>
      <c r="R281">
        <v>141.959471683331</v>
      </c>
      <c r="S281">
        <v>164.832877894304</v>
      </c>
      <c r="T281">
        <v>98.770526294384595</v>
      </c>
      <c r="U281">
        <v>69.563874850825897</v>
      </c>
      <c r="V281">
        <v>62.201299608237001</v>
      </c>
      <c r="W281">
        <v>44.242461523106797</v>
      </c>
    </row>
    <row r="282" spans="1:23" x14ac:dyDescent="0.2">
      <c r="A282" t="s">
        <v>587</v>
      </c>
      <c r="B282" s="3" t="str">
        <f>HYPERLINK("http://www.ncbi.nlm.nih.gov/gene/211739","Vstm2a")</f>
        <v>Vstm2a</v>
      </c>
      <c r="C282">
        <v>211739</v>
      </c>
      <c r="D282" s="5" t="s">
        <v>588</v>
      </c>
      <c r="E282" s="3" t="str">
        <f>HYPERLINK("http://genome.ucsc.edu/cgi-bin/hgTracks?db=mm10&amp;lastVirtModeType=default&amp;lastVirtModeExtraState=&amp;virtModeType=default&amp;virtMode=0&amp;nonVirtPosition=&amp;position=chr11:16257723-16284551","chr11:16257723-16284551")</f>
        <v>chr11:16257723-16284551</v>
      </c>
      <c r="F282" t="s">
        <v>25</v>
      </c>
      <c r="G282" s="4">
        <v>1.42840344986356</v>
      </c>
      <c r="H282">
        <v>0.42566678004877301</v>
      </c>
      <c r="I282">
        <v>3.3556845796138699</v>
      </c>
      <c r="J282">
        <v>7.9168806391048099E-4</v>
      </c>
      <c r="K282">
        <v>4.3999900541664E-2</v>
      </c>
      <c r="L282" t="s">
        <v>26</v>
      </c>
      <c r="M282" t="s">
        <v>27</v>
      </c>
      <c r="N282">
        <v>1330.2032346486801</v>
      </c>
      <c r="O282">
        <v>597.07212993846804</v>
      </c>
      <c r="P282">
        <v>1880.05156318135</v>
      </c>
      <c r="Q282">
        <v>746.91973898620904</v>
      </c>
      <c r="R282">
        <v>520.29485612239796</v>
      </c>
      <c r="S282">
        <v>524.001794706797</v>
      </c>
      <c r="T282">
        <v>3225.8582999545101</v>
      </c>
      <c r="U282">
        <v>1676.89071395212</v>
      </c>
      <c r="V282">
        <v>2025.83198206827</v>
      </c>
      <c r="W282">
        <v>591.62525675048198</v>
      </c>
    </row>
    <row r="283" spans="1:23" x14ac:dyDescent="0.2">
      <c r="A283" t="s">
        <v>589</v>
      </c>
      <c r="B283" s="3" t="str">
        <f>HYPERLINK("http://www.ncbi.nlm.nih.gov/gene/245945","Rbm47")</f>
        <v>Rbm47</v>
      </c>
      <c r="C283">
        <v>245945</v>
      </c>
      <c r="D283" t="s">
        <v>590</v>
      </c>
      <c r="E283" s="3" t="str">
        <f>HYPERLINK("http://genome.ucsc.edu/cgi-bin/hgTracks?db=mm10&amp;lastVirtModeType=default&amp;lastVirtModeExtraState=&amp;virtModeType=default&amp;virtMode=0&amp;nonVirtPosition=&amp;position=chr5:66016548-66150978","chr5:66016548-66150978")</f>
        <v>chr5:66016548-66150978</v>
      </c>
      <c r="F283" t="s">
        <v>30</v>
      </c>
      <c r="G283">
        <v>-1.34748687067253</v>
      </c>
      <c r="H283">
        <v>0.40199575855852498</v>
      </c>
      <c r="I283">
        <v>-3.3519927561035598</v>
      </c>
      <c r="J283">
        <v>8.0232118067022405E-4</v>
      </c>
      <c r="K283">
        <v>4.4438152243080599E-2</v>
      </c>
      <c r="L283" t="s">
        <v>26</v>
      </c>
      <c r="M283" t="s">
        <v>27</v>
      </c>
      <c r="N283">
        <v>163.54601602125101</v>
      </c>
      <c r="O283">
        <v>261.01692412907801</v>
      </c>
      <c r="P283">
        <v>90.442834940380706</v>
      </c>
      <c r="Q283">
        <v>266.75704963793203</v>
      </c>
      <c r="R283">
        <v>288.60628441281</v>
      </c>
      <c r="S283">
        <v>227.687438336491</v>
      </c>
      <c r="T283">
        <v>42.606893695616897</v>
      </c>
      <c r="U283">
        <v>79.597126031233401</v>
      </c>
      <c r="V283">
        <v>150.141068019882</v>
      </c>
      <c r="W283">
        <v>89.426252014790407</v>
      </c>
    </row>
    <row r="284" spans="1:23" x14ac:dyDescent="0.2">
      <c r="A284" t="s">
        <v>591</v>
      </c>
      <c r="B284" s="3" t="str">
        <f>HYPERLINK("http://www.ncbi.nlm.nih.gov/gene/12818","Col14a1")</f>
        <v>Col14a1</v>
      </c>
      <c r="C284">
        <v>12818</v>
      </c>
      <c r="D284" t="s">
        <v>592</v>
      </c>
      <c r="E284" s="3" t="str">
        <f>HYPERLINK("http://genome.ucsc.edu/cgi-bin/hgTracks?db=mm10&amp;lastVirtModeType=default&amp;lastVirtModeExtraState=&amp;virtModeType=default&amp;virtMode=0&amp;nonVirtPosition=&amp;position=chr15:55307749-55520803","chr15:55307749-55520803")</f>
        <v>chr15:55307749-55520803</v>
      </c>
      <c r="F284" t="s">
        <v>25</v>
      </c>
      <c r="G284">
        <v>-1.7440741161812201</v>
      </c>
      <c r="H284">
        <v>0.52064691612285996</v>
      </c>
      <c r="I284">
        <v>-3.34982127459612</v>
      </c>
      <c r="J284">
        <v>8.0863718435713401E-4</v>
      </c>
      <c r="K284">
        <v>4.4635116664190899E-2</v>
      </c>
      <c r="L284" t="s">
        <v>26</v>
      </c>
      <c r="M284" t="s">
        <v>27</v>
      </c>
      <c r="N284">
        <v>115.677088555829</v>
      </c>
      <c r="O284">
        <v>214.06666762023499</v>
      </c>
      <c r="P284">
        <v>41.884904257524703</v>
      </c>
      <c r="Q284">
        <v>458.82212537724303</v>
      </c>
      <c r="R284">
        <v>105.130363463599</v>
      </c>
      <c r="S284">
        <v>78.247514019864397</v>
      </c>
      <c r="T284">
        <v>40.670216709452497</v>
      </c>
      <c r="U284">
        <v>23.410919420951</v>
      </c>
      <c r="V284">
        <v>49.332065206532803</v>
      </c>
      <c r="W284">
        <v>54.126415693162599</v>
      </c>
    </row>
    <row r="285" spans="1:23" x14ac:dyDescent="0.2">
      <c r="A285" t="s">
        <v>593</v>
      </c>
      <c r="B285" s="3" t="str">
        <f>HYPERLINK("http://www.ncbi.nlm.nih.gov/gene/63830","Kcnq1ot1")</f>
        <v>Kcnq1ot1</v>
      </c>
      <c r="C285">
        <v>63830</v>
      </c>
      <c r="D285" t="s">
        <v>594</v>
      </c>
      <c r="E285" s="3" t="str">
        <f>HYPERLINK("http://genome.ucsc.edu/cgi-bin/hgTracks?db=mm10&amp;lastVirtModeType=default&amp;lastVirtModeExtraState=&amp;virtModeType=default&amp;virtMode=0&amp;nonVirtPosition=&amp;position=chr7:143213110-143296547","chr7:143213110-143296547")</f>
        <v>chr7:143213110-143296547</v>
      </c>
      <c r="F285" t="s">
        <v>30</v>
      </c>
      <c r="G285">
        <v>-1.17545889557534</v>
      </c>
      <c r="H285">
        <v>0.35126182505178899</v>
      </c>
      <c r="I285">
        <v>-3.3463895355040001</v>
      </c>
      <c r="J285">
        <v>8.1871293077530295E-4</v>
      </c>
      <c r="K285">
        <v>4.5037565406221003E-2</v>
      </c>
      <c r="L285" t="s">
        <v>26</v>
      </c>
      <c r="M285" t="s">
        <v>27</v>
      </c>
      <c r="N285">
        <v>2053.3005687433701</v>
      </c>
      <c r="O285">
        <v>3106.8770210525099</v>
      </c>
      <c r="P285">
        <v>1263.11822951152</v>
      </c>
      <c r="Q285">
        <v>4908.3297133379501</v>
      </c>
      <c r="R285">
        <v>2150.8199200323602</v>
      </c>
      <c r="S285">
        <v>2261.4814297872299</v>
      </c>
      <c r="T285">
        <v>1358.9016852920199</v>
      </c>
      <c r="U285">
        <v>1706.99046749334</v>
      </c>
      <c r="V285">
        <v>1100.3195413457099</v>
      </c>
      <c r="W285">
        <v>886.26122391500201</v>
      </c>
    </row>
    <row r="286" spans="1:23" x14ac:dyDescent="0.2">
      <c r="A286" t="s">
        <v>595</v>
      </c>
      <c r="B286" s="3" t="str">
        <f>HYPERLINK("http://www.ncbi.nlm.nih.gov/gene/22031","Traf3")</f>
        <v>Traf3</v>
      </c>
      <c r="C286">
        <v>22031</v>
      </c>
      <c r="D286" s="5" t="s">
        <v>596</v>
      </c>
      <c r="E286" s="3" t="str">
        <f>HYPERLINK("http://genome.ucsc.edu/cgi-bin/hgTracks?db=mm10&amp;lastVirtModeType=default&amp;lastVirtModeExtraState=&amp;virtModeType=default&amp;virtMode=0&amp;nonVirtPosition=&amp;position=chr12:111166369-111267155","chr12:111166369-111267155")</f>
        <v>chr12:111166369-111267155</v>
      </c>
      <c r="F286" t="s">
        <v>25</v>
      </c>
      <c r="G286" s="4">
        <v>0.778450713265043</v>
      </c>
      <c r="H286">
        <v>0.23274161631956999</v>
      </c>
      <c r="I286">
        <v>3.3446992659713199</v>
      </c>
      <c r="J286">
        <v>8.2371834150890804E-4</v>
      </c>
      <c r="K286">
        <v>4.5159310973639198E-2</v>
      </c>
      <c r="L286" t="s">
        <v>26</v>
      </c>
      <c r="M286" t="s">
        <v>27</v>
      </c>
      <c r="N286">
        <v>1809.99054791961</v>
      </c>
      <c r="O286">
        <v>1260.4809749056201</v>
      </c>
      <c r="P286">
        <v>2222.1227276801101</v>
      </c>
      <c r="Q286">
        <v>1088.3687625227601</v>
      </c>
      <c r="R286">
        <v>1351.96308173889</v>
      </c>
      <c r="S286">
        <v>1341.11108045522</v>
      </c>
      <c r="T286">
        <v>2072.8899341913002</v>
      </c>
      <c r="U286">
        <v>2377.8805297566</v>
      </c>
      <c r="V286">
        <v>1704.1011220256701</v>
      </c>
      <c r="W286">
        <v>2733.61932474686</v>
      </c>
    </row>
    <row r="287" spans="1:23" x14ac:dyDescent="0.2">
      <c r="A287" t="s">
        <v>597</v>
      </c>
      <c r="B287" s="3" t="str">
        <f>HYPERLINK("http://www.ncbi.nlm.nih.gov/gene/217951","Tmem196")</f>
        <v>Tmem196</v>
      </c>
      <c r="C287">
        <v>217951</v>
      </c>
      <c r="D287" s="5" t="s">
        <v>598</v>
      </c>
      <c r="E287" s="3" t="str">
        <f>HYPERLINK("http://genome.ucsc.edu/cgi-bin/hgTracks?db=mm10&amp;lastVirtModeType=default&amp;lastVirtModeExtraState=&amp;virtModeType=default&amp;virtMode=0&amp;nonVirtPosition=&amp;position=chr12:119945961-120021245","chr12:119945961-120021245")</f>
        <v>chr12:119945961-120021245</v>
      </c>
      <c r="F287" t="s">
        <v>25</v>
      </c>
      <c r="G287" s="4">
        <v>0.97786440194599999</v>
      </c>
      <c r="H287">
        <v>0.29277552099722298</v>
      </c>
      <c r="I287">
        <v>3.3399800591774</v>
      </c>
      <c r="J287">
        <v>8.3784405640807799E-4</v>
      </c>
      <c r="K287">
        <v>4.57785537982697E-2</v>
      </c>
      <c r="L287" t="s">
        <v>26</v>
      </c>
      <c r="M287" t="s">
        <v>27</v>
      </c>
      <c r="N287">
        <v>657.611972447124</v>
      </c>
      <c r="O287">
        <v>414.827090019634</v>
      </c>
      <c r="P287">
        <v>839.70063426774198</v>
      </c>
      <c r="Q287">
        <v>490.832971333795</v>
      </c>
      <c r="R287">
        <v>426.54803519944301</v>
      </c>
      <c r="S287">
        <v>327.10026352566302</v>
      </c>
      <c r="T287">
        <v>652.01458534201595</v>
      </c>
      <c r="U287">
        <v>689.61879780001402</v>
      </c>
      <c r="V287">
        <v>780.73355370338902</v>
      </c>
      <c r="W287">
        <v>1236.4356002255499</v>
      </c>
    </row>
    <row r="288" spans="1:23" x14ac:dyDescent="0.2">
      <c r="A288" t="s">
        <v>599</v>
      </c>
      <c r="B288" s="3" t="str">
        <f>HYPERLINK("http://www.ncbi.nlm.nih.gov/gene/227099","Pms1")</f>
        <v>Pms1</v>
      </c>
      <c r="C288">
        <v>227099</v>
      </c>
      <c r="D288" t="s">
        <v>600</v>
      </c>
      <c r="E288" s="3" t="str">
        <f>HYPERLINK("http://genome.ucsc.edu/cgi-bin/hgTracks?db=mm10&amp;lastVirtModeType=default&amp;lastVirtModeExtraState=&amp;virtModeType=default&amp;virtMode=0&amp;nonVirtPosition=&amp;position=chr1:53189188-53297028","chr1:53189188-53297028")</f>
        <v>chr1:53189188-53297028</v>
      </c>
      <c r="F288" t="s">
        <v>30</v>
      </c>
      <c r="G288">
        <v>-1.49980790777163</v>
      </c>
      <c r="H288">
        <v>0.44925401616999</v>
      </c>
      <c r="I288">
        <v>-3.3384407346157801</v>
      </c>
      <c r="J288">
        <v>8.4250000474792605E-4</v>
      </c>
      <c r="K288">
        <v>4.5877954804000698E-2</v>
      </c>
      <c r="L288" t="s">
        <v>26</v>
      </c>
      <c r="M288" t="s">
        <v>27</v>
      </c>
      <c r="N288">
        <v>1054.2796376865599</v>
      </c>
      <c r="O288">
        <v>1768.74119359108</v>
      </c>
      <c r="P288">
        <v>518.43347075816905</v>
      </c>
      <c r="Q288">
        <v>458.82212537724303</v>
      </c>
      <c r="R288">
        <v>1578.9643124023301</v>
      </c>
      <c r="S288">
        <v>3268.43714299368</v>
      </c>
      <c r="T288">
        <v>442.20791184087199</v>
      </c>
      <c r="U288">
        <v>464.87397135888398</v>
      </c>
      <c r="V288">
        <v>703.51814729316402</v>
      </c>
      <c r="W288">
        <v>463.13385253975702</v>
      </c>
    </row>
    <row r="289" spans="1:23" x14ac:dyDescent="0.2">
      <c r="A289" t="s">
        <v>601</v>
      </c>
      <c r="B289" s="3" t="str">
        <f>HYPERLINK("http://www.ncbi.nlm.nih.gov/gene/14803","Grid1")</f>
        <v>Grid1</v>
      </c>
      <c r="C289">
        <v>14803</v>
      </c>
      <c r="D289" s="5" t="s">
        <v>602</v>
      </c>
      <c r="E289" s="3" t="str">
        <f>HYPERLINK("http://genome.ucsc.edu/cgi-bin/hgTracks?db=mm10&amp;lastVirtModeType=default&amp;lastVirtModeExtraState=&amp;virtModeType=default&amp;virtMode=0&amp;nonVirtPosition=&amp;position=chr14:34820135-35581115","chr14:34820135-35581115")</f>
        <v>chr14:34820135-35581115</v>
      </c>
      <c r="F289" t="s">
        <v>25</v>
      </c>
      <c r="G289" s="4">
        <v>0.82440991570603706</v>
      </c>
      <c r="H289">
        <v>0.24729532050104699</v>
      </c>
      <c r="I289">
        <v>3.3337060888806702</v>
      </c>
      <c r="J289">
        <v>8.56971594336949E-4</v>
      </c>
      <c r="K289">
        <v>4.6509401326213E-2</v>
      </c>
      <c r="L289" t="s">
        <v>26</v>
      </c>
      <c r="M289" t="s">
        <v>27</v>
      </c>
      <c r="N289">
        <v>1590.3357679722601</v>
      </c>
      <c r="O289">
        <v>1080.0498877892601</v>
      </c>
      <c r="P289">
        <v>1973.0501781095099</v>
      </c>
      <c r="Q289">
        <v>949.655096711037</v>
      </c>
      <c r="R289">
        <v>1159.1124786973901</v>
      </c>
      <c r="S289">
        <v>1131.38208795935</v>
      </c>
      <c r="T289">
        <v>2240.0897139968301</v>
      </c>
      <c r="U289">
        <v>2357.1451439837501</v>
      </c>
      <c r="V289">
        <v>1377.0080809823501</v>
      </c>
      <c r="W289">
        <v>1917.9577734751099</v>
      </c>
    </row>
    <row r="290" spans="1:23" x14ac:dyDescent="0.2">
      <c r="A290" t="s">
        <v>603</v>
      </c>
      <c r="B290" s="3" t="str">
        <f>HYPERLINK("http://www.ncbi.nlm.nih.gov/gene/17528","Mpz")</f>
        <v>Mpz</v>
      </c>
      <c r="C290">
        <v>17528</v>
      </c>
      <c r="D290" t="s">
        <v>604</v>
      </c>
      <c r="E290" s="3" t="str">
        <f>HYPERLINK("http://genome.ucsc.edu/cgi-bin/hgTracks?db=mm10&amp;lastVirtModeType=default&amp;lastVirtModeExtraState=&amp;virtModeType=default&amp;virtMode=0&amp;nonVirtPosition=&amp;position=chr1:171155517-171161130","chr1:171155517-171161130")</f>
        <v>chr1:171155517-171161130</v>
      </c>
      <c r="F290" t="s">
        <v>25</v>
      </c>
      <c r="G290">
        <v>-2.0127027929974899</v>
      </c>
      <c r="H290">
        <v>0.60421986831771901</v>
      </c>
      <c r="I290">
        <v>-3.33107681248763</v>
      </c>
      <c r="J290">
        <v>8.6510727265034105E-4</v>
      </c>
      <c r="K290">
        <v>4.67939127778393E-2</v>
      </c>
      <c r="L290" t="s">
        <v>26</v>
      </c>
      <c r="M290" t="s">
        <v>27</v>
      </c>
      <c r="N290">
        <v>18.234469870555898</v>
      </c>
      <c r="O290">
        <v>41.718953146961397</v>
      </c>
      <c r="P290">
        <v>0.62110741325178198</v>
      </c>
      <c r="Q290">
        <v>96.032537869655499</v>
      </c>
      <c r="R290">
        <v>21.427844782389599</v>
      </c>
      <c r="S290">
        <v>7.6964767888391199</v>
      </c>
      <c r="T290">
        <v>0</v>
      </c>
      <c r="U290">
        <v>0</v>
      </c>
      <c r="V290">
        <v>1.07243620014202</v>
      </c>
      <c r="W290">
        <v>1.4119934528651099</v>
      </c>
    </row>
    <row r="291" spans="1:23" x14ac:dyDescent="0.2">
      <c r="A291" t="s">
        <v>605</v>
      </c>
      <c r="B291" s="3" t="str">
        <f>HYPERLINK("http://www.ncbi.nlm.nih.gov/gene/28000","Prpf19")</f>
        <v>Prpf19</v>
      </c>
      <c r="C291">
        <v>28000</v>
      </c>
      <c r="D291" s="5" t="s">
        <v>606</v>
      </c>
      <c r="E291" s="3" t="str">
        <f>HYPERLINK("http://genome.ucsc.edu/cgi-bin/hgTracks?db=mm10&amp;lastVirtModeType=default&amp;lastVirtModeExtraState=&amp;virtModeType=default&amp;virtMode=0&amp;nonVirtPosition=&amp;position=chr19:10895230-10909559","chr19:10895230-10909559")</f>
        <v>chr19:10895230-10909559</v>
      </c>
      <c r="F291" t="s">
        <v>25</v>
      </c>
      <c r="G291" s="4">
        <v>0.56882822846933401</v>
      </c>
      <c r="H291">
        <v>0.17102916530330201</v>
      </c>
      <c r="I291">
        <v>3.3259136092991999</v>
      </c>
      <c r="J291">
        <v>8.8129238933961197E-4</v>
      </c>
      <c r="K291">
        <v>4.7374312764427502E-2</v>
      </c>
      <c r="L291" t="s">
        <v>26</v>
      </c>
      <c r="M291" t="s">
        <v>27</v>
      </c>
      <c r="N291">
        <v>2526.8333459360201</v>
      </c>
      <c r="O291">
        <v>1970.1851472812</v>
      </c>
      <c r="P291">
        <v>2944.3194949271301</v>
      </c>
      <c r="Q291">
        <v>1984.67244930621</v>
      </c>
      <c r="R291">
        <v>1931.8541311623101</v>
      </c>
      <c r="S291">
        <v>1994.0288613750699</v>
      </c>
      <c r="T291">
        <v>2779.7770341413102</v>
      </c>
      <c r="U291">
        <v>2658.81156280801</v>
      </c>
      <c r="V291">
        <v>3024.2700844004898</v>
      </c>
      <c r="W291">
        <v>3314.41929835871</v>
      </c>
    </row>
    <row r="292" spans="1:23" x14ac:dyDescent="0.2">
      <c r="A292" t="s">
        <v>607</v>
      </c>
      <c r="B292" s="3" t="str">
        <f>HYPERLINK("http://www.ncbi.nlm.nih.gov/gene/74052","Ttc21a")</f>
        <v>Ttc21a</v>
      </c>
      <c r="C292">
        <v>74052</v>
      </c>
      <c r="D292" t="s">
        <v>608</v>
      </c>
      <c r="E292" s="3" t="str">
        <f>HYPERLINK("http://genome.ucsc.edu/cgi-bin/hgTracks?db=mm10&amp;lastVirtModeType=default&amp;lastVirtModeExtraState=&amp;virtModeType=default&amp;virtMode=0&amp;nonVirtPosition=&amp;position=chr9:119937605-119967793","chr9:119937605-119967793")</f>
        <v>chr9:119937605-119967793</v>
      </c>
      <c r="F292" t="s">
        <v>25</v>
      </c>
      <c r="G292">
        <v>-1.85696257078522</v>
      </c>
      <c r="H292">
        <v>0.55835299318589704</v>
      </c>
      <c r="I292">
        <v>-3.32578600535409</v>
      </c>
      <c r="J292">
        <v>8.8169592172711796E-4</v>
      </c>
      <c r="K292">
        <v>4.7374312764427502E-2</v>
      </c>
      <c r="L292" t="s">
        <v>26</v>
      </c>
      <c r="M292" t="s">
        <v>27</v>
      </c>
      <c r="N292">
        <v>64.281060486906597</v>
      </c>
      <c r="O292">
        <v>123.669945310015</v>
      </c>
      <c r="P292">
        <v>19.739396869575501</v>
      </c>
      <c r="Q292">
        <v>192.065075739311</v>
      </c>
      <c r="R292">
        <v>106.469603762498</v>
      </c>
      <c r="S292">
        <v>72.475156428234996</v>
      </c>
      <c r="T292">
        <v>14.8478568939271</v>
      </c>
      <c r="U292">
        <v>23.410919420951</v>
      </c>
      <c r="V292">
        <v>36.462830804828599</v>
      </c>
      <c r="W292">
        <v>4.2359803585953397</v>
      </c>
    </row>
    <row r="293" spans="1:23" x14ac:dyDescent="0.2">
      <c r="A293" t="s">
        <v>609</v>
      </c>
      <c r="B293" s="3" t="str">
        <f>HYPERLINK("http://www.ncbi.nlm.nih.gov/gene/238271","Kcnh5")</f>
        <v>Kcnh5</v>
      </c>
      <c r="C293">
        <v>238271</v>
      </c>
      <c r="D293" s="5" t="s">
        <v>610</v>
      </c>
      <c r="E293" s="3" t="str">
        <f>HYPERLINK("http://genome.ucsc.edu/cgi-bin/hgTracks?db=mm10&amp;lastVirtModeType=default&amp;lastVirtModeExtraState=&amp;virtModeType=default&amp;virtMode=0&amp;nonVirtPosition=&amp;position=chr12:74897216-75177332","chr12:74897216-75177332")</f>
        <v>chr12:74897216-75177332</v>
      </c>
      <c r="F293" t="s">
        <v>30</v>
      </c>
      <c r="G293" s="4">
        <v>1.4261561309081801</v>
      </c>
      <c r="H293">
        <v>0.42898343785551102</v>
      </c>
      <c r="I293">
        <v>3.3245016125506699</v>
      </c>
      <c r="J293">
        <v>8.8576721221597795E-4</v>
      </c>
      <c r="K293">
        <v>4.7390635003570498E-2</v>
      </c>
      <c r="L293" t="s">
        <v>26</v>
      </c>
      <c r="M293" t="s">
        <v>27</v>
      </c>
      <c r="N293">
        <v>805.92275900180198</v>
      </c>
      <c r="O293">
        <v>360.55927060694302</v>
      </c>
      <c r="P293">
        <v>1139.94537529795</v>
      </c>
      <c r="Q293">
        <v>394.80043346413902</v>
      </c>
      <c r="R293">
        <v>455.34170162577902</v>
      </c>
      <c r="S293">
        <v>231.53567673091001</v>
      </c>
      <c r="T293">
        <v>2338.8602402912102</v>
      </c>
      <c r="U293">
        <v>692.29433144812299</v>
      </c>
      <c r="V293">
        <v>649.89633728606304</v>
      </c>
      <c r="W293">
        <v>878.73059216638796</v>
      </c>
    </row>
    <row r="294" spans="1:23" x14ac:dyDescent="0.2">
      <c r="A294" t="s">
        <v>611</v>
      </c>
      <c r="B294" s="3" t="str">
        <f>HYPERLINK("http://www.ncbi.nlm.nih.gov/gene/233908","Fus")</f>
        <v>Fus</v>
      </c>
      <c r="C294">
        <v>233908</v>
      </c>
      <c r="D294" t="s">
        <v>612</v>
      </c>
      <c r="E294" s="3" t="str">
        <f>HYPERLINK("http://genome.ucsc.edu/cgi-bin/hgTracks?db=mm10&amp;lastVirtModeType=default&amp;lastVirtModeExtraState=&amp;virtModeType=default&amp;virtMode=0&amp;nonVirtPosition=&amp;position=chr7:127967478-127982031","chr7:127967478-127982031")</f>
        <v>chr7:127967478-127982031</v>
      </c>
      <c r="F294" t="s">
        <v>25</v>
      </c>
      <c r="G294">
        <v>-0.80063588211953796</v>
      </c>
      <c r="H294">
        <v>0.24087653051751101</v>
      </c>
      <c r="I294">
        <v>-3.3238434661916298</v>
      </c>
      <c r="J294">
        <v>8.8786016237444297E-4</v>
      </c>
      <c r="K294">
        <v>4.7390635003570498E-2</v>
      </c>
      <c r="L294" t="s">
        <v>26</v>
      </c>
      <c r="M294" t="s">
        <v>27</v>
      </c>
      <c r="N294">
        <v>1019.4407432221</v>
      </c>
      <c r="O294">
        <v>1367.59370811242</v>
      </c>
      <c r="P294">
        <v>758.32601955436496</v>
      </c>
      <c r="Q294">
        <v>1728.5856816538001</v>
      </c>
      <c r="R294">
        <v>1394.81877130367</v>
      </c>
      <c r="S294">
        <v>979.37667137977803</v>
      </c>
      <c r="T294">
        <v>734.00057775630899</v>
      </c>
      <c r="U294">
        <v>806.673394904769</v>
      </c>
      <c r="V294">
        <v>828.99318270977994</v>
      </c>
      <c r="W294">
        <v>663.63692284660306</v>
      </c>
    </row>
    <row r="295" spans="1:23" x14ac:dyDescent="0.2">
      <c r="A295" t="s">
        <v>613</v>
      </c>
      <c r="B295" s="3" t="str">
        <f>HYPERLINK("http://www.ncbi.nlm.nih.gov/gene/68526","Gpr155")</f>
        <v>Gpr155</v>
      </c>
      <c r="C295">
        <v>68526</v>
      </c>
      <c r="D295" s="5" t="s">
        <v>614</v>
      </c>
      <c r="E295" s="3" t="str">
        <f>HYPERLINK("http://genome.ucsc.edu/cgi-bin/hgTracks?db=mm10&amp;lastVirtModeType=default&amp;lastVirtModeExtraState=&amp;virtModeType=default&amp;virtMode=0&amp;nonVirtPosition=&amp;position=chr2:73341505-73386480","chr2:73341505-73386480")</f>
        <v>chr2:73341505-73386480</v>
      </c>
      <c r="F295" t="s">
        <v>30</v>
      </c>
      <c r="G295" s="4">
        <v>0.84229235552193005</v>
      </c>
      <c r="H295">
        <v>0.25387122831618802</v>
      </c>
      <c r="I295">
        <v>3.3177936748030499</v>
      </c>
      <c r="J295">
        <v>9.07314791048313E-4</v>
      </c>
      <c r="K295">
        <v>4.8269743801395898E-2</v>
      </c>
      <c r="L295" t="s">
        <v>26</v>
      </c>
      <c r="M295" t="s">
        <v>27</v>
      </c>
      <c r="N295">
        <v>1486.01778947649</v>
      </c>
      <c r="O295">
        <v>997.58228774399197</v>
      </c>
      <c r="P295">
        <v>1852.3444157758699</v>
      </c>
      <c r="Q295">
        <v>842.95227685586497</v>
      </c>
      <c r="R295">
        <v>1077.41882046453</v>
      </c>
      <c r="S295">
        <v>1072.3757659115799</v>
      </c>
      <c r="T295">
        <v>1568.0627997977799</v>
      </c>
      <c r="U295">
        <v>1757.8256068074099</v>
      </c>
      <c r="V295">
        <v>1540.0183834039401</v>
      </c>
      <c r="W295">
        <v>2543.4708730943598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RCAS_Y_vs_RCAS_CRE_Differential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Priyam Patel</dc:creator>
  <cp:lastModifiedBy>Microsoft Office User</cp:lastModifiedBy>
  <dcterms:created xsi:type="dcterms:W3CDTF">2020-08-14T21:00:23Z</dcterms:created>
  <dcterms:modified xsi:type="dcterms:W3CDTF">2021-11-03T20:13:00Z</dcterms:modified>
</cp:coreProperties>
</file>