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Oren/Desktop/Swati's paper-10.12.21/"/>
    </mc:Choice>
  </mc:AlternateContent>
  <xr:revisionPtr revIDLastSave="0" documentId="8_{AD5973D2-4766-514F-BE0A-FD1C3B0FD3E1}" xr6:coauthVersionLast="47" xr6:coauthVersionMax="47" xr10:uidLastSave="{00000000-0000-0000-0000-000000000000}"/>
  <bookViews>
    <workbookView xWindow="0" yWindow="500" windowWidth="35840" windowHeight="20760" xr2:uid="{00000000-000D-0000-FFFF-FFFF00000000}"/>
  </bookViews>
  <sheets>
    <sheet name="N_CRE_vs_NEL_CRE_Differential_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1" l="1"/>
  <c r="E2" i="1"/>
  <c r="B3" i="1"/>
  <c r="E3" i="1"/>
  <c r="B4" i="1"/>
  <c r="E4" i="1"/>
  <c r="B5" i="1"/>
  <c r="E5" i="1"/>
  <c r="B6" i="1"/>
  <c r="E6" i="1"/>
  <c r="B7" i="1"/>
  <c r="E7" i="1"/>
  <c r="B8" i="1"/>
  <c r="E8" i="1"/>
  <c r="B9" i="1"/>
  <c r="E9" i="1"/>
  <c r="B10" i="1"/>
  <c r="E10" i="1"/>
  <c r="B11" i="1"/>
  <c r="E11" i="1"/>
  <c r="B12" i="1"/>
  <c r="E12" i="1"/>
  <c r="B13" i="1"/>
  <c r="E13" i="1"/>
  <c r="B14" i="1"/>
  <c r="E14" i="1"/>
  <c r="B15" i="1"/>
  <c r="E15" i="1"/>
  <c r="B16" i="1"/>
  <c r="E16" i="1"/>
  <c r="B17" i="1"/>
  <c r="E17" i="1"/>
  <c r="B18" i="1"/>
  <c r="E18" i="1"/>
  <c r="B19" i="1"/>
  <c r="E19" i="1"/>
  <c r="B20" i="1"/>
  <c r="E20" i="1"/>
  <c r="B21" i="1"/>
  <c r="E21" i="1"/>
  <c r="B22" i="1"/>
  <c r="E22" i="1"/>
  <c r="B23" i="1"/>
  <c r="E23" i="1"/>
  <c r="B24" i="1"/>
  <c r="E24" i="1"/>
  <c r="B25" i="1"/>
  <c r="E25" i="1"/>
  <c r="B26" i="1"/>
  <c r="E26" i="1"/>
  <c r="B27" i="1"/>
  <c r="E27" i="1"/>
  <c r="B28" i="1"/>
  <c r="E28" i="1"/>
  <c r="B29" i="1"/>
  <c r="E29" i="1"/>
  <c r="B30" i="1"/>
  <c r="E30" i="1"/>
  <c r="B31" i="1"/>
  <c r="E31" i="1"/>
  <c r="B32" i="1"/>
  <c r="E32" i="1"/>
  <c r="B33" i="1"/>
  <c r="E33" i="1"/>
  <c r="B34" i="1"/>
  <c r="E34" i="1"/>
  <c r="B35" i="1"/>
  <c r="E35" i="1"/>
  <c r="B36" i="1"/>
  <c r="E36" i="1"/>
  <c r="B37" i="1"/>
  <c r="E37" i="1"/>
  <c r="B38" i="1"/>
  <c r="E38" i="1"/>
  <c r="B39" i="1"/>
  <c r="E39" i="1"/>
  <c r="B40" i="1"/>
  <c r="E40" i="1"/>
  <c r="B41" i="1"/>
  <c r="E41" i="1"/>
  <c r="B42" i="1"/>
  <c r="E42" i="1"/>
  <c r="B43" i="1"/>
  <c r="E43" i="1"/>
  <c r="B44" i="1"/>
  <c r="E44" i="1"/>
  <c r="B45" i="1"/>
  <c r="E45" i="1"/>
  <c r="B46" i="1"/>
  <c r="E46" i="1"/>
  <c r="B47" i="1"/>
  <c r="E47" i="1"/>
  <c r="B48" i="1"/>
  <c r="E48" i="1"/>
  <c r="B49" i="1"/>
  <c r="E49" i="1"/>
  <c r="B50" i="1"/>
  <c r="E50" i="1"/>
  <c r="B51" i="1"/>
  <c r="E51" i="1"/>
  <c r="B52" i="1"/>
  <c r="E52" i="1"/>
  <c r="B53" i="1"/>
  <c r="E53" i="1"/>
  <c r="B54" i="1"/>
  <c r="E54" i="1"/>
  <c r="B55" i="1"/>
  <c r="E55" i="1"/>
  <c r="B56" i="1"/>
  <c r="E56" i="1"/>
  <c r="B57" i="1"/>
  <c r="E57" i="1"/>
  <c r="B58" i="1"/>
  <c r="E58" i="1"/>
  <c r="B59" i="1"/>
  <c r="E59" i="1"/>
  <c r="B60" i="1"/>
  <c r="E60" i="1"/>
  <c r="B61" i="1"/>
  <c r="E61" i="1"/>
  <c r="B62" i="1"/>
  <c r="E62" i="1"/>
  <c r="B63" i="1"/>
  <c r="E63" i="1"/>
  <c r="B64" i="1"/>
  <c r="E64" i="1"/>
  <c r="B65" i="1"/>
  <c r="E65" i="1"/>
  <c r="B66" i="1"/>
  <c r="E66" i="1"/>
  <c r="B67" i="1"/>
  <c r="E67" i="1"/>
  <c r="B68" i="1"/>
  <c r="E68" i="1"/>
  <c r="B69" i="1"/>
  <c r="E69" i="1"/>
  <c r="B70" i="1"/>
  <c r="E70" i="1"/>
  <c r="B71" i="1"/>
  <c r="E71" i="1"/>
  <c r="B72" i="1"/>
  <c r="E72" i="1"/>
  <c r="B73" i="1"/>
  <c r="E73" i="1"/>
  <c r="B74" i="1"/>
  <c r="E74" i="1"/>
  <c r="B75" i="1"/>
  <c r="E75" i="1"/>
  <c r="B76" i="1"/>
  <c r="E76" i="1"/>
  <c r="B77" i="1"/>
  <c r="E77" i="1"/>
  <c r="B78" i="1"/>
  <c r="E78" i="1"/>
  <c r="B79" i="1"/>
  <c r="E79" i="1"/>
  <c r="B80" i="1"/>
  <c r="E80" i="1"/>
  <c r="B81" i="1"/>
  <c r="E81" i="1"/>
  <c r="B82" i="1"/>
  <c r="E82" i="1"/>
  <c r="B83" i="1"/>
  <c r="E83" i="1"/>
  <c r="B84" i="1"/>
  <c r="E84" i="1"/>
  <c r="B85" i="1"/>
  <c r="E85" i="1"/>
  <c r="B86" i="1"/>
  <c r="E86" i="1"/>
  <c r="B87" i="1"/>
  <c r="E87" i="1"/>
  <c r="B88" i="1"/>
  <c r="E88" i="1"/>
  <c r="B89" i="1"/>
  <c r="E89" i="1"/>
  <c r="B90" i="1"/>
  <c r="E90" i="1"/>
  <c r="B91" i="1"/>
  <c r="E91" i="1"/>
  <c r="B92" i="1"/>
  <c r="E92" i="1"/>
  <c r="B93" i="1"/>
  <c r="E93" i="1"/>
  <c r="B94" i="1"/>
  <c r="E94" i="1"/>
  <c r="B95" i="1"/>
  <c r="E95" i="1"/>
  <c r="B96" i="1"/>
  <c r="E96" i="1"/>
  <c r="B97" i="1"/>
  <c r="E97" i="1"/>
  <c r="B98" i="1"/>
  <c r="E98" i="1"/>
  <c r="B99" i="1"/>
  <c r="E99" i="1"/>
  <c r="B100" i="1"/>
  <c r="E100" i="1"/>
  <c r="B101" i="1"/>
  <c r="E101" i="1"/>
  <c r="B102" i="1"/>
  <c r="E102" i="1"/>
  <c r="B103" i="1"/>
  <c r="E103" i="1"/>
  <c r="B104" i="1"/>
  <c r="E104" i="1"/>
  <c r="B105" i="1"/>
  <c r="E105" i="1"/>
  <c r="B106" i="1"/>
  <c r="E106" i="1"/>
  <c r="B107" i="1"/>
  <c r="E107" i="1"/>
  <c r="B108" i="1"/>
  <c r="E108" i="1"/>
  <c r="B109" i="1"/>
  <c r="E109" i="1"/>
  <c r="B110" i="1"/>
  <c r="E110" i="1"/>
  <c r="B111" i="1"/>
  <c r="E111" i="1"/>
  <c r="B112" i="1"/>
  <c r="E112" i="1"/>
  <c r="B113" i="1"/>
  <c r="E113" i="1"/>
  <c r="B114" i="1"/>
  <c r="E114" i="1"/>
  <c r="B115" i="1"/>
  <c r="E115" i="1"/>
  <c r="B116" i="1"/>
  <c r="E116" i="1"/>
  <c r="B117" i="1"/>
  <c r="E117" i="1"/>
  <c r="B118" i="1"/>
  <c r="E118" i="1"/>
  <c r="B119" i="1"/>
  <c r="E119" i="1"/>
  <c r="B120" i="1"/>
  <c r="E120" i="1"/>
  <c r="B121" i="1"/>
  <c r="E121" i="1"/>
  <c r="B122" i="1"/>
  <c r="E122" i="1"/>
  <c r="B123" i="1"/>
  <c r="E123" i="1"/>
  <c r="B124" i="1"/>
  <c r="E124" i="1"/>
  <c r="B125" i="1"/>
  <c r="E125" i="1"/>
  <c r="B126" i="1"/>
  <c r="E126" i="1"/>
  <c r="B127" i="1"/>
  <c r="E127" i="1"/>
  <c r="B128" i="1"/>
  <c r="E128" i="1"/>
  <c r="B129" i="1"/>
  <c r="E129" i="1"/>
  <c r="B130" i="1"/>
  <c r="E130" i="1"/>
  <c r="B131" i="1"/>
  <c r="E131" i="1"/>
  <c r="B132" i="1"/>
  <c r="E132" i="1"/>
  <c r="B133" i="1"/>
  <c r="E133" i="1"/>
  <c r="B134" i="1"/>
  <c r="E134" i="1"/>
  <c r="B135" i="1"/>
  <c r="E135" i="1"/>
  <c r="B136" i="1"/>
  <c r="E136" i="1"/>
  <c r="B137" i="1"/>
  <c r="E137" i="1"/>
  <c r="B138" i="1"/>
  <c r="E138" i="1"/>
  <c r="B139" i="1"/>
  <c r="E139" i="1"/>
  <c r="B140" i="1"/>
  <c r="E140" i="1"/>
  <c r="B141" i="1"/>
  <c r="E141" i="1"/>
  <c r="B142" i="1"/>
  <c r="E142" i="1"/>
  <c r="B143" i="1"/>
  <c r="E143" i="1"/>
  <c r="B144" i="1"/>
  <c r="E144" i="1"/>
  <c r="B145" i="1"/>
  <c r="E145" i="1"/>
  <c r="B146" i="1"/>
  <c r="E146" i="1"/>
  <c r="B147" i="1"/>
  <c r="E147" i="1"/>
  <c r="B148" i="1"/>
  <c r="E148" i="1"/>
  <c r="B149" i="1"/>
  <c r="E149" i="1"/>
  <c r="B150" i="1"/>
  <c r="E150" i="1"/>
  <c r="B151" i="1"/>
  <c r="E151" i="1"/>
  <c r="B152" i="1"/>
  <c r="E152" i="1"/>
  <c r="B153" i="1"/>
  <c r="E153" i="1"/>
  <c r="B154" i="1"/>
  <c r="E154" i="1"/>
  <c r="B155" i="1"/>
  <c r="E155" i="1"/>
  <c r="B156" i="1"/>
  <c r="E156" i="1"/>
  <c r="B157" i="1"/>
  <c r="E157" i="1"/>
  <c r="B158" i="1"/>
  <c r="E158" i="1"/>
  <c r="B159" i="1"/>
  <c r="E159" i="1"/>
  <c r="B160" i="1"/>
  <c r="E160" i="1"/>
  <c r="B161" i="1"/>
  <c r="E161" i="1"/>
  <c r="B162" i="1"/>
  <c r="E162" i="1"/>
  <c r="B163" i="1"/>
  <c r="E163" i="1"/>
  <c r="B164" i="1"/>
  <c r="E164" i="1"/>
  <c r="B165" i="1"/>
  <c r="E165" i="1"/>
  <c r="B166" i="1"/>
  <c r="E166" i="1"/>
  <c r="B167" i="1"/>
  <c r="E167" i="1"/>
  <c r="B168" i="1"/>
  <c r="E168" i="1"/>
  <c r="B169" i="1"/>
  <c r="E169" i="1"/>
  <c r="B170" i="1"/>
  <c r="E170" i="1"/>
  <c r="B171" i="1"/>
  <c r="E171" i="1"/>
  <c r="B172" i="1"/>
  <c r="E172" i="1"/>
  <c r="B173" i="1"/>
  <c r="E173" i="1"/>
  <c r="B174" i="1"/>
  <c r="E174" i="1"/>
  <c r="B175" i="1"/>
  <c r="E175" i="1"/>
  <c r="B176" i="1"/>
  <c r="E176" i="1"/>
  <c r="B177" i="1"/>
  <c r="E177" i="1"/>
  <c r="B178" i="1"/>
  <c r="E178" i="1"/>
  <c r="B179" i="1"/>
  <c r="E179" i="1"/>
  <c r="B180" i="1"/>
  <c r="E180" i="1"/>
  <c r="B181" i="1"/>
  <c r="E181" i="1"/>
  <c r="B182" i="1"/>
  <c r="E182" i="1"/>
  <c r="B183" i="1"/>
  <c r="E183" i="1"/>
  <c r="B184" i="1"/>
  <c r="E184" i="1"/>
  <c r="B185" i="1"/>
  <c r="E185" i="1"/>
  <c r="B186" i="1"/>
  <c r="E186" i="1"/>
  <c r="B187" i="1"/>
  <c r="E187" i="1"/>
  <c r="B188" i="1"/>
  <c r="E188" i="1"/>
  <c r="B189" i="1"/>
  <c r="E189" i="1"/>
  <c r="B190" i="1"/>
  <c r="E190" i="1"/>
  <c r="B191" i="1"/>
  <c r="E191" i="1"/>
  <c r="B192" i="1"/>
  <c r="E192" i="1"/>
  <c r="B193" i="1"/>
  <c r="E193" i="1"/>
  <c r="B194" i="1"/>
  <c r="E194" i="1"/>
  <c r="B195" i="1"/>
  <c r="E195" i="1"/>
  <c r="B196" i="1"/>
  <c r="E196" i="1"/>
  <c r="B197" i="1"/>
  <c r="E197" i="1"/>
  <c r="B198" i="1"/>
  <c r="E198" i="1"/>
  <c r="B199" i="1"/>
  <c r="E199" i="1"/>
  <c r="B200" i="1"/>
  <c r="E200" i="1"/>
  <c r="B201" i="1"/>
  <c r="E201" i="1"/>
  <c r="B202" i="1"/>
  <c r="E202" i="1"/>
  <c r="B203" i="1"/>
  <c r="E203" i="1"/>
  <c r="B204" i="1"/>
  <c r="E204" i="1"/>
  <c r="B205" i="1"/>
  <c r="E205" i="1"/>
  <c r="B206" i="1"/>
  <c r="E206" i="1"/>
  <c r="B207" i="1"/>
  <c r="E207" i="1"/>
  <c r="B208" i="1"/>
  <c r="E208" i="1"/>
  <c r="B209" i="1"/>
  <c r="E209" i="1"/>
  <c r="B210" i="1"/>
  <c r="E210" i="1"/>
  <c r="B211" i="1"/>
  <c r="E211" i="1"/>
  <c r="B212" i="1"/>
  <c r="E212" i="1"/>
  <c r="B213" i="1"/>
  <c r="E213" i="1"/>
  <c r="B214" i="1"/>
  <c r="E214" i="1"/>
  <c r="B215" i="1"/>
  <c r="E215" i="1"/>
  <c r="B216" i="1"/>
  <c r="E216" i="1"/>
  <c r="B217" i="1"/>
  <c r="E217" i="1"/>
  <c r="B218" i="1"/>
  <c r="E218" i="1"/>
  <c r="B219" i="1"/>
  <c r="E219" i="1"/>
  <c r="B220" i="1"/>
  <c r="E220" i="1"/>
  <c r="B221" i="1"/>
  <c r="E221" i="1"/>
  <c r="B222" i="1"/>
  <c r="E222" i="1"/>
  <c r="B223" i="1"/>
  <c r="E223" i="1"/>
  <c r="B224" i="1"/>
  <c r="E224" i="1"/>
  <c r="B225" i="1"/>
  <c r="E225" i="1"/>
  <c r="B226" i="1"/>
  <c r="E226" i="1"/>
  <c r="B227" i="1"/>
  <c r="E227" i="1"/>
  <c r="B228" i="1"/>
  <c r="E228" i="1"/>
  <c r="B229" i="1"/>
  <c r="E229" i="1"/>
  <c r="B230" i="1"/>
  <c r="E230" i="1"/>
  <c r="B231" i="1"/>
  <c r="E231" i="1"/>
  <c r="B232" i="1"/>
  <c r="E232" i="1"/>
  <c r="B233" i="1"/>
  <c r="E233" i="1"/>
  <c r="B234" i="1"/>
  <c r="E234" i="1"/>
  <c r="B235" i="1"/>
  <c r="E235" i="1"/>
  <c r="B236" i="1"/>
  <c r="E236" i="1"/>
  <c r="B237" i="1"/>
  <c r="E237" i="1"/>
  <c r="B238" i="1"/>
  <c r="E238" i="1"/>
  <c r="B239" i="1"/>
  <c r="E239" i="1"/>
  <c r="B240" i="1"/>
  <c r="E240" i="1"/>
  <c r="B241" i="1"/>
  <c r="E241" i="1"/>
  <c r="B242" i="1"/>
  <c r="E242" i="1"/>
  <c r="B243" i="1"/>
  <c r="E243" i="1"/>
  <c r="B244" i="1"/>
  <c r="E244" i="1"/>
  <c r="B245" i="1"/>
  <c r="E245" i="1"/>
  <c r="B246" i="1"/>
  <c r="E246" i="1"/>
  <c r="B247" i="1"/>
  <c r="E247" i="1"/>
  <c r="B248" i="1"/>
  <c r="E248" i="1"/>
  <c r="B249" i="1"/>
  <c r="E249" i="1"/>
  <c r="B250" i="1"/>
  <c r="E250" i="1"/>
  <c r="B251" i="1"/>
  <c r="E251" i="1"/>
  <c r="B252" i="1"/>
  <c r="E252" i="1"/>
  <c r="B253" i="1"/>
  <c r="E253" i="1"/>
  <c r="B254" i="1"/>
  <c r="E254" i="1"/>
  <c r="B255" i="1"/>
  <c r="E255" i="1"/>
  <c r="B256" i="1"/>
  <c r="E256" i="1"/>
  <c r="B257" i="1"/>
  <c r="E257" i="1"/>
  <c r="B258" i="1"/>
  <c r="E258" i="1"/>
  <c r="B259" i="1"/>
  <c r="E259" i="1"/>
  <c r="B260" i="1"/>
  <c r="E260" i="1"/>
  <c r="B261" i="1"/>
  <c r="E261" i="1"/>
  <c r="B262" i="1"/>
  <c r="E262" i="1"/>
  <c r="B263" i="1"/>
  <c r="E263" i="1"/>
  <c r="B264" i="1"/>
  <c r="E264" i="1"/>
  <c r="B265" i="1"/>
  <c r="E265" i="1"/>
  <c r="B266" i="1"/>
  <c r="E266" i="1"/>
  <c r="B267" i="1"/>
  <c r="E267" i="1"/>
  <c r="B268" i="1"/>
  <c r="E268" i="1"/>
  <c r="B269" i="1"/>
  <c r="E269" i="1"/>
  <c r="B270" i="1"/>
  <c r="E270" i="1"/>
  <c r="B271" i="1"/>
  <c r="E271" i="1"/>
  <c r="B272" i="1"/>
  <c r="E272" i="1"/>
  <c r="B273" i="1"/>
  <c r="E273" i="1"/>
  <c r="B274" i="1"/>
  <c r="E274" i="1"/>
  <c r="B275" i="1"/>
  <c r="E275" i="1"/>
  <c r="B276" i="1"/>
  <c r="E276" i="1"/>
  <c r="B277" i="1"/>
  <c r="E277" i="1"/>
  <c r="B278" i="1"/>
  <c r="E278" i="1"/>
  <c r="B279" i="1"/>
  <c r="E279" i="1"/>
  <c r="B280" i="1"/>
  <c r="E280" i="1"/>
  <c r="B281" i="1"/>
  <c r="E281" i="1"/>
  <c r="B282" i="1"/>
  <c r="E282" i="1"/>
  <c r="B283" i="1"/>
  <c r="E283" i="1"/>
  <c r="B284" i="1"/>
  <c r="E284" i="1"/>
  <c r="B285" i="1"/>
  <c r="E285" i="1"/>
  <c r="B286" i="1"/>
  <c r="E286" i="1"/>
  <c r="B287" i="1"/>
  <c r="E287" i="1"/>
  <c r="B288" i="1"/>
  <c r="E288" i="1"/>
  <c r="B289" i="1"/>
  <c r="E289" i="1"/>
  <c r="B290" i="1"/>
  <c r="E290" i="1"/>
  <c r="B291" i="1"/>
  <c r="E291" i="1"/>
  <c r="B292" i="1"/>
  <c r="E292" i="1"/>
  <c r="B293" i="1"/>
  <c r="E293" i="1"/>
  <c r="B294" i="1"/>
  <c r="E294" i="1"/>
  <c r="B295" i="1"/>
  <c r="E295" i="1"/>
  <c r="B296" i="1"/>
  <c r="E296" i="1"/>
  <c r="B297" i="1"/>
  <c r="E297" i="1"/>
  <c r="B298" i="1"/>
  <c r="E298" i="1"/>
  <c r="B299" i="1"/>
  <c r="E299" i="1"/>
  <c r="B300" i="1"/>
  <c r="E300" i="1"/>
  <c r="B301" i="1"/>
  <c r="E301" i="1"/>
  <c r="B302" i="1"/>
  <c r="E302" i="1"/>
  <c r="B303" i="1"/>
  <c r="E303" i="1"/>
  <c r="B304" i="1"/>
  <c r="E304" i="1"/>
  <c r="B305" i="1"/>
  <c r="E305" i="1"/>
  <c r="B306" i="1"/>
  <c r="E306" i="1"/>
  <c r="B307" i="1"/>
  <c r="E307" i="1"/>
  <c r="B308" i="1"/>
  <c r="E308" i="1"/>
  <c r="B309" i="1"/>
  <c r="E309" i="1"/>
  <c r="B310" i="1"/>
  <c r="E310" i="1"/>
  <c r="B311" i="1"/>
  <c r="E311" i="1"/>
  <c r="B312" i="1"/>
  <c r="E312" i="1"/>
  <c r="B313" i="1"/>
  <c r="E313" i="1"/>
  <c r="B314" i="1"/>
  <c r="E314" i="1"/>
  <c r="B315" i="1"/>
  <c r="E315" i="1"/>
  <c r="B316" i="1"/>
  <c r="E316" i="1"/>
  <c r="B317" i="1"/>
  <c r="E317" i="1"/>
  <c r="B318" i="1"/>
  <c r="E318" i="1"/>
  <c r="B319" i="1"/>
  <c r="E319" i="1"/>
  <c r="B320" i="1"/>
  <c r="E320" i="1"/>
  <c r="B321" i="1"/>
  <c r="E321" i="1"/>
  <c r="B322" i="1"/>
  <c r="E322" i="1"/>
  <c r="B323" i="1"/>
  <c r="E323" i="1"/>
  <c r="B324" i="1"/>
  <c r="E324" i="1"/>
  <c r="B325" i="1"/>
  <c r="E325" i="1"/>
  <c r="B326" i="1"/>
  <c r="E326" i="1"/>
  <c r="B327" i="1"/>
  <c r="E327" i="1"/>
  <c r="B328" i="1"/>
  <c r="E328" i="1"/>
  <c r="B329" i="1"/>
  <c r="E329" i="1"/>
  <c r="B330" i="1"/>
  <c r="E330" i="1"/>
  <c r="B331" i="1"/>
  <c r="E331" i="1"/>
  <c r="B332" i="1"/>
  <c r="E332" i="1"/>
  <c r="B333" i="1"/>
  <c r="E333" i="1"/>
  <c r="B334" i="1"/>
  <c r="E334" i="1"/>
  <c r="B335" i="1"/>
  <c r="E335" i="1"/>
  <c r="B336" i="1"/>
  <c r="E336" i="1"/>
  <c r="B337" i="1"/>
  <c r="E337" i="1"/>
  <c r="B338" i="1"/>
  <c r="E338" i="1"/>
  <c r="B339" i="1"/>
  <c r="E339" i="1"/>
  <c r="B340" i="1"/>
  <c r="E340" i="1"/>
  <c r="B341" i="1"/>
  <c r="E341" i="1"/>
  <c r="B342" i="1"/>
  <c r="E342" i="1"/>
  <c r="B343" i="1"/>
  <c r="E343" i="1"/>
  <c r="B344" i="1"/>
  <c r="E344" i="1"/>
  <c r="B345" i="1"/>
  <c r="E345" i="1"/>
  <c r="B346" i="1"/>
  <c r="E346" i="1"/>
  <c r="B347" i="1"/>
  <c r="E347" i="1"/>
  <c r="B348" i="1"/>
  <c r="E348" i="1"/>
  <c r="B349" i="1"/>
  <c r="E349" i="1"/>
  <c r="B350" i="1"/>
  <c r="E350" i="1"/>
  <c r="B351" i="1"/>
  <c r="E351" i="1"/>
  <c r="B352" i="1"/>
  <c r="E352" i="1"/>
  <c r="B353" i="1"/>
  <c r="E353" i="1"/>
  <c r="B354" i="1"/>
  <c r="E354" i="1"/>
  <c r="B355" i="1"/>
  <c r="E355" i="1"/>
  <c r="B356" i="1"/>
  <c r="E356" i="1"/>
  <c r="B357" i="1"/>
  <c r="E357" i="1"/>
  <c r="B358" i="1"/>
  <c r="E358" i="1"/>
  <c r="B359" i="1"/>
  <c r="E359" i="1"/>
  <c r="B360" i="1"/>
  <c r="E360" i="1"/>
  <c r="B361" i="1"/>
  <c r="E361" i="1"/>
  <c r="B362" i="1"/>
  <c r="E362" i="1"/>
  <c r="B363" i="1"/>
  <c r="E363" i="1"/>
  <c r="B364" i="1"/>
  <c r="E364" i="1"/>
  <c r="B365" i="1"/>
  <c r="E365" i="1"/>
  <c r="B366" i="1"/>
  <c r="E366" i="1"/>
  <c r="B367" i="1"/>
  <c r="E367" i="1"/>
  <c r="B368" i="1"/>
  <c r="E368" i="1"/>
  <c r="B369" i="1"/>
  <c r="E369" i="1"/>
  <c r="B370" i="1"/>
  <c r="E370" i="1"/>
  <c r="B371" i="1"/>
  <c r="E371" i="1"/>
  <c r="B372" i="1"/>
  <c r="E372" i="1"/>
  <c r="B373" i="1"/>
  <c r="E373" i="1"/>
  <c r="B374" i="1"/>
  <c r="E374" i="1"/>
  <c r="B375" i="1"/>
  <c r="E375" i="1"/>
  <c r="B376" i="1"/>
  <c r="E376" i="1"/>
  <c r="B377" i="1"/>
  <c r="E377" i="1"/>
  <c r="B378" i="1"/>
  <c r="E378" i="1"/>
  <c r="B379" i="1"/>
  <c r="E379" i="1"/>
  <c r="B380" i="1"/>
  <c r="E380" i="1"/>
  <c r="B381" i="1"/>
  <c r="E381" i="1"/>
  <c r="B382" i="1"/>
  <c r="E382" i="1"/>
  <c r="B383" i="1"/>
  <c r="E383" i="1"/>
  <c r="B384" i="1"/>
  <c r="E384" i="1"/>
  <c r="B385" i="1"/>
  <c r="E385" i="1"/>
  <c r="B386" i="1"/>
  <c r="E386" i="1"/>
  <c r="B387" i="1"/>
  <c r="E387" i="1"/>
  <c r="B388" i="1"/>
  <c r="E388" i="1"/>
  <c r="B389" i="1"/>
  <c r="E389" i="1"/>
  <c r="B390" i="1"/>
  <c r="E390" i="1"/>
  <c r="B391" i="1"/>
  <c r="E391" i="1"/>
  <c r="B392" i="1"/>
  <c r="E392" i="1"/>
  <c r="B393" i="1"/>
  <c r="E393" i="1"/>
  <c r="B394" i="1"/>
  <c r="E394" i="1"/>
  <c r="B395" i="1"/>
  <c r="E395" i="1"/>
  <c r="B396" i="1"/>
  <c r="E396" i="1"/>
  <c r="B397" i="1"/>
  <c r="E397" i="1"/>
  <c r="B398" i="1"/>
  <c r="E398" i="1"/>
  <c r="B399" i="1"/>
  <c r="E399" i="1"/>
  <c r="B400" i="1"/>
  <c r="E400" i="1"/>
  <c r="B401" i="1"/>
  <c r="E401" i="1"/>
  <c r="B402" i="1"/>
  <c r="E402" i="1"/>
  <c r="B403" i="1"/>
  <c r="E403" i="1"/>
  <c r="B404" i="1"/>
  <c r="E404" i="1"/>
  <c r="B405" i="1"/>
  <c r="E405" i="1"/>
  <c r="B406" i="1"/>
  <c r="E406" i="1"/>
  <c r="B407" i="1"/>
  <c r="E407" i="1"/>
  <c r="B408" i="1"/>
  <c r="E408" i="1"/>
  <c r="B409" i="1"/>
  <c r="E409" i="1"/>
  <c r="B410" i="1"/>
  <c r="E410" i="1"/>
  <c r="B411" i="1"/>
  <c r="E411" i="1"/>
  <c r="B412" i="1"/>
  <c r="E412" i="1"/>
  <c r="B413" i="1"/>
  <c r="E413" i="1"/>
  <c r="B414" i="1"/>
  <c r="E414" i="1"/>
  <c r="B415" i="1"/>
  <c r="E415" i="1"/>
  <c r="B416" i="1"/>
  <c r="E416" i="1"/>
  <c r="B417" i="1"/>
  <c r="E417" i="1"/>
  <c r="B418" i="1"/>
  <c r="E418" i="1"/>
  <c r="B419" i="1"/>
  <c r="E419" i="1"/>
  <c r="B420" i="1"/>
  <c r="E420" i="1"/>
  <c r="B421" i="1"/>
  <c r="E421" i="1"/>
  <c r="B422" i="1"/>
  <c r="E422" i="1"/>
  <c r="B423" i="1"/>
  <c r="E423" i="1"/>
  <c r="B424" i="1"/>
  <c r="E424" i="1"/>
  <c r="B425" i="1"/>
  <c r="E425" i="1"/>
  <c r="B426" i="1"/>
  <c r="E426" i="1"/>
  <c r="B427" i="1"/>
  <c r="E427" i="1"/>
  <c r="B428" i="1"/>
  <c r="E428" i="1"/>
  <c r="B429" i="1"/>
  <c r="E429" i="1"/>
  <c r="B430" i="1"/>
  <c r="E430" i="1"/>
  <c r="B431" i="1"/>
  <c r="E431" i="1"/>
  <c r="B432" i="1"/>
  <c r="E432" i="1"/>
  <c r="B433" i="1"/>
  <c r="E433" i="1"/>
  <c r="B434" i="1"/>
  <c r="E434" i="1"/>
  <c r="B435" i="1"/>
  <c r="E435" i="1"/>
  <c r="B436" i="1"/>
  <c r="E436" i="1"/>
  <c r="B437" i="1"/>
  <c r="E437" i="1"/>
  <c r="B438" i="1"/>
  <c r="E438" i="1"/>
  <c r="B439" i="1"/>
  <c r="E439" i="1"/>
  <c r="B440" i="1"/>
  <c r="E440" i="1"/>
  <c r="B441" i="1"/>
  <c r="E441" i="1"/>
  <c r="B442" i="1"/>
  <c r="E442" i="1"/>
  <c r="B443" i="1"/>
  <c r="E443" i="1"/>
  <c r="B444" i="1"/>
  <c r="E444" i="1"/>
  <c r="B445" i="1"/>
  <c r="E445" i="1"/>
  <c r="B446" i="1"/>
  <c r="E446" i="1"/>
  <c r="B447" i="1"/>
  <c r="E447" i="1"/>
  <c r="B448" i="1"/>
  <c r="E448" i="1"/>
  <c r="B449" i="1"/>
  <c r="E449" i="1"/>
  <c r="B450" i="1"/>
  <c r="E450" i="1"/>
  <c r="B451" i="1"/>
  <c r="E451" i="1"/>
  <c r="B452" i="1"/>
  <c r="E452" i="1"/>
  <c r="B453" i="1"/>
  <c r="E453" i="1"/>
  <c r="B454" i="1"/>
  <c r="E454" i="1"/>
  <c r="B455" i="1"/>
  <c r="E455" i="1"/>
  <c r="B456" i="1"/>
  <c r="E456" i="1"/>
  <c r="B457" i="1"/>
  <c r="E457" i="1"/>
  <c r="B458" i="1"/>
  <c r="E458" i="1"/>
  <c r="B459" i="1"/>
  <c r="E459" i="1"/>
  <c r="B460" i="1"/>
  <c r="E460" i="1"/>
  <c r="B461" i="1"/>
  <c r="E461" i="1"/>
  <c r="B462" i="1"/>
  <c r="E462" i="1"/>
  <c r="B463" i="1"/>
  <c r="E463" i="1"/>
  <c r="B464" i="1"/>
  <c r="E464" i="1"/>
  <c r="B465" i="1"/>
  <c r="E465" i="1"/>
  <c r="B466" i="1"/>
  <c r="E466" i="1"/>
  <c r="B467" i="1"/>
  <c r="E467" i="1"/>
  <c r="B468" i="1"/>
  <c r="E468" i="1"/>
  <c r="B469" i="1"/>
  <c r="E469" i="1"/>
  <c r="B470" i="1"/>
  <c r="E470" i="1"/>
  <c r="B471" i="1"/>
  <c r="E471" i="1"/>
  <c r="B472" i="1"/>
  <c r="E472" i="1"/>
  <c r="B473" i="1"/>
  <c r="E473" i="1"/>
  <c r="B474" i="1"/>
  <c r="E474" i="1"/>
  <c r="B475" i="1"/>
  <c r="E475" i="1"/>
  <c r="B476" i="1"/>
  <c r="E476" i="1"/>
  <c r="B477" i="1"/>
  <c r="E477" i="1"/>
  <c r="B478" i="1"/>
  <c r="E478" i="1"/>
  <c r="B479" i="1"/>
  <c r="E479" i="1"/>
  <c r="B480" i="1"/>
  <c r="E480" i="1"/>
  <c r="B481" i="1"/>
  <c r="E481" i="1"/>
  <c r="B482" i="1"/>
  <c r="E482" i="1"/>
  <c r="B483" i="1"/>
  <c r="E483" i="1"/>
  <c r="B484" i="1"/>
  <c r="E484" i="1"/>
  <c r="B485" i="1"/>
  <c r="E485" i="1"/>
  <c r="B486" i="1"/>
  <c r="E486" i="1"/>
  <c r="B487" i="1"/>
  <c r="E487" i="1"/>
  <c r="B488" i="1"/>
  <c r="E488" i="1"/>
  <c r="B489" i="1"/>
  <c r="E489" i="1"/>
  <c r="B490" i="1"/>
  <c r="E490" i="1"/>
  <c r="B491" i="1"/>
  <c r="E491" i="1"/>
  <c r="B492" i="1"/>
  <c r="E492" i="1"/>
  <c r="B493" i="1"/>
  <c r="E493" i="1"/>
  <c r="B494" i="1"/>
  <c r="E494" i="1"/>
  <c r="B495" i="1"/>
  <c r="E495" i="1"/>
  <c r="B496" i="1"/>
  <c r="E496" i="1"/>
  <c r="B497" i="1"/>
  <c r="E497" i="1"/>
  <c r="B498" i="1"/>
  <c r="E498" i="1"/>
  <c r="B499" i="1"/>
  <c r="E499" i="1"/>
  <c r="B500" i="1"/>
  <c r="E500" i="1"/>
  <c r="B501" i="1"/>
  <c r="E501" i="1"/>
  <c r="B502" i="1"/>
  <c r="E502" i="1"/>
  <c r="B503" i="1"/>
  <c r="E503" i="1"/>
  <c r="B504" i="1"/>
  <c r="E504" i="1"/>
  <c r="B505" i="1"/>
  <c r="E505" i="1"/>
  <c r="B506" i="1"/>
  <c r="E506" i="1"/>
  <c r="B507" i="1"/>
  <c r="E507" i="1"/>
  <c r="B508" i="1"/>
  <c r="E508" i="1"/>
  <c r="B509" i="1"/>
  <c r="E509" i="1"/>
  <c r="B510" i="1"/>
  <c r="E510" i="1"/>
  <c r="B511" i="1"/>
  <c r="E511" i="1"/>
  <c r="B512" i="1"/>
  <c r="E512" i="1"/>
  <c r="B513" i="1"/>
  <c r="E513" i="1"/>
  <c r="B514" i="1"/>
  <c r="E514" i="1"/>
  <c r="B515" i="1"/>
  <c r="E515" i="1"/>
  <c r="B516" i="1"/>
  <c r="E516" i="1"/>
  <c r="B517" i="1"/>
  <c r="E517" i="1"/>
  <c r="B518" i="1"/>
  <c r="E518" i="1"/>
  <c r="B519" i="1"/>
  <c r="E519" i="1"/>
  <c r="B520" i="1"/>
  <c r="E520" i="1"/>
  <c r="B521" i="1"/>
  <c r="E521" i="1"/>
  <c r="B522" i="1"/>
  <c r="E522" i="1"/>
  <c r="B523" i="1"/>
  <c r="E523" i="1"/>
  <c r="B524" i="1"/>
  <c r="E524" i="1"/>
  <c r="B525" i="1"/>
  <c r="E525" i="1"/>
  <c r="B526" i="1"/>
  <c r="E526" i="1"/>
  <c r="B527" i="1"/>
  <c r="E527" i="1"/>
  <c r="B528" i="1"/>
  <c r="E528" i="1"/>
  <c r="B529" i="1"/>
  <c r="E529" i="1"/>
  <c r="B530" i="1"/>
  <c r="E530" i="1"/>
  <c r="B531" i="1"/>
  <c r="E531" i="1"/>
  <c r="B532" i="1"/>
  <c r="E532" i="1"/>
  <c r="B533" i="1"/>
  <c r="E533" i="1"/>
  <c r="B534" i="1"/>
  <c r="E534" i="1"/>
  <c r="B535" i="1"/>
  <c r="E535" i="1"/>
  <c r="B536" i="1"/>
  <c r="E536" i="1"/>
  <c r="B537" i="1"/>
  <c r="E537" i="1"/>
  <c r="B538" i="1"/>
  <c r="E538" i="1"/>
  <c r="B539" i="1"/>
  <c r="E539" i="1"/>
  <c r="B540" i="1"/>
  <c r="E540" i="1"/>
  <c r="B541" i="1"/>
  <c r="E541" i="1"/>
  <c r="B542" i="1"/>
  <c r="E542" i="1"/>
  <c r="B543" i="1"/>
  <c r="E543" i="1"/>
  <c r="B544" i="1"/>
  <c r="E544" i="1"/>
  <c r="B545" i="1"/>
  <c r="E545" i="1"/>
  <c r="B546" i="1"/>
  <c r="E546" i="1"/>
  <c r="B547" i="1"/>
  <c r="E547" i="1"/>
  <c r="B548" i="1"/>
  <c r="E548" i="1"/>
  <c r="B549" i="1"/>
  <c r="E549" i="1"/>
  <c r="B550" i="1"/>
  <c r="E550" i="1"/>
  <c r="B551" i="1"/>
  <c r="E551" i="1"/>
  <c r="B552" i="1"/>
  <c r="E552" i="1"/>
  <c r="B553" i="1"/>
  <c r="E553" i="1"/>
  <c r="B554" i="1"/>
  <c r="E554" i="1"/>
  <c r="B555" i="1"/>
  <c r="E555" i="1"/>
  <c r="B556" i="1"/>
  <c r="E556" i="1"/>
  <c r="B557" i="1"/>
  <c r="E557" i="1"/>
  <c r="B558" i="1"/>
  <c r="E558" i="1"/>
  <c r="B559" i="1"/>
  <c r="E559" i="1"/>
  <c r="B560" i="1"/>
  <c r="E560" i="1"/>
  <c r="B561" i="1"/>
  <c r="E561" i="1"/>
  <c r="B562" i="1"/>
  <c r="E562" i="1"/>
  <c r="B563" i="1"/>
  <c r="E563" i="1"/>
  <c r="B564" i="1"/>
  <c r="E564" i="1"/>
  <c r="B565" i="1"/>
  <c r="E565" i="1"/>
  <c r="B566" i="1"/>
  <c r="E566" i="1"/>
  <c r="B567" i="1"/>
  <c r="E567" i="1"/>
  <c r="B568" i="1"/>
  <c r="E568" i="1"/>
  <c r="B569" i="1"/>
  <c r="E569" i="1"/>
  <c r="B570" i="1"/>
  <c r="E570" i="1"/>
  <c r="B571" i="1"/>
  <c r="E571" i="1"/>
  <c r="B572" i="1"/>
  <c r="E572" i="1"/>
  <c r="B573" i="1"/>
  <c r="E573" i="1"/>
  <c r="B574" i="1"/>
  <c r="E574" i="1"/>
  <c r="B575" i="1"/>
  <c r="E575" i="1"/>
  <c r="B576" i="1"/>
  <c r="E576" i="1"/>
  <c r="B577" i="1"/>
  <c r="E577" i="1"/>
  <c r="B578" i="1"/>
  <c r="E578" i="1"/>
  <c r="B579" i="1"/>
  <c r="E579" i="1"/>
  <c r="B580" i="1"/>
  <c r="E580" i="1"/>
  <c r="B581" i="1"/>
  <c r="E581" i="1"/>
  <c r="B582" i="1"/>
  <c r="E582" i="1"/>
  <c r="B583" i="1"/>
  <c r="E583" i="1"/>
  <c r="B584" i="1"/>
  <c r="E584" i="1"/>
  <c r="B585" i="1"/>
  <c r="E585" i="1"/>
  <c r="B586" i="1"/>
  <c r="E586" i="1"/>
  <c r="B587" i="1"/>
  <c r="E587" i="1"/>
  <c r="B588" i="1"/>
  <c r="E588" i="1"/>
  <c r="B589" i="1"/>
  <c r="E589" i="1"/>
  <c r="B590" i="1"/>
  <c r="E590" i="1"/>
  <c r="B591" i="1"/>
  <c r="E591" i="1"/>
  <c r="B592" i="1"/>
  <c r="E592" i="1"/>
  <c r="B593" i="1"/>
  <c r="E593" i="1"/>
  <c r="B594" i="1"/>
  <c r="E594" i="1"/>
  <c r="B595" i="1"/>
  <c r="E595" i="1"/>
  <c r="B596" i="1"/>
  <c r="E596" i="1"/>
  <c r="B597" i="1"/>
  <c r="E597" i="1"/>
  <c r="B598" i="1"/>
  <c r="E598" i="1"/>
  <c r="B599" i="1"/>
  <c r="E599" i="1"/>
  <c r="B600" i="1"/>
  <c r="E600" i="1"/>
  <c r="B601" i="1"/>
  <c r="E601" i="1"/>
  <c r="B602" i="1"/>
  <c r="E602" i="1"/>
  <c r="B603" i="1"/>
  <c r="E603" i="1"/>
  <c r="B604" i="1"/>
  <c r="E604" i="1"/>
  <c r="B605" i="1"/>
  <c r="E605" i="1"/>
  <c r="B606" i="1"/>
  <c r="E606" i="1"/>
  <c r="B607" i="1"/>
  <c r="E607" i="1"/>
  <c r="B608" i="1"/>
  <c r="E608" i="1"/>
  <c r="B609" i="1"/>
  <c r="E609" i="1"/>
  <c r="B610" i="1"/>
  <c r="E610" i="1"/>
  <c r="B611" i="1"/>
  <c r="E611" i="1"/>
  <c r="B612" i="1"/>
  <c r="E612" i="1"/>
  <c r="B613" i="1"/>
  <c r="E613" i="1"/>
  <c r="B614" i="1"/>
  <c r="E614" i="1"/>
  <c r="B615" i="1"/>
  <c r="E615" i="1"/>
  <c r="B616" i="1"/>
  <c r="E616" i="1"/>
  <c r="B617" i="1"/>
  <c r="E617" i="1"/>
  <c r="B618" i="1"/>
  <c r="E618" i="1"/>
  <c r="B619" i="1"/>
  <c r="E619" i="1"/>
  <c r="B620" i="1"/>
  <c r="E620" i="1"/>
  <c r="B621" i="1"/>
  <c r="E621" i="1"/>
  <c r="B622" i="1"/>
  <c r="E622" i="1"/>
  <c r="B623" i="1"/>
  <c r="E623" i="1"/>
  <c r="B624" i="1"/>
  <c r="E624" i="1"/>
  <c r="B625" i="1"/>
  <c r="E625" i="1"/>
  <c r="B626" i="1"/>
  <c r="E626" i="1"/>
  <c r="B627" i="1"/>
  <c r="E627" i="1"/>
  <c r="B628" i="1"/>
  <c r="E628" i="1"/>
  <c r="B629" i="1"/>
  <c r="E629" i="1"/>
  <c r="B630" i="1"/>
  <c r="E630" i="1"/>
  <c r="B631" i="1"/>
  <c r="E631" i="1"/>
  <c r="B632" i="1"/>
  <c r="E632" i="1"/>
  <c r="B633" i="1"/>
  <c r="E633" i="1"/>
  <c r="B634" i="1"/>
  <c r="E634" i="1"/>
  <c r="B635" i="1"/>
  <c r="E635" i="1"/>
  <c r="B636" i="1"/>
  <c r="E636" i="1"/>
  <c r="B637" i="1"/>
  <c r="E637" i="1"/>
  <c r="B638" i="1"/>
  <c r="E638" i="1"/>
  <c r="B639" i="1"/>
  <c r="E639" i="1"/>
  <c r="B640" i="1"/>
  <c r="E640" i="1"/>
  <c r="B641" i="1"/>
  <c r="E641" i="1"/>
  <c r="B642" i="1"/>
  <c r="E642" i="1"/>
  <c r="B643" i="1"/>
  <c r="E643" i="1"/>
  <c r="B644" i="1"/>
  <c r="E644" i="1"/>
  <c r="B645" i="1"/>
  <c r="E645" i="1"/>
  <c r="B646" i="1"/>
  <c r="E646" i="1"/>
  <c r="B647" i="1"/>
  <c r="E647" i="1"/>
  <c r="B648" i="1"/>
  <c r="E648" i="1"/>
  <c r="B649" i="1"/>
  <c r="E649" i="1"/>
  <c r="B650" i="1"/>
  <c r="E650" i="1"/>
  <c r="B651" i="1"/>
  <c r="E651" i="1"/>
  <c r="B652" i="1"/>
  <c r="E652" i="1"/>
  <c r="B653" i="1"/>
  <c r="E653" i="1"/>
  <c r="B654" i="1"/>
  <c r="E654" i="1"/>
  <c r="B655" i="1"/>
  <c r="E655" i="1"/>
  <c r="B656" i="1"/>
  <c r="E656" i="1"/>
  <c r="B657" i="1"/>
  <c r="E657" i="1"/>
  <c r="B658" i="1"/>
  <c r="E658" i="1"/>
  <c r="B659" i="1"/>
  <c r="E659" i="1"/>
  <c r="B660" i="1"/>
  <c r="E660" i="1"/>
  <c r="B661" i="1"/>
  <c r="E661" i="1"/>
  <c r="B662" i="1"/>
  <c r="E662" i="1"/>
  <c r="B663" i="1"/>
  <c r="E663" i="1"/>
  <c r="B664" i="1"/>
  <c r="E664" i="1"/>
  <c r="B665" i="1"/>
  <c r="E665" i="1"/>
  <c r="B666" i="1"/>
  <c r="E666" i="1"/>
  <c r="B667" i="1"/>
  <c r="E667" i="1"/>
  <c r="B668" i="1"/>
  <c r="E668" i="1"/>
  <c r="B669" i="1"/>
  <c r="E669" i="1"/>
  <c r="B670" i="1"/>
  <c r="E670" i="1"/>
  <c r="B671" i="1"/>
  <c r="E671" i="1"/>
  <c r="B672" i="1"/>
  <c r="E672" i="1"/>
  <c r="B673" i="1"/>
  <c r="E673" i="1"/>
  <c r="B674" i="1"/>
  <c r="E674" i="1"/>
  <c r="B675" i="1"/>
  <c r="E675" i="1"/>
  <c r="B676" i="1"/>
  <c r="E676" i="1"/>
  <c r="B677" i="1"/>
  <c r="E677" i="1"/>
  <c r="B678" i="1"/>
  <c r="E678" i="1"/>
  <c r="B679" i="1"/>
  <c r="E679" i="1"/>
  <c r="B680" i="1"/>
  <c r="E680" i="1"/>
  <c r="B681" i="1"/>
  <c r="E681" i="1"/>
  <c r="B682" i="1"/>
  <c r="E682" i="1"/>
  <c r="B683" i="1"/>
  <c r="E683" i="1"/>
  <c r="B684" i="1"/>
  <c r="E684" i="1"/>
  <c r="B685" i="1"/>
  <c r="E685" i="1"/>
  <c r="B686" i="1"/>
  <c r="E686" i="1"/>
  <c r="B687" i="1"/>
  <c r="E687" i="1"/>
  <c r="B688" i="1"/>
  <c r="E688" i="1"/>
  <c r="B689" i="1"/>
  <c r="E689" i="1"/>
  <c r="B690" i="1"/>
  <c r="E690" i="1"/>
  <c r="B691" i="1"/>
  <c r="E691" i="1"/>
  <c r="B692" i="1"/>
  <c r="E692" i="1"/>
  <c r="B693" i="1"/>
  <c r="E693" i="1"/>
  <c r="B694" i="1"/>
  <c r="E694" i="1"/>
  <c r="B695" i="1"/>
  <c r="E695" i="1"/>
  <c r="B696" i="1"/>
  <c r="E696" i="1"/>
  <c r="B697" i="1"/>
  <c r="E697" i="1"/>
  <c r="B698" i="1"/>
  <c r="E698" i="1"/>
  <c r="B699" i="1"/>
  <c r="E699" i="1"/>
  <c r="B700" i="1"/>
  <c r="E700" i="1"/>
  <c r="B701" i="1"/>
  <c r="E701" i="1"/>
  <c r="B702" i="1"/>
  <c r="E702" i="1"/>
  <c r="B703" i="1"/>
  <c r="E703" i="1"/>
  <c r="B704" i="1"/>
  <c r="E704" i="1"/>
  <c r="B705" i="1"/>
  <c r="E705" i="1"/>
  <c r="B706" i="1"/>
  <c r="E706" i="1"/>
  <c r="B707" i="1"/>
  <c r="E707" i="1"/>
  <c r="B708" i="1"/>
  <c r="E708" i="1"/>
  <c r="B709" i="1"/>
  <c r="E709" i="1"/>
  <c r="B710" i="1"/>
  <c r="E710" i="1"/>
  <c r="B711" i="1"/>
  <c r="E711" i="1"/>
  <c r="B712" i="1"/>
  <c r="E712" i="1"/>
  <c r="B713" i="1"/>
  <c r="E713" i="1"/>
  <c r="B714" i="1"/>
  <c r="E714" i="1"/>
  <c r="B715" i="1"/>
  <c r="E715" i="1"/>
  <c r="B716" i="1"/>
  <c r="E716" i="1"/>
  <c r="B717" i="1"/>
  <c r="E717" i="1"/>
  <c r="B718" i="1"/>
  <c r="E718" i="1"/>
  <c r="B719" i="1"/>
  <c r="E719" i="1"/>
  <c r="B720" i="1"/>
  <c r="E720" i="1"/>
  <c r="B721" i="1"/>
  <c r="E721" i="1"/>
  <c r="B722" i="1"/>
  <c r="E722" i="1"/>
  <c r="B723" i="1"/>
  <c r="E723" i="1"/>
  <c r="B724" i="1"/>
  <c r="E724" i="1"/>
  <c r="B725" i="1"/>
  <c r="E725" i="1"/>
  <c r="B726" i="1"/>
  <c r="E726" i="1"/>
  <c r="B727" i="1"/>
  <c r="E727" i="1"/>
  <c r="B728" i="1"/>
  <c r="E728" i="1"/>
  <c r="B729" i="1"/>
  <c r="E729" i="1"/>
  <c r="B730" i="1"/>
  <c r="E730" i="1"/>
  <c r="B731" i="1"/>
  <c r="E731" i="1"/>
  <c r="B732" i="1"/>
  <c r="E732" i="1"/>
  <c r="B733" i="1"/>
  <c r="E733" i="1"/>
  <c r="B734" i="1"/>
  <c r="E734" i="1"/>
  <c r="B735" i="1"/>
  <c r="E735" i="1"/>
  <c r="B736" i="1"/>
  <c r="E736" i="1"/>
  <c r="B737" i="1"/>
  <c r="E737" i="1"/>
  <c r="B738" i="1"/>
  <c r="E738" i="1"/>
  <c r="B739" i="1"/>
  <c r="E739" i="1"/>
  <c r="B740" i="1"/>
  <c r="E740" i="1"/>
  <c r="B741" i="1"/>
  <c r="E741" i="1"/>
  <c r="B742" i="1"/>
  <c r="E742" i="1"/>
  <c r="B743" i="1"/>
  <c r="E743" i="1"/>
  <c r="B744" i="1"/>
  <c r="E744" i="1"/>
  <c r="B745" i="1"/>
  <c r="E745" i="1"/>
  <c r="B746" i="1"/>
  <c r="E746" i="1"/>
  <c r="B747" i="1"/>
  <c r="E747" i="1"/>
  <c r="B748" i="1"/>
  <c r="E748" i="1"/>
  <c r="B749" i="1"/>
  <c r="E749" i="1"/>
  <c r="B750" i="1"/>
  <c r="E750" i="1"/>
  <c r="B751" i="1"/>
  <c r="E751" i="1"/>
  <c r="B752" i="1"/>
  <c r="E752" i="1"/>
  <c r="B753" i="1"/>
  <c r="E753" i="1"/>
  <c r="B754" i="1"/>
  <c r="E754" i="1"/>
  <c r="B755" i="1"/>
  <c r="E755" i="1"/>
  <c r="B756" i="1"/>
  <c r="E756" i="1"/>
  <c r="B757" i="1"/>
  <c r="E757" i="1"/>
  <c r="B758" i="1"/>
  <c r="E758" i="1"/>
  <c r="B759" i="1"/>
  <c r="E759" i="1"/>
  <c r="B760" i="1"/>
  <c r="E760" i="1"/>
  <c r="B761" i="1"/>
  <c r="E761" i="1"/>
  <c r="B762" i="1"/>
  <c r="E762" i="1"/>
  <c r="B763" i="1"/>
  <c r="E763" i="1"/>
  <c r="B764" i="1"/>
  <c r="E764" i="1"/>
  <c r="B765" i="1"/>
  <c r="E765" i="1"/>
  <c r="B766" i="1"/>
  <c r="E766" i="1"/>
  <c r="B767" i="1"/>
  <c r="E767" i="1"/>
  <c r="B768" i="1"/>
  <c r="E768" i="1"/>
  <c r="B769" i="1"/>
  <c r="E769" i="1"/>
  <c r="B770" i="1"/>
  <c r="E770" i="1"/>
  <c r="B771" i="1"/>
  <c r="E771" i="1"/>
  <c r="B772" i="1"/>
  <c r="E772" i="1"/>
  <c r="B773" i="1"/>
  <c r="E773" i="1"/>
  <c r="B774" i="1"/>
  <c r="E774" i="1"/>
  <c r="B775" i="1"/>
  <c r="E775" i="1"/>
  <c r="B776" i="1"/>
  <c r="E776" i="1"/>
  <c r="B777" i="1"/>
  <c r="E777" i="1"/>
  <c r="B778" i="1"/>
  <c r="E778" i="1"/>
  <c r="B779" i="1"/>
  <c r="E779" i="1"/>
  <c r="B780" i="1"/>
  <c r="E780" i="1"/>
  <c r="B781" i="1"/>
  <c r="E781" i="1"/>
  <c r="B782" i="1"/>
  <c r="E782" i="1"/>
  <c r="B783" i="1"/>
  <c r="E783" i="1"/>
  <c r="B784" i="1"/>
  <c r="E784" i="1"/>
  <c r="B785" i="1"/>
  <c r="E785" i="1"/>
  <c r="B786" i="1"/>
  <c r="E786" i="1"/>
  <c r="B787" i="1"/>
  <c r="E787" i="1"/>
  <c r="B788" i="1"/>
  <c r="E788" i="1"/>
  <c r="B789" i="1"/>
  <c r="E789" i="1"/>
  <c r="B790" i="1"/>
  <c r="E790" i="1"/>
  <c r="B791" i="1"/>
  <c r="E791" i="1"/>
  <c r="B792" i="1"/>
  <c r="E792" i="1"/>
  <c r="B793" i="1"/>
  <c r="E793" i="1"/>
  <c r="B794" i="1"/>
  <c r="E794" i="1"/>
  <c r="B795" i="1"/>
  <c r="E795" i="1"/>
  <c r="B796" i="1"/>
  <c r="E796" i="1"/>
  <c r="B797" i="1"/>
  <c r="E797" i="1"/>
  <c r="B798" i="1"/>
  <c r="E798" i="1"/>
  <c r="B799" i="1"/>
  <c r="E799" i="1"/>
  <c r="B800" i="1"/>
  <c r="E800" i="1"/>
  <c r="B801" i="1"/>
  <c r="E801" i="1"/>
  <c r="B802" i="1"/>
  <c r="E802" i="1"/>
  <c r="B803" i="1"/>
  <c r="E803" i="1"/>
  <c r="B804" i="1"/>
  <c r="E804" i="1"/>
  <c r="B805" i="1"/>
  <c r="E805" i="1"/>
  <c r="B806" i="1"/>
  <c r="E806" i="1"/>
  <c r="B807" i="1"/>
  <c r="E807" i="1"/>
  <c r="B808" i="1"/>
  <c r="E808" i="1"/>
  <c r="B809" i="1"/>
  <c r="E809" i="1"/>
  <c r="B810" i="1"/>
  <c r="E810" i="1"/>
  <c r="B811" i="1"/>
  <c r="E811" i="1"/>
  <c r="B812" i="1"/>
  <c r="E812" i="1"/>
  <c r="B813" i="1"/>
  <c r="E813" i="1"/>
  <c r="B814" i="1"/>
  <c r="E814" i="1"/>
  <c r="B815" i="1"/>
  <c r="E815" i="1"/>
  <c r="B816" i="1"/>
  <c r="E816" i="1"/>
  <c r="B817" i="1"/>
  <c r="E817" i="1"/>
  <c r="B818" i="1"/>
  <c r="E818" i="1"/>
  <c r="B819" i="1"/>
  <c r="E819" i="1"/>
  <c r="B820" i="1"/>
  <c r="E820" i="1"/>
  <c r="B821" i="1"/>
  <c r="E821" i="1"/>
  <c r="B822" i="1"/>
  <c r="E822" i="1"/>
  <c r="B823" i="1"/>
  <c r="E823" i="1"/>
  <c r="B824" i="1"/>
  <c r="E824" i="1"/>
  <c r="B825" i="1"/>
  <c r="E825" i="1"/>
  <c r="B826" i="1"/>
  <c r="E826" i="1"/>
  <c r="B827" i="1"/>
  <c r="E827" i="1"/>
  <c r="B828" i="1"/>
  <c r="E828" i="1"/>
  <c r="B829" i="1"/>
  <c r="E829" i="1"/>
  <c r="B830" i="1"/>
  <c r="E830" i="1"/>
  <c r="B831" i="1"/>
  <c r="E831" i="1"/>
  <c r="B832" i="1"/>
  <c r="E832" i="1"/>
  <c r="B833" i="1"/>
  <c r="E833" i="1"/>
  <c r="B834" i="1"/>
  <c r="E834" i="1"/>
  <c r="B835" i="1"/>
  <c r="E835" i="1"/>
  <c r="B836" i="1"/>
  <c r="E836" i="1"/>
  <c r="B837" i="1"/>
  <c r="E837" i="1"/>
  <c r="B838" i="1"/>
  <c r="E838" i="1"/>
  <c r="B839" i="1"/>
  <c r="E839" i="1"/>
  <c r="B840" i="1"/>
  <c r="E840" i="1"/>
  <c r="B841" i="1"/>
  <c r="E841" i="1"/>
  <c r="B842" i="1"/>
  <c r="E842" i="1"/>
  <c r="B843" i="1"/>
  <c r="E843" i="1"/>
  <c r="B844" i="1"/>
  <c r="E844" i="1"/>
  <c r="B845" i="1"/>
  <c r="E845" i="1"/>
  <c r="B846" i="1"/>
  <c r="E846" i="1"/>
  <c r="B847" i="1"/>
  <c r="E847" i="1"/>
  <c r="B848" i="1"/>
  <c r="E848" i="1"/>
  <c r="B849" i="1"/>
  <c r="E849" i="1"/>
  <c r="B850" i="1"/>
  <c r="E850" i="1"/>
  <c r="B851" i="1"/>
  <c r="E851" i="1"/>
  <c r="B852" i="1"/>
  <c r="E852" i="1"/>
  <c r="B853" i="1"/>
  <c r="E853" i="1"/>
  <c r="B854" i="1"/>
  <c r="E854" i="1"/>
  <c r="B855" i="1"/>
  <c r="E855" i="1"/>
  <c r="B856" i="1"/>
  <c r="E856" i="1"/>
  <c r="B857" i="1"/>
  <c r="E857" i="1"/>
  <c r="B858" i="1"/>
  <c r="E858" i="1"/>
  <c r="B859" i="1"/>
  <c r="E859" i="1"/>
  <c r="B860" i="1"/>
  <c r="E860" i="1"/>
  <c r="B861" i="1"/>
  <c r="E861" i="1"/>
  <c r="B862" i="1"/>
  <c r="E862" i="1"/>
  <c r="B863" i="1"/>
  <c r="E863" i="1"/>
  <c r="B864" i="1"/>
  <c r="E864" i="1"/>
  <c r="B865" i="1"/>
  <c r="E865" i="1"/>
  <c r="B866" i="1"/>
  <c r="E866" i="1"/>
  <c r="B867" i="1"/>
  <c r="E867" i="1"/>
  <c r="B868" i="1"/>
  <c r="E868" i="1"/>
  <c r="B869" i="1"/>
  <c r="E869" i="1"/>
  <c r="B870" i="1"/>
  <c r="E870" i="1"/>
  <c r="B871" i="1"/>
  <c r="E871" i="1"/>
  <c r="B872" i="1"/>
  <c r="E872" i="1"/>
  <c r="B873" i="1"/>
  <c r="E873" i="1"/>
  <c r="B874" i="1"/>
  <c r="E874" i="1"/>
  <c r="B875" i="1"/>
  <c r="E875" i="1"/>
  <c r="B876" i="1"/>
  <c r="E876" i="1"/>
  <c r="B877" i="1"/>
  <c r="E877" i="1"/>
  <c r="B878" i="1"/>
  <c r="E878" i="1"/>
  <c r="B879" i="1"/>
  <c r="E879" i="1"/>
  <c r="B880" i="1"/>
  <c r="E880" i="1"/>
  <c r="B881" i="1"/>
  <c r="E881" i="1"/>
  <c r="B882" i="1"/>
  <c r="E882" i="1"/>
  <c r="B883" i="1"/>
  <c r="E883" i="1"/>
  <c r="B884" i="1"/>
  <c r="E884" i="1"/>
  <c r="B885" i="1"/>
  <c r="E885" i="1"/>
  <c r="B886" i="1"/>
  <c r="E886" i="1"/>
  <c r="B887" i="1"/>
  <c r="E887" i="1"/>
  <c r="B888" i="1"/>
  <c r="E888" i="1"/>
  <c r="B889" i="1"/>
  <c r="E889" i="1"/>
  <c r="B890" i="1"/>
  <c r="E890" i="1"/>
  <c r="B891" i="1"/>
  <c r="E891" i="1"/>
  <c r="B892" i="1"/>
  <c r="E892" i="1"/>
  <c r="B893" i="1"/>
  <c r="E893" i="1"/>
  <c r="B894" i="1"/>
  <c r="E894" i="1"/>
  <c r="B895" i="1"/>
  <c r="E895" i="1"/>
  <c r="B896" i="1"/>
  <c r="E896" i="1"/>
  <c r="B897" i="1"/>
  <c r="E897" i="1"/>
  <c r="B898" i="1"/>
  <c r="E898" i="1"/>
  <c r="B899" i="1"/>
  <c r="E899" i="1"/>
  <c r="B900" i="1"/>
  <c r="E900" i="1"/>
  <c r="B901" i="1"/>
  <c r="E901" i="1"/>
  <c r="B902" i="1"/>
  <c r="E902" i="1"/>
  <c r="B903" i="1"/>
  <c r="E903" i="1"/>
  <c r="B904" i="1"/>
  <c r="E904" i="1"/>
  <c r="B905" i="1"/>
  <c r="E905" i="1"/>
  <c r="B906" i="1"/>
  <c r="E906" i="1"/>
  <c r="B907" i="1"/>
  <c r="E907" i="1"/>
  <c r="B908" i="1"/>
  <c r="E908" i="1"/>
  <c r="B909" i="1"/>
  <c r="E909" i="1"/>
  <c r="B910" i="1"/>
  <c r="E910" i="1"/>
  <c r="B911" i="1"/>
  <c r="E911" i="1"/>
  <c r="B912" i="1"/>
  <c r="E912" i="1"/>
  <c r="B913" i="1"/>
  <c r="E913" i="1"/>
  <c r="B914" i="1"/>
  <c r="E914" i="1"/>
  <c r="B915" i="1"/>
  <c r="E915" i="1"/>
  <c r="B916" i="1"/>
  <c r="E916" i="1"/>
  <c r="B917" i="1"/>
  <c r="E917" i="1"/>
  <c r="B918" i="1"/>
  <c r="E918" i="1"/>
  <c r="B919" i="1"/>
  <c r="E919" i="1"/>
  <c r="B920" i="1"/>
  <c r="E920" i="1"/>
  <c r="B921" i="1"/>
  <c r="E921" i="1"/>
  <c r="B922" i="1"/>
  <c r="E922" i="1"/>
  <c r="B923" i="1"/>
  <c r="E923" i="1"/>
  <c r="B924" i="1"/>
  <c r="E924" i="1"/>
  <c r="B925" i="1"/>
  <c r="E925" i="1"/>
  <c r="B926" i="1"/>
  <c r="E926" i="1"/>
  <c r="B927" i="1"/>
  <c r="E927" i="1"/>
  <c r="B928" i="1"/>
  <c r="E928" i="1"/>
  <c r="B929" i="1"/>
  <c r="E929" i="1"/>
  <c r="B930" i="1"/>
  <c r="E930" i="1"/>
  <c r="B931" i="1"/>
  <c r="E931" i="1"/>
  <c r="B932" i="1"/>
  <c r="E932" i="1"/>
  <c r="B933" i="1"/>
  <c r="E933" i="1"/>
  <c r="B934" i="1"/>
  <c r="E934" i="1"/>
  <c r="B935" i="1"/>
  <c r="E935" i="1"/>
  <c r="B936" i="1"/>
  <c r="E936" i="1"/>
  <c r="B937" i="1"/>
  <c r="E937" i="1"/>
  <c r="B938" i="1"/>
  <c r="E938" i="1"/>
  <c r="B939" i="1"/>
  <c r="E939" i="1"/>
  <c r="B940" i="1"/>
  <c r="E940" i="1"/>
  <c r="B941" i="1"/>
  <c r="E941" i="1"/>
  <c r="B942" i="1"/>
  <c r="E942" i="1"/>
  <c r="B943" i="1"/>
  <c r="E943" i="1"/>
  <c r="B944" i="1"/>
  <c r="E944" i="1"/>
  <c r="B945" i="1"/>
  <c r="E945" i="1"/>
  <c r="B946" i="1"/>
  <c r="E946" i="1"/>
  <c r="B947" i="1"/>
  <c r="E947" i="1"/>
  <c r="B948" i="1"/>
  <c r="E948" i="1"/>
  <c r="B949" i="1"/>
  <c r="E949" i="1"/>
  <c r="B950" i="1"/>
  <c r="E950" i="1"/>
  <c r="B951" i="1"/>
  <c r="E951" i="1"/>
  <c r="B952" i="1"/>
  <c r="E952" i="1"/>
  <c r="B953" i="1"/>
  <c r="E953" i="1"/>
  <c r="B954" i="1"/>
  <c r="E954" i="1"/>
  <c r="B955" i="1"/>
  <c r="E955" i="1"/>
  <c r="B956" i="1"/>
  <c r="E956" i="1"/>
  <c r="B957" i="1"/>
  <c r="E957" i="1"/>
  <c r="B958" i="1"/>
  <c r="E958" i="1"/>
  <c r="B959" i="1"/>
  <c r="E959" i="1"/>
  <c r="B960" i="1"/>
  <c r="E960" i="1"/>
  <c r="B961" i="1"/>
  <c r="E961" i="1"/>
  <c r="B962" i="1"/>
  <c r="E962" i="1"/>
  <c r="B963" i="1"/>
  <c r="E963" i="1"/>
  <c r="B964" i="1"/>
  <c r="E964" i="1"/>
  <c r="B965" i="1"/>
  <c r="E965" i="1"/>
  <c r="B966" i="1"/>
  <c r="E966" i="1"/>
  <c r="B967" i="1"/>
  <c r="E967" i="1"/>
  <c r="B968" i="1"/>
  <c r="E968" i="1"/>
  <c r="B969" i="1"/>
  <c r="E969" i="1"/>
  <c r="B970" i="1"/>
  <c r="E970" i="1"/>
  <c r="B971" i="1"/>
  <c r="E971" i="1"/>
  <c r="B972" i="1"/>
  <c r="E972" i="1"/>
  <c r="B973" i="1"/>
  <c r="E973" i="1"/>
  <c r="B974" i="1"/>
  <c r="E974" i="1"/>
  <c r="B975" i="1"/>
  <c r="E975" i="1"/>
  <c r="B976" i="1"/>
  <c r="E976" i="1"/>
  <c r="B977" i="1"/>
  <c r="E977" i="1"/>
  <c r="B978" i="1"/>
  <c r="E978" i="1"/>
  <c r="B979" i="1"/>
  <c r="E979" i="1"/>
  <c r="B980" i="1"/>
  <c r="E980" i="1"/>
  <c r="B981" i="1"/>
  <c r="E981" i="1"/>
  <c r="B982" i="1"/>
  <c r="E982" i="1"/>
  <c r="B983" i="1"/>
  <c r="E983" i="1"/>
  <c r="B984" i="1"/>
  <c r="E984" i="1"/>
  <c r="B985" i="1"/>
  <c r="E985" i="1"/>
  <c r="B986" i="1"/>
  <c r="E986" i="1"/>
  <c r="B987" i="1"/>
  <c r="E987" i="1"/>
  <c r="B988" i="1"/>
  <c r="E988" i="1"/>
  <c r="B989" i="1"/>
  <c r="E989" i="1"/>
  <c r="B990" i="1"/>
  <c r="E990" i="1"/>
  <c r="B991" i="1"/>
  <c r="E991" i="1"/>
  <c r="B992" i="1"/>
  <c r="E992" i="1"/>
  <c r="B993" i="1"/>
  <c r="E993" i="1"/>
  <c r="B994" i="1"/>
  <c r="E994" i="1"/>
  <c r="B995" i="1"/>
  <c r="E995" i="1"/>
  <c r="B996" i="1"/>
  <c r="E996" i="1"/>
  <c r="B997" i="1"/>
  <c r="E997" i="1"/>
  <c r="B998" i="1"/>
  <c r="E998" i="1"/>
  <c r="B999" i="1"/>
  <c r="E999" i="1"/>
  <c r="B1000" i="1"/>
  <c r="E1000" i="1"/>
  <c r="B1001" i="1"/>
  <c r="E1001" i="1"/>
  <c r="B1002" i="1"/>
  <c r="E1002" i="1"/>
  <c r="B1003" i="1"/>
  <c r="E1003" i="1"/>
  <c r="B1004" i="1"/>
  <c r="E1004" i="1"/>
  <c r="B1005" i="1"/>
  <c r="E1005" i="1"/>
  <c r="B1006" i="1"/>
  <c r="E1006" i="1"/>
  <c r="B1007" i="1"/>
  <c r="E1007" i="1"/>
  <c r="B1008" i="1"/>
  <c r="E1008" i="1"/>
  <c r="B1009" i="1"/>
  <c r="E1009" i="1"/>
  <c r="B1010" i="1"/>
  <c r="E1010" i="1"/>
  <c r="B1011" i="1"/>
  <c r="E1011" i="1"/>
  <c r="B1012" i="1"/>
  <c r="E1012" i="1"/>
  <c r="B1013" i="1"/>
  <c r="E1013" i="1"/>
  <c r="B1014" i="1"/>
  <c r="E1014" i="1"/>
  <c r="B1015" i="1"/>
  <c r="E1015" i="1"/>
  <c r="B1016" i="1"/>
  <c r="E1016" i="1"/>
  <c r="B1017" i="1"/>
  <c r="E1017" i="1"/>
  <c r="B1018" i="1"/>
  <c r="E1018" i="1"/>
  <c r="B1019" i="1"/>
  <c r="E1019" i="1"/>
  <c r="B1020" i="1"/>
  <c r="E1020" i="1"/>
  <c r="B1021" i="1"/>
  <c r="E1021" i="1"/>
  <c r="B1022" i="1"/>
  <c r="E1022" i="1"/>
  <c r="B1023" i="1"/>
  <c r="E1023" i="1"/>
  <c r="B1024" i="1"/>
  <c r="E1024" i="1"/>
  <c r="B1025" i="1"/>
  <c r="E1025" i="1"/>
  <c r="B1026" i="1"/>
  <c r="E1026" i="1"/>
  <c r="B1027" i="1"/>
  <c r="E1027" i="1"/>
  <c r="B1028" i="1"/>
  <c r="E1028" i="1"/>
  <c r="B1029" i="1"/>
  <c r="E1029" i="1"/>
  <c r="B1030" i="1"/>
  <c r="E1030" i="1"/>
  <c r="B1031" i="1"/>
  <c r="E1031" i="1"/>
  <c r="B1032" i="1"/>
  <c r="E1032" i="1"/>
  <c r="B1033" i="1"/>
  <c r="E1033" i="1"/>
  <c r="B1034" i="1"/>
  <c r="E1034" i="1"/>
  <c r="B1035" i="1"/>
  <c r="E1035" i="1"/>
  <c r="B1036" i="1"/>
  <c r="E1036" i="1"/>
  <c r="B1037" i="1"/>
  <c r="E1037" i="1"/>
  <c r="B1038" i="1"/>
  <c r="E1038" i="1"/>
  <c r="B1039" i="1"/>
  <c r="E1039" i="1"/>
  <c r="B1040" i="1"/>
  <c r="E1040" i="1"/>
  <c r="B1041" i="1"/>
  <c r="E1041" i="1"/>
  <c r="B1042" i="1"/>
  <c r="E1042" i="1"/>
  <c r="B1043" i="1"/>
  <c r="E1043" i="1"/>
  <c r="B1044" i="1"/>
  <c r="E1044" i="1"/>
  <c r="B1045" i="1"/>
  <c r="E1045" i="1"/>
  <c r="B1046" i="1"/>
  <c r="E1046" i="1"/>
  <c r="B1047" i="1"/>
  <c r="E1047" i="1"/>
  <c r="B1048" i="1"/>
  <c r="E1048" i="1"/>
  <c r="B1049" i="1"/>
  <c r="E1049" i="1"/>
  <c r="B1050" i="1"/>
  <c r="E1050" i="1"/>
  <c r="B1051" i="1"/>
  <c r="E1051" i="1"/>
  <c r="B1052" i="1"/>
  <c r="E1052" i="1"/>
  <c r="B1053" i="1"/>
  <c r="E1053" i="1"/>
  <c r="B1054" i="1"/>
  <c r="E1054" i="1"/>
  <c r="B1055" i="1"/>
  <c r="E1055" i="1"/>
  <c r="B1056" i="1"/>
  <c r="E1056" i="1"/>
  <c r="B1057" i="1"/>
  <c r="E1057" i="1"/>
  <c r="B1058" i="1"/>
  <c r="E1058" i="1"/>
  <c r="B1059" i="1"/>
  <c r="E1059" i="1"/>
  <c r="B1060" i="1"/>
  <c r="E1060" i="1"/>
  <c r="B1061" i="1"/>
  <c r="E1061" i="1"/>
  <c r="B1062" i="1"/>
  <c r="E1062" i="1"/>
  <c r="B1063" i="1"/>
  <c r="E1063" i="1"/>
  <c r="B1064" i="1"/>
  <c r="E1064" i="1"/>
  <c r="B1065" i="1"/>
  <c r="E1065" i="1"/>
  <c r="B1066" i="1"/>
  <c r="E1066" i="1"/>
  <c r="B1067" i="1"/>
  <c r="E1067" i="1"/>
  <c r="B1068" i="1"/>
  <c r="E1068" i="1"/>
  <c r="B1069" i="1"/>
  <c r="E1069" i="1"/>
  <c r="B1070" i="1"/>
  <c r="E1070" i="1"/>
  <c r="B1071" i="1"/>
  <c r="E1071" i="1"/>
  <c r="B1072" i="1"/>
  <c r="E1072" i="1"/>
  <c r="B1073" i="1"/>
  <c r="E1073" i="1"/>
  <c r="B1074" i="1"/>
  <c r="E1074" i="1"/>
  <c r="B1075" i="1"/>
  <c r="E1075" i="1"/>
  <c r="B1076" i="1"/>
  <c r="E1076" i="1"/>
  <c r="B1077" i="1"/>
  <c r="E1077" i="1"/>
  <c r="B1078" i="1"/>
  <c r="E1078" i="1"/>
  <c r="B1079" i="1"/>
  <c r="E1079" i="1"/>
  <c r="B1080" i="1"/>
  <c r="E1080" i="1"/>
  <c r="B1081" i="1"/>
  <c r="E1081" i="1"/>
  <c r="B1082" i="1"/>
  <c r="E1082" i="1"/>
  <c r="B1083" i="1"/>
  <c r="E1083" i="1"/>
  <c r="B1084" i="1"/>
  <c r="E1084" i="1"/>
  <c r="B1085" i="1"/>
  <c r="E1085" i="1"/>
  <c r="B1086" i="1"/>
  <c r="E1086" i="1"/>
  <c r="B1087" i="1"/>
  <c r="E1087" i="1"/>
  <c r="B1088" i="1"/>
  <c r="E1088" i="1"/>
  <c r="B1089" i="1"/>
  <c r="E1089" i="1"/>
  <c r="B1090" i="1"/>
  <c r="E1090" i="1"/>
  <c r="B1091" i="1"/>
  <c r="E1091" i="1"/>
  <c r="B1092" i="1"/>
  <c r="E1092" i="1"/>
  <c r="B1093" i="1"/>
  <c r="E1093" i="1"/>
  <c r="B1094" i="1"/>
  <c r="E1094" i="1"/>
  <c r="B1095" i="1"/>
  <c r="E1095" i="1"/>
  <c r="B1096" i="1"/>
  <c r="E1096" i="1"/>
  <c r="B1097" i="1"/>
  <c r="E1097" i="1"/>
  <c r="B1098" i="1"/>
  <c r="E1098" i="1"/>
  <c r="B1099" i="1"/>
  <c r="E1099" i="1"/>
  <c r="B1100" i="1"/>
  <c r="E1100" i="1"/>
  <c r="B1101" i="1"/>
  <c r="E1101" i="1"/>
  <c r="B1102" i="1"/>
  <c r="E1102" i="1"/>
  <c r="B1103" i="1"/>
  <c r="E1103" i="1"/>
  <c r="B1104" i="1"/>
  <c r="E1104" i="1"/>
  <c r="B1105" i="1"/>
  <c r="E1105" i="1"/>
  <c r="B1106" i="1"/>
  <c r="E1106" i="1"/>
  <c r="B1107" i="1"/>
  <c r="E1107" i="1"/>
  <c r="B1108" i="1"/>
  <c r="E1108" i="1"/>
  <c r="B1109" i="1"/>
  <c r="E1109" i="1"/>
  <c r="B1110" i="1"/>
  <c r="E1110" i="1"/>
  <c r="B1111" i="1"/>
  <c r="E1111" i="1"/>
  <c r="B1112" i="1"/>
  <c r="E1112" i="1"/>
  <c r="B1113" i="1"/>
  <c r="E1113" i="1"/>
  <c r="B1114" i="1"/>
  <c r="E1114" i="1"/>
  <c r="B1115" i="1"/>
  <c r="E1115" i="1"/>
  <c r="B1116" i="1"/>
  <c r="E1116" i="1"/>
  <c r="B1117" i="1"/>
  <c r="E1117" i="1"/>
  <c r="B1118" i="1"/>
  <c r="E1118" i="1"/>
  <c r="B1119" i="1"/>
  <c r="E1119" i="1"/>
  <c r="B1120" i="1"/>
  <c r="E1120" i="1"/>
  <c r="B1121" i="1"/>
  <c r="E1121" i="1"/>
  <c r="B1122" i="1"/>
  <c r="E1122" i="1"/>
  <c r="B1123" i="1"/>
  <c r="E1123" i="1"/>
  <c r="B1124" i="1"/>
  <c r="E1124" i="1"/>
  <c r="B1125" i="1"/>
  <c r="E1125" i="1"/>
  <c r="B1126" i="1"/>
  <c r="E1126" i="1"/>
  <c r="B1127" i="1"/>
  <c r="E1127" i="1"/>
  <c r="B1128" i="1"/>
  <c r="E1128" i="1"/>
  <c r="B1129" i="1"/>
  <c r="E1129" i="1"/>
  <c r="B1130" i="1"/>
  <c r="E1130" i="1"/>
  <c r="B1131" i="1"/>
  <c r="E1131" i="1"/>
  <c r="B1132" i="1"/>
  <c r="E1132" i="1"/>
  <c r="B1133" i="1"/>
  <c r="E1133" i="1"/>
  <c r="B1134" i="1"/>
  <c r="E1134" i="1"/>
  <c r="B1135" i="1"/>
  <c r="E1135" i="1"/>
  <c r="B1136" i="1"/>
  <c r="E1136" i="1"/>
  <c r="B1137" i="1"/>
  <c r="E1137" i="1"/>
  <c r="B1138" i="1"/>
  <c r="E1138" i="1"/>
  <c r="B1139" i="1"/>
  <c r="E1139" i="1"/>
  <c r="B1140" i="1"/>
  <c r="E1140" i="1"/>
  <c r="B1141" i="1"/>
  <c r="E1141" i="1"/>
  <c r="B1142" i="1"/>
  <c r="E1142" i="1"/>
  <c r="B1143" i="1"/>
  <c r="E1143" i="1"/>
  <c r="B1144" i="1"/>
  <c r="E1144" i="1"/>
  <c r="B1145" i="1"/>
  <c r="E1145" i="1"/>
  <c r="B1146" i="1"/>
  <c r="E1146" i="1"/>
  <c r="B1147" i="1"/>
  <c r="E1147" i="1"/>
  <c r="B1148" i="1"/>
  <c r="E1148" i="1"/>
  <c r="B1149" i="1"/>
  <c r="E1149" i="1"/>
  <c r="B1150" i="1"/>
  <c r="E1150" i="1"/>
  <c r="B1151" i="1"/>
  <c r="E1151" i="1"/>
  <c r="B1152" i="1"/>
  <c r="E1152" i="1"/>
  <c r="B1153" i="1"/>
  <c r="E1153" i="1"/>
  <c r="B1154" i="1"/>
  <c r="E1154" i="1"/>
  <c r="B1155" i="1"/>
  <c r="E1155" i="1"/>
  <c r="B1156" i="1"/>
  <c r="E1156" i="1"/>
  <c r="B1157" i="1"/>
  <c r="E1157" i="1"/>
  <c r="B1158" i="1"/>
  <c r="E1158" i="1"/>
  <c r="B1159" i="1"/>
  <c r="E1159" i="1"/>
  <c r="B1160" i="1"/>
  <c r="E1160" i="1"/>
  <c r="B1161" i="1"/>
  <c r="E1161" i="1"/>
  <c r="B1162" i="1"/>
  <c r="E1162" i="1"/>
  <c r="B1163" i="1"/>
  <c r="E1163" i="1"/>
  <c r="B1164" i="1"/>
  <c r="E1164" i="1"/>
  <c r="B1165" i="1"/>
  <c r="E1165" i="1"/>
  <c r="B1166" i="1"/>
  <c r="E1166" i="1"/>
  <c r="B1167" i="1"/>
  <c r="E1167" i="1"/>
  <c r="B1168" i="1"/>
  <c r="E1168" i="1"/>
  <c r="B1169" i="1"/>
  <c r="E1169" i="1"/>
  <c r="B1170" i="1"/>
  <c r="E1170" i="1"/>
  <c r="B1171" i="1"/>
  <c r="E1171" i="1"/>
  <c r="B1172" i="1"/>
  <c r="E1172" i="1"/>
  <c r="B1173" i="1"/>
  <c r="E1173" i="1"/>
  <c r="B1174" i="1"/>
  <c r="E1174" i="1"/>
  <c r="B1175" i="1"/>
  <c r="E1175" i="1"/>
  <c r="B1176" i="1"/>
  <c r="E1176" i="1"/>
  <c r="B1177" i="1"/>
  <c r="E1177" i="1"/>
  <c r="B1178" i="1"/>
  <c r="E1178" i="1"/>
  <c r="B1179" i="1"/>
  <c r="E1179" i="1"/>
  <c r="B1180" i="1"/>
  <c r="E1180" i="1"/>
  <c r="B1181" i="1"/>
  <c r="E1181" i="1"/>
  <c r="B1182" i="1"/>
  <c r="E1182" i="1"/>
  <c r="B1183" i="1"/>
  <c r="E1183" i="1"/>
  <c r="B1184" i="1"/>
  <c r="E1184" i="1"/>
  <c r="B1185" i="1"/>
  <c r="E1185" i="1"/>
  <c r="B1186" i="1"/>
  <c r="E1186" i="1"/>
  <c r="B1187" i="1"/>
  <c r="E1187" i="1"/>
  <c r="B1188" i="1"/>
  <c r="E1188" i="1"/>
  <c r="B1189" i="1"/>
  <c r="E1189" i="1"/>
  <c r="B1190" i="1"/>
  <c r="E1190" i="1"/>
  <c r="B1191" i="1"/>
  <c r="E1191" i="1"/>
  <c r="B1192" i="1"/>
  <c r="E1192" i="1"/>
  <c r="B1193" i="1"/>
  <c r="E1193" i="1"/>
  <c r="B1194" i="1"/>
  <c r="E1194" i="1"/>
  <c r="B1195" i="1"/>
  <c r="E1195" i="1"/>
  <c r="B1196" i="1"/>
  <c r="E1196" i="1"/>
  <c r="B1197" i="1"/>
  <c r="E1197" i="1"/>
  <c r="B1198" i="1"/>
  <c r="E1198" i="1"/>
  <c r="B1199" i="1"/>
  <c r="E1199" i="1"/>
  <c r="B1200" i="1"/>
  <c r="E1200" i="1"/>
  <c r="B1201" i="1"/>
  <c r="E1201" i="1"/>
  <c r="B1202" i="1"/>
  <c r="E1202" i="1"/>
  <c r="B1203" i="1"/>
  <c r="E1203" i="1"/>
  <c r="B1204" i="1"/>
  <c r="E1204" i="1"/>
  <c r="B1205" i="1"/>
  <c r="E1205" i="1"/>
  <c r="B1206" i="1"/>
  <c r="E1206" i="1"/>
  <c r="B1207" i="1"/>
  <c r="E1207" i="1"/>
  <c r="B1208" i="1"/>
  <c r="E1208" i="1"/>
  <c r="B1209" i="1"/>
  <c r="E1209" i="1"/>
  <c r="B1210" i="1"/>
  <c r="E1210" i="1"/>
  <c r="B1211" i="1"/>
  <c r="E1211" i="1"/>
  <c r="B1212" i="1"/>
  <c r="E1212" i="1"/>
  <c r="B1213" i="1"/>
  <c r="E1213" i="1"/>
  <c r="B1214" i="1"/>
  <c r="E1214" i="1"/>
  <c r="B1215" i="1"/>
  <c r="E1215" i="1"/>
  <c r="B1216" i="1"/>
  <c r="E1216" i="1"/>
  <c r="B1217" i="1"/>
  <c r="E1217" i="1"/>
  <c r="B1218" i="1"/>
  <c r="E1218" i="1"/>
  <c r="B1219" i="1"/>
  <c r="E1219" i="1"/>
  <c r="B1220" i="1"/>
  <c r="E1220" i="1"/>
  <c r="B1221" i="1"/>
  <c r="E1221" i="1"/>
  <c r="B1222" i="1"/>
  <c r="E1222" i="1"/>
  <c r="B1223" i="1"/>
  <c r="E1223" i="1"/>
  <c r="B1224" i="1"/>
  <c r="E1224" i="1"/>
  <c r="B1225" i="1"/>
  <c r="E1225" i="1"/>
  <c r="B1226" i="1"/>
  <c r="E1226" i="1"/>
  <c r="B1227" i="1"/>
  <c r="E1227" i="1"/>
  <c r="B1228" i="1"/>
  <c r="E1228" i="1"/>
  <c r="B1229" i="1"/>
  <c r="E1229" i="1"/>
  <c r="B1230" i="1"/>
  <c r="E1230" i="1"/>
  <c r="B1231" i="1"/>
  <c r="E1231" i="1"/>
  <c r="B1232" i="1"/>
  <c r="E1232" i="1"/>
  <c r="B1233" i="1"/>
  <c r="E1233" i="1"/>
  <c r="B1234" i="1"/>
  <c r="E1234" i="1"/>
  <c r="B1235" i="1"/>
  <c r="E1235" i="1"/>
  <c r="B1236" i="1"/>
  <c r="E1236" i="1"/>
  <c r="B1237" i="1"/>
  <c r="E1237" i="1"/>
  <c r="B1238" i="1"/>
  <c r="E1238" i="1"/>
  <c r="B1239" i="1"/>
  <c r="E1239" i="1"/>
  <c r="B1240" i="1"/>
  <c r="E1240" i="1"/>
  <c r="B1241" i="1"/>
  <c r="E1241" i="1"/>
  <c r="B1242" i="1"/>
  <c r="E1242" i="1"/>
  <c r="B1243" i="1"/>
  <c r="E1243" i="1"/>
  <c r="B1244" i="1"/>
  <c r="E1244" i="1"/>
  <c r="B1245" i="1"/>
  <c r="E1245" i="1"/>
  <c r="B1246" i="1"/>
  <c r="E1246" i="1"/>
  <c r="B1247" i="1"/>
  <c r="E1247" i="1"/>
  <c r="B1248" i="1"/>
  <c r="E1248" i="1"/>
  <c r="B1249" i="1"/>
  <c r="E1249" i="1"/>
  <c r="B1250" i="1"/>
  <c r="E1250" i="1"/>
  <c r="B1251" i="1"/>
  <c r="E1251" i="1"/>
  <c r="B1252" i="1"/>
  <c r="E1252" i="1"/>
  <c r="B1253" i="1"/>
  <c r="E1253" i="1"/>
  <c r="B1254" i="1"/>
  <c r="E1254" i="1"/>
  <c r="B1255" i="1"/>
  <c r="E1255" i="1"/>
  <c r="B1256" i="1"/>
  <c r="E1256" i="1"/>
  <c r="B1257" i="1"/>
  <c r="E1257" i="1"/>
  <c r="B1258" i="1"/>
  <c r="E1258" i="1"/>
  <c r="B1259" i="1"/>
  <c r="E1259" i="1"/>
  <c r="B1260" i="1"/>
  <c r="E1260" i="1"/>
  <c r="B1261" i="1"/>
  <c r="E1261" i="1"/>
  <c r="B1262" i="1"/>
  <c r="E1262" i="1"/>
  <c r="B1263" i="1"/>
  <c r="E1263" i="1"/>
  <c r="B1264" i="1"/>
  <c r="E1264" i="1"/>
  <c r="B1265" i="1"/>
  <c r="E1265" i="1"/>
  <c r="B1266" i="1"/>
  <c r="E1266" i="1"/>
  <c r="B1267" i="1"/>
  <c r="E1267" i="1"/>
  <c r="B1268" i="1"/>
  <c r="E1268" i="1"/>
  <c r="B1269" i="1"/>
  <c r="E1269" i="1"/>
  <c r="B1270" i="1"/>
  <c r="E1270" i="1"/>
  <c r="B1271" i="1"/>
  <c r="E1271" i="1"/>
  <c r="B1272" i="1"/>
  <c r="E1272" i="1"/>
  <c r="B1273" i="1"/>
  <c r="E1273" i="1"/>
  <c r="B1274" i="1"/>
  <c r="E1274" i="1"/>
  <c r="B1275" i="1"/>
  <c r="E1275" i="1"/>
  <c r="B1276" i="1"/>
  <c r="E1276" i="1"/>
  <c r="B1277" i="1"/>
  <c r="E1277" i="1"/>
  <c r="B1278" i="1"/>
  <c r="E1278" i="1"/>
  <c r="B1279" i="1"/>
  <c r="E1279" i="1"/>
  <c r="B1280" i="1"/>
  <c r="E1280" i="1"/>
  <c r="B1281" i="1"/>
  <c r="E1281" i="1"/>
  <c r="B1282" i="1"/>
  <c r="E1282" i="1"/>
  <c r="B1283" i="1"/>
  <c r="E1283" i="1"/>
  <c r="B1284" i="1"/>
  <c r="E1284" i="1"/>
  <c r="B1285" i="1"/>
  <c r="E1285" i="1"/>
  <c r="B1286" i="1"/>
  <c r="E1286" i="1"/>
  <c r="B1287" i="1"/>
  <c r="E1287" i="1"/>
  <c r="B1288" i="1"/>
  <c r="E1288" i="1"/>
  <c r="B1289" i="1"/>
  <c r="E1289" i="1"/>
  <c r="B1290" i="1"/>
  <c r="E1290" i="1"/>
  <c r="B1291" i="1"/>
  <c r="E1291" i="1"/>
  <c r="B1292" i="1"/>
  <c r="E1292" i="1"/>
  <c r="B1293" i="1"/>
  <c r="E1293" i="1"/>
  <c r="B1294" i="1"/>
  <c r="E1294" i="1"/>
  <c r="B1295" i="1"/>
  <c r="E1295" i="1"/>
  <c r="B1296" i="1"/>
  <c r="E1296" i="1"/>
  <c r="B1297" i="1"/>
  <c r="E1297" i="1"/>
  <c r="B1298" i="1"/>
  <c r="E1298" i="1"/>
  <c r="B1299" i="1"/>
  <c r="E1299" i="1"/>
  <c r="B1300" i="1"/>
  <c r="E1300" i="1"/>
  <c r="B1301" i="1"/>
  <c r="E1301" i="1"/>
  <c r="B1302" i="1"/>
  <c r="E1302" i="1"/>
  <c r="B1303" i="1"/>
  <c r="E1303" i="1"/>
  <c r="B1304" i="1"/>
  <c r="E1304" i="1"/>
  <c r="B1305" i="1"/>
  <c r="E1305" i="1"/>
  <c r="B1306" i="1"/>
  <c r="E1306" i="1"/>
  <c r="B1307" i="1"/>
  <c r="E1307" i="1"/>
  <c r="B1308" i="1"/>
  <c r="E1308" i="1"/>
  <c r="B1309" i="1"/>
  <c r="E1309" i="1"/>
  <c r="B1310" i="1"/>
  <c r="E1310" i="1"/>
  <c r="B1311" i="1"/>
  <c r="E1311" i="1"/>
  <c r="B1312" i="1"/>
  <c r="E1312" i="1"/>
  <c r="B1313" i="1"/>
  <c r="E1313" i="1"/>
  <c r="B1314" i="1"/>
  <c r="E1314" i="1"/>
  <c r="B1315" i="1"/>
  <c r="E1315" i="1"/>
  <c r="B1316" i="1"/>
  <c r="E1316" i="1"/>
  <c r="B1317" i="1"/>
  <c r="E1317" i="1"/>
  <c r="B1318" i="1"/>
  <c r="E1318" i="1"/>
  <c r="B1319" i="1"/>
  <c r="E1319" i="1"/>
  <c r="B1320" i="1"/>
  <c r="E1320" i="1"/>
  <c r="B1321" i="1"/>
  <c r="E1321" i="1"/>
  <c r="B1322" i="1"/>
  <c r="E1322" i="1"/>
  <c r="B1323" i="1"/>
  <c r="E1323" i="1"/>
  <c r="B1324" i="1"/>
  <c r="E1324" i="1"/>
  <c r="B1325" i="1"/>
  <c r="E1325" i="1"/>
  <c r="B1326" i="1"/>
  <c r="E1326" i="1"/>
  <c r="B1327" i="1"/>
  <c r="E1327" i="1"/>
  <c r="B1328" i="1"/>
  <c r="E1328" i="1"/>
  <c r="B1329" i="1"/>
  <c r="E1329" i="1"/>
  <c r="B1330" i="1"/>
  <c r="E1330" i="1"/>
  <c r="B1331" i="1"/>
  <c r="E1331" i="1"/>
  <c r="B1332" i="1"/>
  <c r="E1332" i="1"/>
  <c r="B1333" i="1"/>
  <c r="E1333" i="1"/>
  <c r="B1334" i="1"/>
  <c r="E1334" i="1"/>
  <c r="B1335" i="1"/>
  <c r="E1335" i="1"/>
  <c r="B1336" i="1"/>
  <c r="E1336" i="1"/>
  <c r="B1337" i="1"/>
  <c r="E1337" i="1"/>
  <c r="B1338" i="1"/>
  <c r="E1338" i="1"/>
  <c r="B1339" i="1"/>
  <c r="E1339" i="1"/>
  <c r="B1340" i="1"/>
  <c r="E1340" i="1"/>
  <c r="B1341" i="1"/>
  <c r="E1341" i="1"/>
  <c r="B1342" i="1"/>
  <c r="E1342" i="1"/>
  <c r="B1343" i="1"/>
  <c r="E1343" i="1"/>
  <c r="B1344" i="1"/>
  <c r="E1344" i="1"/>
  <c r="B1345" i="1"/>
  <c r="E1345" i="1"/>
  <c r="B1346" i="1"/>
  <c r="E1346" i="1"/>
  <c r="B1347" i="1"/>
  <c r="E1347" i="1"/>
  <c r="B1348" i="1"/>
  <c r="E1348" i="1"/>
  <c r="B1349" i="1"/>
  <c r="E1349" i="1"/>
  <c r="B1350" i="1"/>
  <c r="E1350" i="1"/>
  <c r="B1351" i="1"/>
  <c r="E1351" i="1"/>
  <c r="B1352" i="1"/>
  <c r="E1352" i="1"/>
  <c r="B1353" i="1"/>
  <c r="E1353" i="1"/>
  <c r="B1354" i="1"/>
  <c r="E1354" i="1"/>
  <c r="B1355" i="1"/>
  <c r="E1355" i="1"/>
  <c r="B1356" i="1"/>
  <c r="E1356" i="1"/>
  <c r="B1357" i="1"/>
  <c r="E1357" i="1"/>
  <c r="B1358" i="1"/>
  <c r="E1358" i="1"/>
  <c r="B1359" i="1"/>
  <c r="E1359" i="1"/>
  <c r="B1360" i="1"/>
  <c r="E1360" i="1"/>
  <c r="B1361" i="1"/>
  <c r="E1361" i="1"/>
  <c r="B1362" i="1"/>
  <c r="E1362" i="1"/>
  <c r="B1363" i="1"/>
  <c r="E1363" i="1"/>
  <c r="B1364" i="1"/>
  <c r="E1364" i="1"/>
  <c r="B1365" i="1"/>
  <c r="E1365" i="1"/>
  <c r="B1366" i="1"/>
  <c r="E1366" i="1"/>
  <c r="B1367" i="1"/>
  <c r="E1367" i="1"/>
  <c r="B1368" i="1"/>
  <c r="E1368" i="1"/>
  <c r="B1369" i="1"/>
  <c r="E1369" i="1"/>
  <c r="B1370" i="1"/>
  <c r="E1370" i="1"/>
  <c r="B1371" i="1"/>
  <c r="E1371" i="1"/>
  <c r="B1372" i="1"/>
  <c r="E1372" i="1"/>
  <c r="B1373" i="1"/>
  <c r="E1373" i="1"/>
  <c r="B1374" i="1"/>
  <c r="E1374" i="1"/>
  <c r="B1375" i="1"/>
  <c r="E1375" i="1"/>
  <c r="B1376" i="1"/>
  <c r="E1376" i="1"/>
  <c r="B1377" i="1"/>
  <c r="E1377" i="1"/>
  <c r="B1378" i="1"/>
  <c r="E1378" i="1"/>
  <c r="B1379" i="1"/>
  <c r="E1379" i="1"/>
  <c r="B1380" i="1"/>
  <c r="E1380" i="1"/>
  <c r="B1381" i="1"/>
  <c r="E1381" i="1"/>
  <c r="B1382" i="1"/>
  <c r="E1382" i="1"/>
  <c r="B1383" i="1"/>
  <c r="E1383" i="1"/>
  <c r="B1384" i="1"/>
  <c r="E1384" i="1"/>
  <c r="B1385" i="1"/>
  <c r="E1385" i="1"/>
  <c r="B1386" i="1"/>
  <c r="E1386" i="1"/>
  <c r="B1387" i="1"/>
  <c r="E1387" i="1"/>
  <c r="B1388" i="1"/>
  <c r="E1388" i="1"/>
  <c r="B1389" i="1"/>
  <c r="E1389" i="1"/>
  <c r="B1390" i="1"/>
  <c r="E1390" i="1"/>
  <c r="B1391" i="1"/>
  <c r="E1391" i="1"/>
  <c r="B1392" i="1"/>
  <c r="E1392" i="1"/>
  <c r="B1393" i="1"/>
  <c r="E1393" i="1"/>
  <c r="B1394" i="1"/>
  <c r="E1394" i="1"/>
  <c r="B1395" i="1"/>
  <c r="E1395" i="1"/>
  <c r="B1396" i="1"/>
  <c r="E1396" i="1"/>
  <c r="B1397" i="1"/>
  <c r="E1397" i="1"/>
  <c r="B1398" i="1"/>
  <c r="E1398" i="1"/>
  <c r="B1399" i="1"/>
  <c r="E1399" i="1"/>
  <c r="B1400" i="1"/>
  <c r="E1400" i="1"/>
  <c r="B1401" i="1"/>
  <c r="E1401" i="1"/>
  <c r="B1402" i="1"/>
  <c r="E1402" i="1"/>
  <c r="B1403" i="1"/>
  <c r="E1403" i="1"/>
  <c r="B1404" i="1"/>
  <c r="E1404" i="1"/>
  <c r="B1405" i="1"/>
  <c r="E1405" i="1"/>
  <c r="B1406" i="1"/>
  <c r="E1406" i="1"/>
  <c r="B1407" i="1"/>
  <c r="E1407" i="1"/>
  <c r="B1408" i="1"/>
  <c r="E1408" i="1"/>
  <c r="B1409" i="1"/>
  <c r="E1409" i="1"/>
  <c r="B1410" i="1"/>
  <c r="E1410" i="1"/>
  <c r="B1411" i="1"/>
  <c r="E1411" i="1"/>
  <c r="B1412" i="1"/>
  <c r="E1412" i="1"/>
  <c r="B1413" i="1"/>
  <c r="E1413" i="1"/>
  <c r="B1414" i="1"/>
  <c r="E1414" i="1"/>
  <c r="B1415" i="1"/>
  <c r="E1415" i="1"/>
  <c r="B1416" i="1"/>
  <c r="E1416" i="1"/>
  <c r="B1417" i="1"/>
  <c r="E1417" i="1"/>
  <c r="B1418" i="1"/>
  <c r="E1418" i="1"/>
  <c r="B1419" i="1"/>
  <c r="E1419" i="1"/>
  <c r="B1420" i="1"/>
  <c r="E1420" i="1"/>
  <c r="B1421" i="1"/>
  <c r="E1421" i="1"/>
  <c r="B1422" i="1"/>
  <c r="E1422" i="1"/>
  <c r="B1423" i="1"/>
  <c r="E1423" i="1"/>
  <c r="B1424" i="1"/>
  <c r="E1424" i="1"/>
  <c r="B1425" i="1"/>
  <c r="E1425" i="1"/>
  <c r="B1426" i="1"/>
  <c r="E1426" i="1"/>
  <c r="B1427" i="1"/>
  <c r="E1427" i="1"/>
  <c r="B1428" i="1"/>
  <c r="E1428" i="1"/>
  <c r="B1429" i="1"/>
  <c r="E1429" i="1"/>
  <c r="B1430" i="1"/>
  <c r="E1430" i="1"/>
  <c r="B1431" i="1"/>
  <c r="E1431" i="1"/>
  <c r="B1432" i="1"/>
  <c r="E1432" i="1"/>
  <c r="B1433" i="1"/>
  <c r="E1433" i="1"/>
  <c r="B1434" i="1"/>
  <c r="E1434" i="1"/>
  <c r="B1435" i="1"/>
  <c r="E1435" i="1"/>
  <c r="B1436" i="1"/>
  <c r="E1436" i="1"/>
  <c r="B1437" i="1"/>
  <c r="E1437" i="1"/>
  <c r="B1438" i="1"/>
  <c r="E1438" i="1"/>
  <c r="B1439" i="1"/>
  <c r="E1439" i="1"/>
  <c r="B1440" i="1"/>
  <c r="E1440" i="1"/>
  <c r="B1441" i="1"/>
  <c r="E1441" i="1"/>
  <c r="B1442" i="1"/>
  <c r="E1442" i="1"/>
  <c r="B1443" i="1"/>
  <c r="E1443" i="1"/>
  <c r="B1444" i="1"/>
  <c r="E1444" i="1"/>
  <c r="B1445" i="1"/>
  <c r="E1445" i="1"/>
  <c r="B1446" i="1"/>
  <c r="E1446" i="1"/>
  <c r="B1447" i="1"/>
  <c r="E1447" i="1"/>
  <c r="B1448" i="1"/>
  <c r="E1448" i="1"/>
  <c r="B1449" i="1"/>
  <c r="E1449" i="1"/>
  <c r="B1450" i="1"/>
  <c r="E1450" i="1"/>
  <c r="B1451" i="1"/>
  <c r="E1451" i="1"/>
  <c r="B1452" i="1"/>
  <c r="E1452" i="1"/>
  <c r="B1453" i="1"/>
  <c r="E1453" i="1"/>
  <c r="B1454" i="1"/>
  <c r="E1454" i="1"/>
  <c r="B1455" i="1"/>
  <c r="E1455" i="1"/>
  <c r="B1456" i="1"/>
  <c r="E1456" i="1"/>
  <c r="B1457" i="1"/>
  <c r="E1457" i="1"/>
  <c r="B1458" i="1"/>
  <c r="E1458" i="1"/>
  <c r="B1459" i="1"/>
  <c r="E1459" i="1"/>
  <c r="B1460" i="1"/>
  <c r="E1460" i="1"/>
  <c r="B1461" i="1"/>
  <c r="E1461" i="1"/>
  <c r="B1462" i="1"/>
  <c r="E1462" i="1"/>
  <c r="B1463" i="1"/>
  <c r="E1463" i="1"/>
  <c r="B1464" i="1"/>
  <c r="E1464" i="1"/>
  <c r="B1465" i="1"/>
  <c r="E1465" i="1"/>
  <c r="B1466" i="1"/>
  <c r="E1466" i="1"/>
  <c r="B1467" i="1"/>
  <c r="E1467" i="1"/>
  <c r="B1468" i="1"/>
  <c r="E1468" i="1"/>
  <c r="B1469" i="1"/>
  <c r="E1469" i="1"/>
  <c r="B1470" i="1"/>
  <c r="E1470" i="1"/>
  <c r="B1471" i="1"/>
  <c r="E1471" i="1"/>
  <c r="B1472" i="1"/>
  <c r="E1472" i="1"/>
  <c r="B1473" i="1"/>
  <c r="E1473" i="1"/>
  <c r="B1474" i="1"/>
  <c r="E1474" i="1"/>
  <c r="B1475" i="1"/>
  <c r="E1475" i="1"/>
  <c r="B1476" i="1"/>
  <c r="E1476" i="1"/>
  <c r="B1477" i="1"/>
  <c r="E1477" i="1"/>
  <c r="B1478" i="1"/>
  <c r="E1478" i="1"/>
  <c r="B1479" i="1"/>
  <c r="E1479" i="1"/>
  <c r="B1480" i="1"/>
  <c r="E1480" i="1"/>
  <c r="B1481" i="1"/>
  <c r="E1481" i="1"/>
  <c r="B1482" i="1"/>
  <c r="E1482" i="1"/>
  <c r="B1483" i="1"/>
  <c r="E1483" i="1"/>
  <c r="B1484" i="1"/>
  <c r="E1484" i="1"/>
  <c r="B1485" i="1"/>
  <c r="E1485" i="1"/>
  <c r="B1486" i="1"/>
  <c r="E1486" i="1"/>
  <c r="B1487" i="1"/>
  <c r="E1487" i="1"/>
  <c r="B1488" i="1"/>
  <c r="E1488" i="1"/>
  <c r="B1489" i="1"/>
  <c r="E1489" i="1"/>
  <c r="B1490" i="1"/>
  <c r="E1490" i="1"/>
  <c r="B1491" i="1"/>
  <c r="E1491" i="1"/>
  <c r="B1492" i="1"/>
  <c r="E1492" i="1"/>
  <c r="B1493" i="1"/>
  <c r="E1493" i="1"/>
  <c r="B1494" i="1"/>
  <c r="E1494" i="1"/>
  <c r="B1495" i="1"/>
  <c r="E1495" i="1"/>
  <c r="B1496" i="1"/>
  <c r="E1496" i="1"/>
  <c r="B1497" i="1"/>
  <c r="E1497" i="1"/>
  <c r="B1498" i="1"/>
  <c r="E1498" i="1"/>
  <c r="B1499" i="1"/>
  <c r="E1499" i="1"/>
  <c r="B1500" i="1"/>
  <c r="E1500" i="1"/>
  <c r="B1501" i="1"/>
  <c r="E1501" i="1"/>
  <c r="B1502" i="1"/>
  <c r="E1502" i="1"/>
  <c r="B1503" i="1"/>
  <c r="E1503" i="1"/>
  <c r="B1504" i="1"/>
  <c r="E1504" i="1"/>
  <c r="B1505" i="1"/>
  <c r="E1505" i="1"/>
  <c r="B1506" i="1"/>
  <c r="E1506" i="1"/>
  <c r="B1507" i="1"/>
  <c r="E1507" i="1"/>
  <c r="B1508" i="1"/>
  <c r="E1508" i="1"/>
  <c r="B1509" i="1"/>
  <c r="E1509" i="1"/>
  <c r="B1510" i="1"/>
  <c r="E1510" i="1"/>
  <c r="B1511" i="1"/>
  <c r="E1511" i="1"/>
  <c r="B1512" i="1"/>
  <c r="E1512" i="1"/>
  <c r="B1513" i="1"/>
  <c r="E1513" i="1"/>
  <c r="B1514" i="1"/>
  <c r="E1514" i="1"/>
  <c r="B1515" i="1"/>
  <c r="E1515" i="1"/>
  <c r="B1516" i="1"/>
  <c r="E1516" i="1"/>
  <c r="B1517" i="1"/>
  <c r="E1517" i="1"/>
  <c r="B1518" i="1"/>
  <c r="E1518" i="1"/>
  <c r="B1519" i="1"/>
  <c r="E1519" i="1"/>
  <c r="B1520" i="1"/>
  <c r="E1520" i="1"/>
  <c r="B1521" i="1"/>
  <c r="E1521" i="1"/>
  <c r="B1522" i="1"/>
  <c r="E1522" i="1"/>
  <c r="B1523" i="1"/>
  <c r="E1523" i="1"/>
  <c r="B1524" i="1"/>
  <c r="E1524" i="1"/>
  <c r="B1525" i="1"/>
  <c r="E1525" i="1"/>
  <c r="B1526" i="1"/>
  <c r="E1526" i="1"/>
  <c r="B1527" i="1"/>
  <c r="E1527" i="1"/>
  <c r="B1528" i="1"/>
  <c r="E1528" i="1"/>
  <c r="B1529" i="1"/>
  <c r="E1529" i="1"/>
  <c r="B1530" i="1"/>
  <c r="E1530" i="1"/>
  <c r="B1531" i="1"/>
  <c r="E1531" i="1"/>
  <c r="B1532" i="1"/>
  <c r="E1532" i="1"/>
  <c r="B1533" i="1"/>
  <c r="E1533" i="1"/>
  <c r="B1534" i="1"/>
  <c r="E1534" i="1"/>
  <c r="B1535" i="1"/>
  <c r="E1535" i="1"/>
  <c r="B1536" i="1"/>
  <c r="E1536" i="1"/>
  <c r="B1537" i="1"/>
  <c r="E1537" i="1"/>
  <c r="B1538" i="1"/>
  <c r="E1538" i="1"/>
  <c r="B1539" i="1"/>
  <c r="E1539" i="1"/>
  <c r="B1540" i="1"/>
  <c r="E1540" i="1"/>
  <c r="B1541" i="1"/>
  <c r="E1541" i="1"/>
  <c r="B1542" i="1"/>
  <c r="E1542" i="1"/>
  <c r="B1543" i="1"/>
  <c r="E1543" i="1"/>
  <c r="B1544" i="1"/>
  <c r="E1544" i="1"/>
  <c r="B1545" i="1"/>
  <c r="E1545" i="1"/>
  <c r="B1546" i="1"/>
  <c r="E1546" i="1"/>
  <c r="B1547" i="1"/>
  <c r="E1547" i="1"/>
  <c r="B1548" i="1"/>
  <c r="E1548" i="1"/>
  <c r="B1549" i="1"/>
  <c r="E1549" i="1"/>
  <c r="B1550" i="1"/>
  <c r="E1550" i="1"/>
  <c r="B1551" i="1"/>
  <c r="E1551" i="1"/>
  <c r="B1552" i="1"/>
  <c r="E1552" i="1"/>
  <c r="B1553" i="1"/>
  <c r="E1553" i="1"/>
  <c r="B1554" i="1"/>
  <c r="E1554" i="1"/>
  <c r="B1555" i="1"/>
  <c r="E1555" i="1"/>
  <c r="B1556" i="1"/>
  <c r="E1556" i="1"/>
  <c r="B1557" i="1"/>
  <c r="E1557" i="1"/>
  <c r="B1558" i="1"/>
  <c r="E1558" i="1"/>
  <c r="B1559" i="1"/>
  <c r="E1559" i="1"/>
  <c r="B1560" i="1"/>
  <c r="E1560" i="1"/>
  <c r="B1561" i="1"/>
  <c r="E1561" i="1"/>
  <c r="B1562" i="1"/>
  <c r="E1562" i="1"/>
  <c r="B1563" i="1"/>
  <c r="E1563" i="1"/>
  <c r="B1564" i="1"/>
  <c r="E1564" i="1"/>
  <c r="B1565" i="1"/>
  <c r="E1565" i="1"/>
  <c r="B1566" i="1"/>
  <c r="E1566" i="1"/>
  <c r="B1567" i="1"/>
  <c r="E1567" i="1"/>
  <c r="B1568" i="1"/>
  <c r="E1568" i="1"/>
  <c r="B1569" i="1"/>
  <c r="E1569" i="1"/>
  <c r="B1570" i="1"/>
  <c r="E1570" i="1"/>
  <c r="B1571" i="1"/>
  <c r="E1571" i="1"/>
  <c r="B1572" i="1"/>
  <c r="E1572" i="1"/>
  <c r="B1573" i="1"/>
  <c r="E1573" i="1"/>
  <c r="B1574" i="1"/>
  <c r="E1574" i="1"/>
  <c r="B1575" i="1"/>
  <c r="E1575" i="1"/>
  <c r="B1576" i="1"/>
  <c r="E1576" i="1"/>
  <c r="B1577" i="1"/>
  <c r="E1577" i="1"/>
  <c r="B1578" i="1"/>
  <c r="E1578" i="1"/>
  <c r="B1579" i="1"/>
  <c r="E1579" i="1"/>
  <c r="B1580" i="1"/>
  <c r="E1580" i="1"/>
  <c r="B1581" i="1"/>
  <c r="E1581" i="1"/>
  <c r="B1582" i="1"/>
  <c r="E1582" i="1"/>
  <c r="B1583" i="1"/>
  <c r="E1583" i="1"/>
  <c r="B1584" i="1"/>
  <c r="E1584" i="1"/>
  <c r="B1585" i="1"/>
  <c r="E1585" i="1"/>
  <c r="B1586" i="1"/>
  <c r="E1586" i="1"/>
  <c r="B1587" i="1"/>
  <c r="E1587" i="1"/>
  <c r="B1588" i="1"/>
  <c r="E1588" i="1"/>
  <c r="B1589" i="1"/>
  <c r="E1589" i="1"/>
  <c r="B1590" i="1"/>
  <c r="E1590" i="1"/>
  <c r="B1591" i="1"/>
  <c r="E1591" i="1"/>
  <c r="B1592" i="1"/>
  <c r="E1592" i="1"/>
  <c r="B1593" i="1"/>
  <c r="E1593" i="1"/>
  <c r="B1594" i="1"/>
  <c r="E1594" i="1"/>
  <c r="B1595" i="1"/>
  <c r="E1595" i="1"/>
  <c r="B1596" i="1"/>
  <c r="E1596" i="1"/>
  <c r="B1597" i="1"/>
  <c r="E1597" i="1"/>
  <c r="B1598" i="1"/>
  <c r="E1598" i="1"/>
  <c r="B1599" i="1"/>
  <c r="E1599" i="1"/>
  <c r="B1600" i="1"/>
  <c r="E1600" i="1"/>
  <c r="B1601" i="1"/>
  <c r="E1601" i="1"/>
  <c r="B1602" i="1"/>
  <c r="E1602" i="1"/>
  <c r="B1603" i="1"/>
  <c r="E1603" i="1"/>
  <c r="B1604" i="1"/>
  <c r="E1604" i="1"/>
  <c r="B1605" i="1"/>
  <c r="E1605" i="1"/>
  <c r="B1606" i="1"/>
  <c r="E1606" i="1"/>
  <c r="B1607" i="1"/>
  <c r="E1607" i="1"/>
  <c r="B1608" i="1"/>
  <c r="E1608" i="1"/>
  <c r="B1609" i="1"/>
  <c r="E1609" i="1"/>
  <c r="B1610" i="1"/>
  <c r="E1610" i="1"/>
  <c r="B1611" i="1"/>
  <c r="E1611" i="1"/>
  <c r="B1612" i="1"/>
  <c r="E1612" i="1"/>
  <c r="B1613" i="1"/>
  <c r="E1613" i="1"/>
  <c r="B1614" i="1"/>
  <c r="E1614" i="1"/>
  <c r="B1615" i="1"/>
  <c r="E1615" i="1"/>
  <c r="B1616" i="1"/>
  <c r="E1616" i="1"/>
  <c r="B1617" i="1"/>
  <c r="E1617" i="1"/>
  <c r="B1618" i="1"/>
  <c r="E1618" i="1"/>
  <c r="B1619" i="1"/>
  <c r="E1619" i="1"/>
  <c r="B1620" i="1"/>
  <c r="E1620" i="1"/>
  <c r="B1621" i="1"/>
  <c r="E1621" i="1"/>
  <c r="B1622" i="1"/>
  <c r="E1622" i="1"/>
  <c r="B1623" i="1"/>
  <c r="E1623" i="1"/>
  <c r="B1624" i="1"/>
  <c r="E1624" i="1"/>
  <c r="B1625" i="1"/>
  <c r="E1625" i="1"/>
  <c r="B1626" i="1"/>
  <c r="E1626" i="1"/>
  <c r="B1627" i="1"/>
  <c r="E1627" i="1"/>
  <c r="B1628" i="1"/>
  <c r="E1628" i="1"/>
  <c r="B1629" i="1"/>
  <c r="E1629" i="1"/>
  <c r="B1630" i="1"/>
  <c r="E1630" i="1"/>
  <c r="B1631" i="1"/>
  <c r="E1631" i="1"/>
  <c r="B1632" i="1"/>
  <c r="E1632" i="1"/>
  <c r="B1633" i="1"/>
  <c r="E1633" i="1"/>
  <c r="B1634" i="1"/>
  <c r="E1634" i="1"/>
  <c r="B1635" i="1"/>
  <c r="E1635" i="1"/>
  <c r="B1636" i="1"/>
  <c r="E1636" i="1"/>
  <c r="B1637" i="1"/>
  <c r="E1637" i="1"/>
  <c r="B1638" i="1"/>
  <c r="E1638" i="1"/>
  <c r="B1639" i="1"/>
  <c r="E1639" i="1"/>
  <c r="B1640" i="1"/>
  <c r="E1640" i="1"/>
  <c r="B1641" i="1"/>
  <c r="E1641" i="1"/>
  <c r="B1642" i="1"/>
  <c r="E1642" i="1"/>
  <c r="B1643" i="1"/>
  <c r="E1643" i="1"/>
  <c r="B1644" i="1"/>
  <c r="E1644" i="1"/>
  <c r="B1645" i="1"/>
  <c r="E1645" i="1"/>
  <c r="B1646" i="1"/>
  <c r="E1646" i="1"/>
  <c r="B1647" i="1"/>
  <c r="E1647" i="1"/>
  <c r="B1648" i="1"/>
  <c r="E1648" i="1"/>
  <c r="B1649" i="1"/>
  <c r="E1649" i="1"/>
  <c r="B1650" i="1"/>
  <c r="E1650" i="1"/>
  <c r="B1651" i="1"/>
  <c r="E1651" i="1"/>
  <c r="B1652" i="1"/>
  <c r="E1652" i="1"/>
  <c r="B1653" i="1"/>
  <c r="E1653" i="1"/>
  <c r="B1654" i="1"/>
  <c r="E1654" i="1"/>
  <c r="B1655" i="1"/>
  <c r="E1655" i="1"/>
  <c r="B1656" i="1"/>
  <c r="E1656" i="1"/>
  <c r="B1657" i="1"/>
  <c r="E1657" i="1"/>
  <c r="B1658" i="1"/>
  <c r="E1658" i="1"/>
  <c r="B1659" i="1"/>
  <c r="E1659" i="1"/>
  <c r="B1660" i="1"/>
  <c r="E1660" i="1"/>
  <c r="B1661" i="1"/>
  <c r="E1661" i="1"/>
  <c r="B1662" i="1"/>
  <c r="E1662" i="1"/>
  <c r="B1663" i="1"/>
  <c r="E1663" i="1"/>
  <c r="B1664" i="1"/>
  <c r="E1664" i="1"/>
  <c r="B1665" i="1"/>
  <c r="E1665" i="1"/>
  <c r="B1666" i="1"/>
  <c r="E1666" i="1"/>
  <c r="B1667" i="1"/>
  <c r="E1667" i="1"/>
  <c r="B1668" i="1"/>
  <c r="E1668" i="1"/>
  <c r="B1669" i="1"/>
  <c r="E1669" i="1"/>
  <c r="B1670" i="1"/>
  <c r="E1670" i="1"/>
  <c r="B1671" i="1"/>
  <c r="E1671" i="1"/>
  <c r="B1672" i="1"/>
  <c r="E1672" i="1"/>
  <c r="B1673" i="1"/>
  <c r="E1673" i="1"/>
  <c r="B1674" i="1"/>
  <c r="E1674" i="1"/>
  <c r="B1675" i="1"/>
  <c r="E1675" i="1"/>
  <c r="B1676" i="1"/>
  <c r="E1676" i="1"/>
  <c r="B1677" i="1"/>
  <c r="E1677" i="1"/>
  <c r="B1678" i="1"/>
  <c r="E1678" i="1"/>
  <c r="B1679" i="1"/>
  <c r="E1679" i="1"/>
  <c r="B1680" i="1"/>
  <c r="E1680" i="1"/>
  <c r="B1681" i="1"/>
  <c r="E1681" i="1"/>
  <c r="B1682" i="1"/>
  <c r="E1682" i="1"/>
  <c r="B1683" i="1"/>
  <c r="E1683" i="1"/>
  <c r="B1684" i="1"/>
  <c r="E1684" i="1"/>
  <c r="B1685" i="1"/>
  <c r="E1685" i="1"/>
  <c r="B1686" i="1"/>
  <c r="E1686" i="1"/>
  <c r="B1687" i="1"/>
  <c r="E1687" i="1"/>
  <c r="B1688" i="1"/>
  <c r="E1688" i="1"/>
  <c r="B1689" i="1"/>
  <c r="E1689" i="1"/>
  <c r="B1690" i="1"/>
  <c r="E1690" i="1"/>
  <c r="B1691" i="1"/>
  <c r="E1691" i="1"/>
  <c r="B1692" i="1"/>
  <c r="E1692" i="1"/>
  <c r="B1693" i="1"/>
  <c r="E1693" i="1"/>
  <c r="B1694" i="1"/>
  <c r="E1694" i="1"/>
  <c r="B1695" i="1"/>
  <c r="E1695" i="1"/>
  <c r="B1696" i="1"/>
  <c r="E1696" i="1"/>
  <c r="B1697" i="1"/>
  <c r="E1697" i="1"/>
  <c r="B1698" i="1"/>
  <c r="E1698" i="1"/>
  <c r="B1699" i="1"/>
  <c r="E1699" i="1"/>
  <c r="B1700" i="1"/>
  <c r="E1700" i="1"/>
  <c r="B1701" i="1"/>
  <c r="E1701" i="1"/>
  <c r="B1702" i="1"/>
  <c r="E1702" i="1"/>
  <c r="B1703" i="1"/>
  <c r="E1703" i="1"/>
  <c r="B1704" i="1"/>
  <c r="E1704" i="1"/>
  <c r="B1705" i="1"/>
  <c r="E1705" i="1"/>
  <c r="B1706" i="1"/>
  <c r="E1706" i="1"/>
  <c r="B1707" i="1"/>
  <c r="E1707" i="1"/>
  <c r="B1708" i="1"/>
  <c r="E1708" i="1"/>
  <c r="B1709" i="1"/>
  <c r="E1709" i="1"/>
  <c r="B1710" i="1"/>
  <c r="E1710" i="1"/>
  <c r="B1711" i="1"/>
  <c r="E1711" i="1"/>
  <c r="B1712" i="1"/>
  <c r="E1712" i="1"/>
  <c r="B1713" i="1"/>
  <c r="E1713" i="1"/>
  <c r="B1714" i="1"/>
  <c r="E1714" i="1"/>
  <c r="B1715" i="1"/>
  <c r="E1715" i="1"/>
  <c r="B1716" i="1"/>
  <c r="E1716" i="1"/>
  <c r="B1717" i="1"/>
  <c r="E1717" i="1"/>
  <c r="B1718" i="1"/>
  <c r="E1718" i="1"/>
  <c r="B1719" i="1"/>
  <c r="E1719" i="1"/>
  <c r="B1720" i="1"/>
  <c r="E1720" i="1"/>
  <c r="B1721" i="1"/>
  <c r="E1721" i="1"/>
  <c r="B1722" i="1"/>
  <c r="E1722" i="1"/>
  <c r="B1723" i="1"/>
  <c r="E1723" i="1"/>
  <c r="B1724" i="1"/>
  <c r="E1724" i="1"/>
  <c r="B1725" i="1"/>
  <c r="E1725" i="1"/>
  <c r="B1726" i="1"/>
  <c r="E1726" i="1"/>
  <c r="B1727" i="1"/>
  <c r="E1727" i="1"/>
  <c r="B1728" i="1"/>
  <c r="E1728" i="1"/>
  <c r="B1729" i="1"/>
  <c r="E1729" i="1"/>
  <c r="B1730" i="1"/>
  <c r="E1730" i="1"/>
  <c r="B1731" i="1"/>
  <c r="E1731" i="1"/>
  <c r="B1732" i="1"/>
  <c r="E1732" i="1"/>
  <c r="B1733" i="1"/>
  <c r="E1733" i="1"/>
  <c r="B1734" i="1"/>
  <c r="E1734" i="1"/>
  <c r="B1735" i="1"/>
  <c r="E1735" i="1"/>
  <c r="B1736" i="1"/>
  <c r="E1736" i="1"/>
  <c r="B1737" i="1"/>
  <c r="E1737" i="1"/>
  <c r="B1738" i="1"/>
  <c r="E1738" i="1"/>
  <c r="B1739" i="1"/>
  <c r="E1739" i="1"/>
  <c r="B1740" i="1"/>
  <c r="E1740" i="1"/>
  <c r="B1741" i="1"/>
  <c r="E1741" i="1"/>
  <c r="B1742" i="1"/>
  <c r="E1742" i="1"/>
  <c r="B1743" i="1"/>
  <c r="E1743" i="1"/>
  <c r="B1744" i="1"/>
  <c r="E1744" i="1"/>
  <c r="B1745" i="1"/>
  <c r="E1745" i="1"/>
  <c r="B1746" i="1"/>
  <c r="E1746" i="1"/>
  <c r="B1747" i="1"/>
  <c r="E1747" i="1"/>
  <c r="B1748" i="1"/>
  <c r="E1748" i="1"/>
  <c r="B1749" i="1"/>
  <c r="E1749" i="1"/>
  <c r="B1750" i="1"/>
  <c r="E1750" i="1"/>
  <c r="B1751" i="1"/>
  <c r="E1751" i="1"/>
  <c r="B1752" i="1"/>
  <c r="E1752" i="1"/>
  <c r="B1753" i="1"/>
  <c r="E1753" i="1"/>
  <c r="B1754" i="1"/>
  <c r="E1754" i="1"/>
  <c r="B1755" i="1"/>
  <c r="E1755" i="1"/>
  <c r="B1756" i="1"/>
  <c r="E1756" i="1"/>
  <c r="B1757" i="1"/>
  <c r="E1757" i="1"/>
  <c r="B1758" i="1"/>
  <c r="E1758" i="1"/>
  <c r="B1759" i="1"/>
  <c r="E1759" i="1"/>
  <c r="B1760" i="1"/>
  <c r="E1760" i="1"/>
  <c r="B1761" i="1"/>
  <c r="E1761" i="1"/>
  <c r="B1762" i="1"/>
  <c r="E1762" i="1"/>
  <c r="B1763" i="1"/>
  <c r="E1763" i="1"/>
  <c r="B1764" i="1"/>
  <c r="E1764" i="1"/>
  <c r="B1765" i="1"/>
  <c r="E1765" i="1"/>
  <c r="B1766" i="1"/>
  <c r="E1766" i="1"/>
  <c r="B1767" i="1"/>
  <c r="E1767" i="1"/>
  <c r="B1768" i="1"/>
  <c r="E1768" i="1"/>
  <c r="B1769" i="1"/>
  <c r="E1769" i="1"/>
  <c r="B1770" i="1"/>
  <c r="E1770" i="1"/>
  <c r="B1771" i="1"/>
  <c r="E1771" i="1"/>
  <c r="B1772" i="1"/>
  <c r="E1772" i="1"/>
  <c r="B1773" i="1"/>
  <c r="E1773" i="1"/>
  <c r="B1774" i="1"/>
  <c r="E1774" i="1"/>
  <c r="B1775" i="1"/>
  <c r="E1775" i="1"/>
  <c r="B1776" i="1"/>
  <c r="E1776" i="1"/>
  <c r="B1777" i="1"/>
  <c r="E1777" i="1"/>
  <c r="B1778" i="1"/>
  <c r="E1778" i="1"/>
  <c r="B1779" i="1"/>
  <c r="E1779" i="1"/>
  <c r="B1780" i="1"/>
  <c r="E1780" i="1"/>
  <c r="B1781" i="1"/>
  <c r="E1781" i="1"/>
  <c r="B1782" i="1"/>
  <c r="E1782" i="1"/>
  <c r="B1783" i="1"/>
  <c r="E1783" i="1"/>
  <c r="B1784" i="1"/>
  <c r="E1784" i="1"/>
  <c r="B1785" i="1"/>
  <c r="E1785" i="1"/>
  <c r="B1786" i="1"/>
  <c r="E1786" i="1"/>
  <c r="B1787" i="1"/>
  <c r="E1787" i="1"/>
  <c r="B1788" i="1"/>
  <c r="E1788" i="1"/>
  <c r="B1789" i="1"/>
  <c r="E1789" i="1"/>
  <c r="B1790" i="1"/>
  <c r="E1790" i="1"/>
  <c r="B1791" i="1"/>
  <c r="E1791" i="1"/>
  <c r="B1792" i="1"/>
  <c r="E1792" i="1"/>
  <c r="B1793" i="1"/>
  <c r="E1793" i="1"/>
  <c r="B1794" i="1"/>
  <c r="E1794" i="1"/>
  <c r="B1795" i="1"/>
  <c r="E1795" i="1"/>
  <c r="B1796" i="1"/>
  <c r="E1796" i="1"/>
  <c r="B1797" i="1"/>
  <c r="E1797" i="1"/>
  <c r="B1798" i="1"/>
  <c r="E1798" i="1"/>
  <c r="B1799" i="1"/>
  <c r="E1799" i="1"/>
  <c r="B1800" i="1"/>
  <c r="E1800" i="1"/>
  <c r="B1801" i="1"/>
  <c r="E1801" i="1"/>
  <c r="B1802" i="1"/>
  <c r="E1802" i="1"/>
  <c r="B1803" i="1"/>
  <c r="E1803" i="1"/>
  <c r="B1804" i="1"/>
  <c r="E1804" i="1"/>
  <c r="B1805" i="1"/>
  <c r="E1805" i="1"/>
  <c r="B1806" i="1"/>
  <c r="E1806" i="1"/>
  <c r="B1807" i="1"/>
  <c r="E1807" i="1"/>
  <c r="B1808" i="1"/>
  <c r="E1808" i="1"/>
  <c r="B1809" i="1"/>
  <c r="E1809" i="1"/>
  <c r="B1810" i="1"/>
  <c r="E1810" i="1"/>
  <c r="B1811" i="1"/>
  <c r="E1811" i="1"/>
  <c r="B1812" i="1"/>
  <c r="E1812" i="1"/>
  <c r="B1813" i="1"/>
  <c r="E1813" i="1"/>
  <c r="B1814" i="1"/>
  <c r="E1814" i="1"/>
  <c r="B1815" i="1"/>
  <c r="E1815" i="1"/>
  <c r="B1816" i="1"/>
  <c r="E1816" i="1"/>
  <c r="B1817" i="1"/>
  <c r="E1817" i="1"/>
  <c r="B1818" i="1"/>
  <c r="E1818" i="1"/>
  <c r="B1819" i="1"/>
  <c r="E1819" i="1"/>
  <c r="B1820" i="1"/>
  <c r="E1820" i="1"/>
  <c r="B1821" i="1"/>
  <c r="E1821" i="1"/>
  <c r="B1822" i="1"/>
  <c r="E1822" i="1"/>
  <c r="B1823" i="1"/>
  <c r="E1823" i="1"/>
  <c r="B1824" i="1"/>
  <c r="E1824" i="1"/>
  <c r="B1825" i="1"/>
  <c r="E1825" i="1"/>
  <c r="B1826" i="1"/>
  <c r="E1826" i="1"/>
  <c r="B1827" i="1"/>
  <c r="E1827" i="1"/>
  <c r="B1828" i="1"/>
  <c r="E1828" i="1"/>
  <c r="B1829" i="1"/>
  <c r="E1829" i="1"/>
  <c r="B1830" i="1"/>
  <c r="E1830" i="1"/>
  <c r="B1831" i="1"/>
  <c r="E1831" i="1"/>
  <c r="B1832" i="1"/>
  <c r="E1832" i="1"/>
  <c r="B1833" i="1"/>
  <c r="E1833" i="1"/>
  <c r="B1834" i="1"/>
  <c r="E1834" i="1"/>
  <c r="B1835" i="1"/>
  <c r="E1835" i="1"/>
  <c r="B1836" i="1"/>
  <c r="E1836" i="1"/>
  <c r="B1837" i="1"/>
  <c r="E1837" i="1"/>
  <c r="B1838" i="1"/>
  <c r="E1838" i="1"/>
  <c r="B1839" i="1"/>
  <c r="E1839" i="1"/>
  <c r="B1840" i="1"/>
  <c r="E1840" i="1"/>
  <c r="B1841" i="1"/>
  <c r="E1841" i="1"/>
  <c r="B1842" i="1"/>
  <c r="E1842" i="1"/>
  <c r="B1843" i="1"/>
  <c r="E1843" i="1"/>
  <c r="B1844" i="1"/>
  <c r="E1844" i="1"/>
  <c r="B1845" i="1"/>
  <c r="E1845" i="1"/>
  <c r="B1846" i="1"/>
  <c r="E1846" i="1"/>
  <c r="B1847" i="1"/>
  <c r="E1847" i="1"/>
  <c r="B1848" i="1"/>
  <c r="E1848" i="1"/>
  <c r="B1849" i="1"/>
  <c r="E1849" i="1"/>
  <c r="B1850" i="1"/>
  <c r="E1850" i="1"/>
  <c r="B1851" i="1"/>
  <c r="E1851" i="1"/>
  <c r="B1852" i="1"/>
  <c r="E1852" i="1"/>
  <c r="B1853" i="1"/>
  <c r="E1853" i="1"/>
  <c r="B1854" i="1"/>
  <c r="E1854" i="1"/>
  <c r="B1855" i="1"/>
  <c r="E1855" i="1"/>
  <c r="B1856" i="1"/>
  <c r="E1856" i="1"/>
  <c r="B1857" i="1"/>
  <c r="E1857" i="1"/>
  <c r="B1858" i="1"/>
  <c r="E1858" i="1"/>
  <c r="B1859" i="1"/>
  <c r="E1859" i="1"/>
  <c r="B1860" i="1"/>
  <c r="E1860" i="1"/>
  <c r="B1861" i="1"/>
  <c r="E1861" i="1"/>
  <c r="B1862" i="1"/>
  <c r="E1862" i="1"/>
  <c r="B1863" i="1"/>
  <c r="E1863" i="1"/>
  <c r="B1864" i="1"/>
  <c r="E1864" i="1"/>
  <c r="B1865" i="1"/>
  <c r="E1865" i="1"/>
  <c r="B1866" i="1"/>
  <c r="E1866" i="1"/>
  <c r="B1867" i="1"/>
  <c r="E1867" i="1"/>
  <c r="B1868" i="1"/>
  <c r="E1868" i="1"/>
  <c r="B1869" i="1"/>
  <c r="E1869" i="1"/>
  <c r="B1870" i="1"/>
  <c r="E1870" i="1"/>
  <c r="B1871" i="1"/>
  <c r="E1871" i="1"/>
  <c r="B1872" i="1"/>
  <c r="E1872" i="1"/>
  <c r="B1873" i="1"/>
  <c r="E1873" i="1"/>
  <c r="B1874" i="1"/>
  <c r="E1874" i="1"/>
  <c r="B1875" i="1"/>
  <c r="E1875" i="1"/>
  <c r="B1876" i="1"/>
  <c r="E1876" i="1"/>
  <c r="B1877" i="1"/>
  <c r="E1877" i="1"/>
  <c r="B1878" i="1"/>
  <c r="E1878" i="1"/>
  <c r="B1879" i="1"/>
  <c r="E1879" i="1"/>
  <c r="B1880" i="1"/>
  <c r="E1880" i="1"/>
  <c r="B1881" i="1"/>
  <c r="E1881" i="1"/>
  <c r="B1882" i="1"/>
  <c r="E1882" i="1"/>
  <c r="B1883" i="1"/>
  <c r="E1883" i="1"/>
  <c r="B1884" i="1"/>
  <c r="E1884" i="1"/>
  <c r="B1885" i="1"/>
  <c r="E1885" i="1"/>
  <c r="B1886" i="1"/>
  <c r="E1886" i="1"/>
  <c r="B1887" i="1"/>
  <c r="E1887" i="1"/>
  <c r="B1888" i="1"/>
  <c r="E1888" i="1"/>
  <c r="B1889" i="1"/>
  <c r="E1889" i="1"/>
  <c r="B1890" i="1"/>
  <c r="E1890" i="1"/>
  <c r="B1891" i="1"/>
  <c r="E1891" i="1"/>
  <c r="B1892" i="1"/>
  <c r="E1892" i="1"/>
  <c r="B1893" i="1"/>
  <c r="E1893" i="1"/>
  <c r="B1894" i="1"/>
  <c r="E1894" i="1"/>
  <c r="B1895" i="1"/>
  <c r="E1895" i="1"/>
  <c r="B1896" i="1"/>
  <c r="E1896" i="1"/>
  <c r="B1897" i="1"/>
  <c r="E1897" i="1"/>
  <c r="B1898" i="1"/>
  <c r="E1898" i="1"/>
  <c r="B1899" i="1"/>
  <c r="E1899" i="1"/>
  <c r="B1900" i="1"/>
  <c r="E1900" i="1"/>
  <c r="B1901" i="1"/>
  <c r="E1901" i="1"/>
  <c r="B1902" i="1"/>
  <c r="E1902" i="1"/>
  <c r="B1903" i="1"/>
  <c r="E1903" i="1"/>
  <c r="B1904" i="1"/>
  <c r="E1904" i="1"/>
  <c r="B1905" i="1"/>
  <c r="E1905" i="1"/>
  <c r="B1906" i="1"/>
  <c r="E1906" i="1"/>
  <c r="B1907" i="1"/>
  <c r="E1907" i="1"/>
  <c r="B1908" i="1"/>
  <c r="E1908" i="1"/>
  <c r="B1909" i="1"/>
  <c r="E1909" i="1"/>
  <c r="B1910" i="1"/>
  <c r="E1910" i="1"/>
  <c r="B1911" i="1"/>
  <c r="E1911" i="1"/>
  <c r="B1912" i="1"/>
  <c r="E1912" i="1"/>
  <c r="B1913" i="1"/>
  <c r="E1913" i="1"/>
  <c r="B1914" i="1"/>
  <c r="E1914" i="1"/>
  <c r="B1915" i="1"/>
  <c r="E1915" i="1"/>
  <c r="B1916" i="1"/>
  <c r="E1916" i="1"/>
  <c r="B1917" i="1"/>
  <c r="E1917" i="1"/>
  <c r="B1918" i="1"/>
  <c r="E1918" i="1"/>
  <c r="B1919" i="1"/>
  <c r="E1919" i="1"/>
  <c r="B1920" i="1"/>
  <c r="E1920" i="1"/>
  <c r="B1921" i="1"/>
  <c r="E1921" i="1"/>
  <c r="B1922" i="1"/>
  <c r="E1922" i="1"/>
  <c r="B1923" i="1"/>
  <c r="E1923" i="1"/>
  <c r="B1924" i="1"/>
  <c r="E1924" i="1"/>
  <c r="B1925" i="1"/>
  <c r="E1925" i="1"/>
  <c r="B1926" i="1"/>
  <c r="E1926" i="1"/>
  <c r="B1927" i="1"/>
  <c r="E1927" i="1"/>
  <c r="B1928" i="1"/>
  <c r="E1928" i="1"/>
  <c r="B1929" i="1"/>
  <c r="E1929" i="1"/>
  <c r="B1930" i="1"/>
  <c r="E1930" i="1"/>
  <c r="B1931" i="1"/>
  <c r="E1931" i="1"/>
  <c r="B1932" i="1"/>
  <c r="E1932" i="1"/>
  <c r="B1933" i="1"/>
  <c r="E1933" i="1"/>
  <c r="B1934" i="1"/>
  <c r="E1934" i="1"/>
  <c r="B1935" i="1"/>
  <c r="E1935" i="1"/>
  <c r="B1936" i="1"/>
  <c r="E1936" i="1"/>
  <c r="B1937" i="1"/>
  <c r="E1937" i="1"/>
  <c r="B1938" i="1"/>
  <c r="E1938" i="1"/>
  <c r="B1939" i="1"/>
  <c r="E1939" i="1"/>
  <c r="B1940" i="1"/>
  <c r="E1940" i="1"/>
  <c r="B1941" i="1"/>
  <c r="E1941" i="1"/>
  <c r="B1942" i="1"/>
  <c r="E1942" i="1"/>
  <c r="B1943" i="1"/>
  <c r="E1943" i="1"/>
  <c r="B1944" i="1"/>
  <c r="E1944" i="1"/>
  <c r="B1945" i="1"/>
  <c r="E1945" i="1"/>
  <c r="B1946" i="1"/>
  <c r="E1946" i="1"/>
  <c r="B1947" i="1"/>
  <c r="E1947" i="1"/>
  <c r="B1948" i="1"/>
  <c r="E1948" i="1"/>
  <c r="B1949" i="1"/>
  <c r="E1949" i="1"/>
  <c r="B1950" i="1"/>
  <c r="E1950" i="1"/>
  <c r="B1951" i="1"/>
  <c r="E1951" i="1"/>
  <c r="B1952" i="1"/>
  <c r="E1952" i="1"/>
  <c r="B1953" i="1"/>
  <c r="E1953" i="1"/>
  <c r="B1954" i="1"/>
  <c r="E1954" i="1"/>
  <c r="B1955" i="1"/>
  <c r="E1955" i="1"/>
  <c r="B1956" i="1"/>
  <c r="E1956" i="1"/>
  <c r="B1957" i="1"/>
  <c r="E1957" i="1"/>
  <c r="B1958" i="1"/>
  <c r="E1958" i="1"/>
  <c r="B1959" i="1"/>
  <c r="E1959" i="1"/>
  <c r="B1960" i="1"/>
  <c r="E1960" i="1"/>
  <c r="B1961" i="1"/>
  <c r="E1961" i="1"/>
  <c r="B1962" i="1"/>
  <c r="E1962" i="1"/>
  <c r="B1963" i="1"/>
  <c r="E1963" i="1"/>
  <c r="B1964" i="1"/>
  <c r="E1964" i="1"/>
  <c r="B1965" i="1"/>
  <c r="E1965" i="1"/>
  <c r="B1966" i="1"/>
  <c r="E1966" i="1"/>
  <c r="B1967" i="1"/>
  <c r="E1967" i="1"/>
  <c r="B1968" i="1"/>
  <c r="E1968" i="1"/>
  <c r="B1969" i="1"/>
  <c r="E1969" i="1"/>
  <c r="B1970" i="1"/>
  <c r="E1970" i="1"/>
  <c r="B1971" i="1"/>
  <c r="E1971" i="1"/>
  <c r="B1972" i="1"/>
  <c r="E1972" i="1"/>
  <c r="B1973" i="1"/>
  <c r="E1973" i="1"/>
  <c r="B1974" i="1"/>
  <c r="E1974" i="1"/>
  <c r="B1975" i="1"/>
  <c r="E1975" i="1"/>
  <c r="B1976" i="1"/>
  <c r="E1976" i="1"/>
  <c r="B1977" i="1"/>
  <c r="E1977" i="1"/>
  <c r="B1978" i="1"/>
  <c r="E1978" i="1"/>
  <c r="B1979" i="1"/>
  <c r="E1979" i="1"/>
  <c r="B1980" i="1"/>
  <c r="E1980" i="1"/>
  <c r="B1981" i="1"/>
  <c r="E1981" i="1"/>
  <c r="B1982" i="1"/>
  <c r="E1982" i="1"/>
  <c r="B1983" i="1"/>
  <c r="E1983" i="1"/>
  <c r="B1984" i="1"/>
  <c r="E1984" i="1"/>
  <c r="B1985" i="1"/>
  <c r="E1985" i="1"/>
  <c r="B1986" i="1"/>
  <c r="E1986" i="1"/>
  <c r="B1987" i="1"/>
  <c r="E1987" i="1"/>
  <c r="B1988" i="1"/>
  <c r="E1988" i="1"/>
  <c r="B1989" i="1"/>
  <c r="E1989" i="1"/>
  <c r="B1990" i="1"/>
  <c r="E1990" i="1"/>
  <c r="B1991" i="1"/>
  <c r="E1991" i="1"/>
  <c r="B1992" i="1"/>
  <c r="E1992" i="1"/>
  <c r="B1993" i="1"/>
  <c r="E1993" i="1"/>
  <c r="B1994" i="1"/>
  <c r="E1994" i="1"/>
  <c r="B1995" i="1"/>
  <c r="E1995" i="1"/>
  <c r="B1996" i="1"/>
  <c r="E1996" i="1"/>
  <c r="B1997" i="1"/>
  <c r="E1997" i="1"/>
  <c r="B1998" i="1"/>
  <c r="E1998" i="1"/>
  <c r="B1999" i="1"/>
  <c r="E1999" i="1"/>
  <c r="B2000" i="1"/>
  <c r="E2000" i="1"/>
  <c r="B2001" i="1"/>
  <c r="E2001" i="1"/>
  <c r="B2002" i="1"/>
  <c r="E2002" i="1"/>
  <c r="B2003" i="1"/>
  <c r="E2003" i="1"/>
  <c r="B2004" i="1"/>
  <c r="E2004" i="1"/>
  <c r="B2005" i="1"/>
  <c r="E2005" i="1"/>
  <c r="B2006" i="1"/>
  <c r="E2006" i="1"/>
  <c r="B2007" i="1"/>
  <c r="E2007" i="1"/>
  <c r="B2008" i="1"/>
  <c r="E2008" i="1"/>
  <c r="B2009" i="1"/>
  <c r="E2009" i="1"/>
  <c r="B2010" i="1"/>
  <c r="E2010" i="1"/>
  <c r="B2011" i="1"/>
  <c r="E2011" i="1"/>
  <c r="B2012" i="1"/>
  <c r="E2012" i="1"/>
  <c r="B2013" i="1"/>
  <c r="E2013" i="1"/>
  <c r="B2014" i="1"/>
  <c r="E2014" i="1"/>
  <c r="B2015" i="1"/>
  <c r="E2015" i="1"/>
  <c r="B2016" i="1"/>
  <c r="E2016" i="1"/>
  <c r="B2017" i="1"/>
  <c r="E2017" i="1"/>
  <c r="B2018" i="1"/>
  <c r="E2018" i="1"/>
  <c r="B2019" i="1"/>
  <c r="E2019" i="1"/>
  <c r="B2020" i="1"/>
  <c r="E2020" i="1"/>
  <c r="B2021" i="1"/>
  <c r="E2021" i="1"/>
  <c r="B2022" i="1"/>
  <c r="E2022" i="1"/>
  <c r="B2023" i="1"/>
  <c r="E2023" i="1"/>
  <c r="B2024" i="1"/>
  <c r="E2024" i="1"/>
  <c r="B2025" i="1"/>
  <c r="E2025" i="1"/>
  <c r="B2026" i="1"/>
  <c r="E2026" i="1"/>
  <c r="B2027" i="1"/>
  <c r="E2027" i="1"/>
  <c r="B2028" i="1"/>
  <c r="E2028" i="1"/>
  <c r="B2029" i="1"/>
  <c r="E2029" i="1"/>
  <c r="B2030" i="1"/>
  <c r="E2030" i="1"/>
  <c r="B2031" i="1"/>
  <c r="E2031" i="1"/>
  <c r="B2032" i="1"/>
  <c r="E2032" i="1"/>
  <c r="B2033" i="1"/>
  <c r="E2033" i="1"/>
  <c r="B2034" i="1"/>
  <c r="E2034" i="1"/>
  <c r="B2035" i="1"/>
  <c r="E2035" i="1"/>
  <c r="B2036" i="1"/>
  <c r="E2036" i="1"/>
  <c r="B2037" i="1"/>
  <c r="E2037" i="1"/>
  <c r="B2038" i="1"/>
  <c r="E2038" i="1"/>
  <c r="B2039" i="1"/>
  <c r="E2039" i="1"/>
  <c r="B2040" i="1"/>
  <c r="E2040" i="1"/>
  <c r="B2041" i="1"/>
  <c r="E2041" i="1"/>
  <c r="B2042" i="1"/>
  <c r="E2042" i="1"/>
  <c r="B2043" i="1"/>
  <c r="E2043" i="1"/>
  <c r="B2044" i="1"/>
  <c r="E2044" i="1"/>
  <c r="B2045" i="1"/>
  <c r="E2045" i="1"/>
  <c r="B2046" i="1"/>
  <c r="E2046" i="1"/>
  <c r="B2047" i="1"/>
  <c r="E2047" i="1"/>
  <c r="B2048" i="1"/>
  <c r="E2048" i="1"/>
  <c r="B2049" i="1"/>
  <c r="E2049" i="1"/>
  <c r="B2050" i="1"/>
  <c r="E2050" i="1"/>
  <c r="B2051" i="1"/>
  <c r="E2051" i="1"/>
  <c r="B2052" i="1"/>
  <c r="E2052" i="1"/>
  <c r="B2053" i="1"/>
  <c r="E2053" i="1"/>
  <c r="B2054" i="1"/>
  <c r="E2054" i="1"/>
  <c r="B2055" i="1"/>
  <c r="E2055" i="1"/>
  <c r="B2056" i="1"/>
  <c r="E2056" i="1"/>
  <c r="B2057" i="1"/>
  <c r="E2057" i="1"/>
  <c r="B2058" i="1"/>
  <c r="E2058" i="1"/>
  <c r="B2059" i="1"/>
  <c r="E2059" i="1"/>
  <c r="B2060" i="1"/>
  <c r="E2060" i="1"/>
  <c r="B2061" i="1"/>
  <c r="E2061" i="1"/>
  <c r="B2062" i="1"/>
  <c r="E2062" i="1"/>
  <c r="B2063" i="1"/>
  <c r="E2063" i="1"/>
  <c r="B2064" i="1"/>
  <c r="E2064" i="1"/>
  <c r="B2065" i="1"/>
  <c r="E2065" i="1"/>
  <c r="B2066" i="1"/>
  <c r="E2066" i="1"/>
  <c r="B2067" i="1"/>
  <c r="E2067" i="1"/>
  <c r="B2068" i="1"/>
  <c r="E2068" i="1"/>
  <c r="B2069" i="1"/>
  <c r="E2069" i="1"/>
  <c r="B2070" i="1"/>
  <c r="E2070" i="1"/>
  <c r="B2071" i="1"/>
  <c r="E2071" i="1"/>
  <c r="B2072" i="1"/>
  <c r="E2072" i="1"/>
  <c r="B2073" i="1"/>
  <c r="E2073" i="1"/>
  <c r="B2074" i="1"/>
  <c r="E2074" i="1"/>
  <c r="B2075" i="1"/>
  <c r="E2075" i="1"/>
  <c r="B2076" i="1"/>
  <c r="E2076" i="1"/>
  <c r="B2077" i="1"/>
  <c r="E2077" i="1"/>
  <c r="B2078" i="1"/>
  <c r="E2078" i="1"/>
  <c r="B2079" i="1"/>
  <c r="E2079" i="1"/>
  <c r="B2080" i="1"/>
  <c r="E2080" i="1"/>
  <c r="B2081" i="1"/>
  <c r="E2081" i="1"/>
  <c r="B2082" i="1"/>
  <c r="E2082" i="1"/>
  <c r="B2083" i="1"/>
  <c r="E2083" i="1"/>
  <c r="B2084" i="1"/>
  <c r="E2084" i="1"/>
  <c r="B2085" i="1"/>
  <c r="E2085" i="1"/>
  <c r="B2086" i="1"/>
  <c r="E2086" i="1"/>
  <c r="B2087" i="1"/>
  <c r="E2087" i="1"/>
  <c r="B2088" i="1"/>
  <c r="E2088" i="1"/>
  <c r="B2089" i="1"/>
  <c r="E2089" i="1"/>
  <c r="B2090" i="1"/>
  <c r="E2090" i="1"/>
  <c r="B2091" i="1"/>
  <c r="E2091" i="1"/>
  <c r="B2092" i="1"/>
  <c r="E2092" i="1"/>
  <c r="B2093" i="1"/>
  <c r="E2093" i="1"/>
  <c r="B2094" i="1"/>
  <c r="E2094" i="1"/>
  <c r="B2095" i="1"/>
  <c r="E2095" i="1"/>
  <c r="B2096" i="1"/>
  <c r="E2096" i="1"/>
  <c r="B2097" i="1"/>
  <c r="E2097" i="1"/>
  <c r="B2098" i="1"/>
  <c r="E2098" i="1"/>
  <c r="B2099" i="1"/>
  <c r="E2099" i="1"/>
  <c r="B2100" i="1"/>
  <c r="E2100" i="1"/>
  <c r="B2101" i="1"/>
  <c r="E2101" i="1"/>
  <c r="B2102" i="1"/>
  <c r="E2102" i="1"/>
  <c r="B2103" i="1"/>
  <c r="E2103" i="1"/>
  <c r="B2104" i="1"/>
  <c r="E2104" i="1"/>
  <c r="B2105" i="1"/>
  <c r="E2105" i="1"/>
  <c r="B2106" i="1"/>
  <c r="E2106" i="1"/>
  <c r="B2107" i="1"/>
  <c r="E2107" i="1"/>
  <c r="B2108" i="1"/>
  <c r="E2108" i="1"/>
  <c r="B2109" i="1"/>
  <c r="E2109" i="1"/>
  <c r="B2110" i="1"/>
  <c r="E2110" i="1"/>
  <c r="B2111" i="1"/>
  <c r="E2111" i="1"/>
  <c r="B2112" i="1"/>
  <c r="E2112" i="1"/>
  <c r="B2113" i="1"/>
  <c r="E2113" i="1"/>
  <c r="B2114" i="1"/>
  <c r="E2114" i="1"/>
  <c r="B2115" i="1"/>
  <c r="E2115" i="1"/>
  <c r="B2116" i="1"/>
  <c r="E2116" i="1"/>
  <c r="B2117" i="1"/>
  <c r="E2117" i="1"/>
  <c r="B2118" i="1"/>
  <c r="E2118" i="1"/>
  <c r="B2119" i="1"/>
  <c r="E2119" i="1"/>
  <c r="B2120" i="1"/>
  <c r="E2120" i="1"/>
  <c r="B2121" i="1"/>
  <c r="E2121" i="1"/>
  <c r="B2122" i="1"/>
  <c r="E2122" i="1"/>
  <c r="B2123" i="1"/>
  <c r="E2123" i="1"/>
  <c r="B2124" i="1"/>
  <c r="E2124" i="1"/>
  <c r="B2125" i="1"/>
  <c r="E2125" i="1"/>
  <c r="B2126" i="1"/>
  <c r="E2126" i="1"/>
  <c r="B2127" i="1"/>
  <c r="E2127" i="1"/>
  <c r="B2128" i="1"/>
  <c r="E2128" i="1"/>
  <c r="B2129" i="1"/>
  <c r="E2129" i="1"/>
  <c r="B2130" i="1"/>
  <c r="E2130" i="1"/>
  <c r="B2131" i="1"/>
  <c r="E2131" i="1"/>
  <c r="B2132" i="1"/>
  <c r="E2132" i="1"/>
  <c r="B2133" i="1"/>
  <c r="E2133" i="1"/>
  <c r="B2134" i="1"/>
  <c r="E2134" i="1"/>
  <c r="B2135" i="1"/>
  <c r="E2135" i="1"/>
  <c r="B2136" i="1"/>
  <c r="E2136" i="1"/>
  <c r="B2137" i="1"/>
  <c r="E2137" i="1"/>
  <c r="B2138" i="1"/>
  <c r="E2138" i="1"/>
  <c r="B2139" i="1"/>
  <c r="E2139" i="1"/>
  <c r="B2140" i="1"/>
  <c r="E2140" i="1"/>
  <c r="B2141" i="1"/>
  <c r="E2141" i="1"/>
  <c r="B2142" i="1"/>
  <c r="E2142" i="1"/>
  <c r="B2143" i="1"/>
  <c r="E2143" i="1"/>
  <c r="B2144" i="1"/>
  <c r="E2144" i="1"/>
  <c r="B2145" i="1"/>
  <c r="E2145" i="1"/>
  <c r="B2146" i="1"/>
  <c r="E2146" i="1"/>
  <c r="B2147" i="1"/>
  <c r="E2147" i="1"/>
  <c r="B2148" i="1"/>
  <c r="E2148" i="1"/>
  <c r="B2149" i="1"/>
  <c r="E2149" i="1"/>
  <c r="B2150" i="1"/>
  <c r="E2150" i="1"/>
  <c r="B2151" i="1"/>
  <c r="E2151" i="1"/>
  <c r="B2152" i="1"/>
  <c r="E2152" i="1"/>
  <c r="B2153" i="1"/>
  <c r="E2153" i="1"/>
  <c r="B2154" i="1"/>
  <c r="E2154" i="1"/>
  <c r="B2155" i="1"/>
  <c r="E2155" i="1"/>
  <c r="B2156" i="1"/>
  <c r="E2156" i="1"/>
  <c r="B2157" i="1"/>
  <c r="E2157" i="1"/>
  <c r="B2158" i="1"/>
  <c r="E2158" i="1"/>
  <c r="B2159" i="1"/>
  <c r="E2159" i="1"/>
  <c r="B2160" i="1"/>
  <c r="E2160" i="1"/>
  <c r="B2161" i="1"/>
  <c r="E2161" i="1"/>
  <c r="B2162" i="1"/>
  <c r="E2162" i="1"/>
  <c r="B2163" i="1"/>
  <c r="E2163" i="1"/>
  <c r="B2164" i="1"/>
  <c r="E2164" i="1"/>
  <c r="B2165" i="1"/>
  <c r="E2165" i="1"/>
  <c r="B2166" i="1"/>
  <c r="E2166" i="1"/>
  <c r="B2167" i="1"/>
  <c r="E2167" i="1"/>
  <c r="B2168" i="1"/>
  <c r="E2168" i="1"/>
  <c r="B2169" i="1"/>
  <c r="E2169" i="1"/>
  <c r="B2170" i="1"/>
  <c r="E2170" i="1"/>
  <c r="B2171" i="1"/>
  <c r="E2171" i="1"/>
  <c r="B2172" i="1"/>
  <c r="E2172" i="1"/>
  <c r="B2173" i="1"/>
  <c r="E2173" i="1"/>
  <c r="B2174" i="1"/>
  <c r="E2174" i="1"/>
  <c r="B2175" i="1"/>
  <c r="E2175" i="1"/>
  <c r="B2176" i="1"/>
  <c r="E2176" i="1"/>
  <c r="B2177" i="1"/>
  <c r="E2177" i="1"/>
  <c r="B2178" i="1"/>
  <c r="E2178" i="1"/>
  <c r="B2179" i="1"/>
  <c r="E2179" i="1"/>
  <c r="B2180" i="1"/>
  <c r="E2180" i="1"/>
  <c r="B2181" i="1"/>
  <c r="E2181" i="1"/>
  <c r="B2182" i="1"/>
  <c r="E2182" i="1"/>
  <c r="B2183" i="1"/>
  <c r="E2183" i="1"/>
  <c r="B2184" i="1"/>
  <c r="E2184" i="1"/>
  <c r="B2185" i="1"/>
  <c r="E2185" i="1"/>
  <c r="B2186" i="1"/>
  <c r="E2186" i="1"/>
  <c r="B2187" i="1"/>
  <c r="E2187" i="1"/>
  <c r="B2188" i="1"/>
  <c r="E2188" i="1"/>
  <c r="B2189" i="1"/>
  <c r="E2189" i="1"/>
  <c r="B2190" i="1"/>
  <c r="E2190" i="1"/>
  <c r="B2191" i="1"/>
  <c r="E2191" i="1"/>
  <c r="B2192" i="1"/>
  <c r="E2192" i="1"/>
  <c r="B2193" i="1"/>
  <c r="E2193" i="1"/>
  <c r="B2194" i="1"/>
  <c r="E2194" i="1"/>
  <c r="B2195" i="1"/>
  <c r="E2195" i="1"/>
  <c r="B2196" i="1"/>
  <c r="E2196" i="1"/>
  <c r="B2197" i="1"/>
  <c r="E2197" i="1"/>
  <c r="B2198" i="1"/>
  <c r="E2198" i="1"/>
  <c r="B2199" i="1"/>
  <c r="E2199" i="1"/>
  <c r="B2200" i="1"/>
  <c r="E2200" i="1"/>
  <c r="B2201" i="1"/>
  <c r="E2201" i="1"/>
  <c r="B2202" i="1"/>
  <c r="E2202" i="1"/>
  <c r="B2203" i="1"/>
  <c r="E2203" i="1"/>
  <c r="B2204" i="1"/>
  <c r="E2204" i="1"/>
  <c r="B2205" i="1"/>
  <c r="E2205" i="1"/>
  <c r="B2206" i="1"/>
  <c r="E2206" i="1"/>
  <c r="B2207" i="1"/>
  <c r="E2207" i="1"/>
  <c r="B2208" i="1"/>
  <c r="E2208" i="1"/>
  <c r="B2209" i="1"/>
  <c r="E2209" i="1"/>
  <c r="B2210" i="1"/>
  <c r="E2210" i="1"/>
  <c r="B2211" i="1"/>
  <c r="E2211" i="1"/>
  <c r="B2212" i="1"/>
  <c r="E2212" i="1"/>
  <c r="B2213" i="1"/>
  <c r="E2213" i="1"/>
  <c r="B2214" i="1"/>
  <c r="E2214" i="1"/>
  <c r="B2215" i="1"/>
  <c r="E2215" i="1"/>
  <c r="B2216" i="1"/>
  <c r="E2216" i="1"/>
  <c r="B2217" i="1"/>
  <c r="E2217" i="1"/>
  <c r="B2218" i="1"/>
  <c r="E2218" i="1"/>
  <c r="B2219" i="1"/>
  <c r="E2219" i="1"/>
  <c r="B2220" i="1"/>
  <c r="E2220" i="1"/>
  <c r="B2221" i="1"/>
  <c r="E2221" i="1"/>
  <c r="B2222" i="1"/>
  <c r="E2222" i="1"/>
  <c r="B2223" i="1"/>
  <c r="E2223" i="1"/>
  <c r="B2224" i="1"/>
  <c r="E2224" i="1"/>
  <c r="B2225" i="1"/>
  <c r="E2225" i="1"/>
  <c r="B2226" i="1"/>
  <c r="E2226" i="1"/>
  <c r="B2227" i="1"/>
  <c r="E2227" i="1"/>
  <c r="B2228" i="1"/>
  <c r="E2228" i="1"/>
  <c r="B2229" i="1"/>
  <c r="E2229" i="1"/>
  <c r="B2230" i="1"/>
  <c r="E2230" i="1"/>
  <c r="B2231" i="1"/>
  <c r="E2231" i="1"/>
  <c r="B2232" i="1"/>
  <c r="E2232" i="1"/>
  <c r="B2233" i="1"/>
  <c r="E2233" i="1"/>
  <c r="B2234" i="1"/>
  <c r="E2234" i="1"/>
  <c r="B2235" i="1"/>
  <c r="E2235" i="1"/>
  <c r="B2236" i="1"/>
  <c r="E2236" i="1"/>
  <c r="B2237" i="1"/>
  <c r="E2237" i="1"/>
  <c r="B2238" i="1"/>
  <c r="E2238" i="1"/>
  <c r="B2239" i="1"/>
  <c r="E2239" i="1"/>
  <c r="B2240" i="1"/>
  <c r="E2240" i="1"/>
  <c r="B2241" i="1"/>
  <c r="E2241" i="1"/>
  <c r="B2242" i="1"/>
  <c r="E2242" i="1"/>
  <c r="B2243" i="1"/>
  <c r="E2243" i="1"/>
  <c r="B2244" i="1"/>
  <c r="E2244" i="1"/>
  <c r="B2245" i="1"/>
  <c r="E2245" i="1"/>
  <c r="B2246" i="1"/>
  <c r="E2246" i="1"/>
  <c r="B2247" i="1"/>
  <c r="E2247" i="1"/>
  <c r="B2248" i="1"/>
  <c r="E2248" i="1"/>
  <c r="B2249" i="1"/>
  <c r="E2249" i="1"/>
  <c r="B2250" i="1"/>
  <c r="E2250" i="1"/>
  <c r="B2251" i="1"/>
  <c r="E2251" i="1"/>
  <c r="B2252" i="1"/>
  <c r="E2252" i="1"/>
  <c r="B2253" i="1"/>
  <c r="E2253" i="1"/>
  <c r="B2254" i="1"/>
  <c r="E2254" i="1"/>
  <c r="B2255" i="1"/>
  <c r="E2255" i="1"/>
  <c r="B2256" i="1"/>
  <c r="E2256" i="1"/>
  <c r="B2257" i="1"/>
  <c r="E2257" i="1"/>
  <c r="B2258" i="1"/>
  <c r="E2258" i="1"/>
  <c r="B2259" i="1"/>
  <c r="E2259" i="1"/>
  <c r="B2260" i="1"/>
  <c r="E2260" i="1"/>
  <c r="B2261" i="1"/>
  <c r="E2261" i="1"/>
  <c r="B2262" i="1"/>
  <c r="E2262" i="1"/>
  <c r="B2263" i="1"/>
  <c r="E2263" i="1"/>
  <c r="B2264" i="1"/>
  <c r="E2264" i="1"/>
  <c r="B2265" i="1"/>
  <c r="E2265" i="1"/>
  <c r="B2266" i="1"/>
  <c r="E2266" i="1"/>
  <c r="B2267" i="1"/>
  <c r="E2267" i="1"/>
  <c r="B2268" i="1"/>
  <c r="E2268" i="1"/>
  <c r="B2269" i="1"/>
  <c r="E2269" i="1"/>
  <c r="B2270" i="1"/>
  <c r="E2270" i="1"/>
  <c r="B2271" i="1"/>
  <c r="E2271" i="1"/>
  <c r="B2272" i="1"/>
  <c r="E2272" i="1"/>
  <c r="B2273" i="1"/>
  <c r="E2273" i="1"/>
  <c r="B2274" i="1"/>
  <c r="E2274" i="1"/>
  <c r="B2275" i="1"/>
  <c r="E2275" i="1"/>
  <c r="B2276" i="1"/>
  <c r="E2276" i="1"/>
  <c r="B2277" i="1"/>
  <c r="E2277" i="1"/>
  <c r="B2278" i="1"/>
  <c r="E2278" i="1"/>
  <c r="B2279" i="1"/>
  <c r="E2279" i="1"/>
  <c r="B2280" i="1"/>
  <c r="E2280" i="1"/>
  <c r="B2281" i="1"/>
  <c r="E2281" i="1"/>
  <c r="B2282" i="1"/>
  <c r="E2282" i="1"/>
  <c r="B2283" i="1"/>
  <c r="E2283" i="1"/>
  <c r="B2284" i="1"/>
  <c r="E2284" i="1"/>
  <c r="B2285" i="1"/>
  <c r="E2285" i="1"/>
  <c r="B2286" i="1"/>
  <c r="E2286" i="1"/>
  <c r="B2287" i="1"/>
  <c r="E2287" i="1"/>
  <c r="B2288" i="1"/>
  <c r="E2288" i="1"/>
  <c r="B2289" i="1"/>
  <c r="E2289" i="1"/>
  <c r="B2290" i="1"/>
  <c r="E2290" i="1"/>
  <c r="B2291" i="1"/>
  <c r="E2291" i="1"/>
  <c r="B2292" i="1"/>
  <c r="E2292" i="1"/>
  <c r="B2293" i="1"/>
  <c r="E2293" i="1"/>
  <c r="B2294" i="1"/>
  <c r="E2294" i="1"/>
  <c r="B2295" i="1"/>
  <c r="E2295" i="1"/>
  <c r="B2296" i="1"/>
  <c r="E2296" i="1"/>
  <c r="B2297" i="1"/>
  <c r="E2297" i="1"/>
  <c r="B2298" i="1"/>
  <c r="E2298" i="1"/>
  <c r="B2299" i="1"/>
  <c r="E2299" i="1"/>
  <c r="B2300" i="1"/>
  <c r="E2300" i="1"/>
  <c r="B2301" i="1"/>
  <c r="E2301" i="1"/>
  <c r="B2302" i="1"/>
  <c r="E2302" i="1"/>
  <c r="B2303" i="1"/>
  <c r="E2303" i="1"/>
  <c r="B2304" i="1"/>
  <c r="E2304" i="1"/>
  <c r="B2305" i="1"/>
  <c r="E2305" i="1"/>
  <c r="B2306" i="1"/>
  <c r="E2306" i="1"/>
  <c r="B2307" i="1"/>
  <c r="E2307" i="1"/>
  <c r="B2308" i="1"/>
  <c r="E2308" i="1"/>
  <c r="B2309" i="1"/>
  <c r="E2309" i="1"/>
  <c r="B2310" i="1"/>
  <c r="E2310" i="1"/>
  <c r="B2311" i="1"/>
  <c r="E2311" i="1"/>
  <c r="B2312" i="1"/>
  <c r="E2312" i="1"/>
  <c r="B2313" i="1"/>
  <c r="E2313" i="1"/>
  <c r="B2314" i="1"/>
  <c r="E2314" i="1"/>
  <c r="B2315" i="1"/>
  <c r="E2315" i="1"/>
  <c r="B2316" i="1"/>
  <c r="E2316" i="1"/>
  <c r="B2317" i="1"/>
  <c r="E2317" i="1"/>
  <c r="B2318" i="1"/>
  <c r="E2318" i="1"/>
  <c r="B2319" i="1"/>
  <c r="E2319" i="1"/>
  <c r="B2320" i="1"/>
  <c r="E2320" i="1"/>
  <c r="B2321" i="1"/>
  <c r="E2321" i="1"/>
  <c r="B2322" i="1"/>
  <c r="E2322" i="1"/>
  <c r="B2323" i="1"/>
  <c r="E2323" i="1"/>
  <c r="B2324" i="1"/>
  <c r="E2324" i="1"/>
  <c r="B2325" i="1"/>
  <c r="E2325" i="1"/>
  <c r="B2326" i="1"/>
  <c r="E2326" i="1"/>
  <c r="B2327" i="1"/>
  <c r="E2327" i="1"/>
  <c r="B2328" i="1"/>
  <c r="E2328" i="1"/>
  <c r="B2329" i="1"/>
  <c r="E2329" i="1"/>
  <c r="B2330" i="1"/>
  <c r="E2330" i="1"/>
  <c r="B2331" i="1"/>
  <c r="E2331" i="1"/>
  <c r="B2332" i="1"/>
  <c r="E2332" i="1"/>
  <c r="B2333" i="1"/>
  <c r="E2333" i="1"/>
  <c r="B2334" i="1"/>
  <c r="E2334" i="1"/>
  <c r="B2335" i="1"/>
  <c r="E2335" i="1"/>
  <c r="B2336" i="1"/>
  <c r="E2336" i="1"/>
  <c r="B2337" i="1"/>
  <c r="E2337" i="1"/>
  <c r="B2338" i="1"/>
  <c r="E2338" i="1"/>
  <c r="B2339" i="1"/>
  <c r="E2339" i="1"/>
  <c r="B2340" i="1"/>
  <c r="E2340" i="1"/>
  <c r="B2341" i="1"/>
  <c r="E2341" i="1"/>
  <c r="B2342" i="1"/>
  <c r="E2342" i="1"/>
  <c r="B2343" i="1"/>
  <c r="E2343" i="1"/>
  <c r="B2344" i="1"/>
  <c r="E2344" i="1"/>
  <c r="B2345" i="1"/>
  <c r="E2345" i="1"/>
  <c r="B2346" i="1"/>
  <c r="E2346" i="1"/>
  <c r="B2347" i="1"/>
  <c r="E2347" i="1"/>
  <c r="B2348" i="1"/>
  <c r="E2348" i="1"/>
  <c r="B2349" i="1"/>
  <c r="E2349" i="1"/>
  <c r="B2350" i="1"/>
  <c r="E2350" i="1"/>
  <c r="B2351" i="1"/>
  <c r="E2351" i="1"/>
  <c r="B2352" i="1"/>
  <c r="E2352" i="1"/>
  <c r="B2353" i="1"/>
  <c r="E2353" i="1"/>
  <c r="B2354" i="1"/>
  <c r="E2354" i="1"/>
  <c r="B2355" i="1"/>
  <c r="E2355" i="1"/>
  <c r="B2356" i="1"/>
  <c r="E2356" i="1"/>
  <c r="B2357" i="1"/>
  <c r="E2357" i="1"/>
  <c r="B2358" i="1"/>
  <c r="E2358" i="1"/>
  <c r="B2359" i="1"/>
  <c r="E2359" i="1"/>
  <c r="B2360" i="1"/>
  <c r="E2360" i="1"/>
  <c r="B2361" i="1"/>
  <c r="E2361" i="1"/>
  <c r="B2362" i="1"/>
  <c r="E2362" i="1"/>
  <c r="B2363" i="1"/>
  <c r="E2363" i="1"/>
  <c r="B2364" i="1"/>
  <c r="E2364" i="1"/>
  <c r="B2365" i="1"/>
  <c r="E2365" i="1"/>
  <c r="B2366" i="1"/>
  <c r="E2366" i="1"/>
  <c r="B2367" i="1"/>
  <c r="E2367" i="1"/>
  <c r="B2368" i="1"/>
  <c r="E2368" i="1"/>
  <c r="B2369" i="1"/>
  <c r="E2369" i="1"/>
  <c r="B2370" i="1"/>
  <c r="E2370" i="1"/>
  <c r="B2371" i="1"/>
  <c r="E2371" i="1"/>
  <c r="B2372" i="1"/>
  <c r="E2372" i="1"/>
  <c r="B2373" i="1"/>
  <c r="E2373" i="1"/>
  <c r="B2374" i="1"/>
  <c r="E2374" i="1"/>
  <c r="B2375" i="1"/>
  <c r="E2375" i="1"/>
  <c r="B2376" i="1"/>
  <c r="E2376" i="1"/>
  <c r="B2377" i="1"/>
  <c r="E2377" i="1"/>
  <c r="B2378" i="1"/>
  <c r="E2378" i="1"/>
  <c r="B2379" i="1"/>
  <c r="E2379" i="1"/>
  <c r="B2380" i="1"/>
  <c r="E2380" i="1"/>
  <c r="B2381" i="1"/>
  <c r="E2381" i="1"/>
  <c r="B2382" i="1"/>
  <c r="E2382" i="1"/>
  <c r="B2383" i="1"/>
  <c r="E2383" i="1"/>
  <c r="B2384" i="1"/>
  <c r="E2384" i="1"/>
  <c r="B2385" i="1"/>
  <c r="E2385" i="1"/>
  <c r="B2386" i="1"/>
  <c r="E2386" i="1"/>
  <c r="B2387" i="1"/>
  <c r="E2387" i="1"/>
  <c r="B2388" i="1"/>
  <c r="E2388" i="1"/>
  <c r="B2389" i="1"/>
  <c r="E2389" i="1"/>
  <c r="B2390" i="1"/>
  <c r="E2390" i="1"/>
  <c r="B2391" i="1"/>
  <c r="E2391" i="1"/>
  <c r="B2392" i="1"/>
  <c r="E2392" i="1"/>
  <c r="B2393" i="1"/>
  <c r="E2393" i="1"/>
  <c r="B2394" i="1"/>
  <c r="E2394" i="1"/>
  <c r="B2395" i="1"/>
  <c r="E2395" i="1"/>
  <c r="B2396" i="1"/>
  <c r="E2396" i="1"/>
  <c r="B2397" i="1"/>
  <c r="E2397" i="1"/>
  <c r="B2398" i="1"/>
  <c r="E2398" i="1"/>
  <c r="B2399" i="1"/>
  <c r="E2399" i="1"/>
  <c r="B2400" i="1"/>
  <c r="E2400" i="1"/>
  <c r="B2401" i="1"/>
  <c r="E2401" i="1"/>
  <c r="B2402" i="1"/>
  <c r="E2402" i="1"/>
  <c r="B2403" i="1"/>
  <c r="E2403" i="1"/>
  <c r="B2404" i="1"/>
  <c r="E2404" i="1"/>
  <c r="B2405" i="1"/>
  <c r="E2405" i="1"/>
  <c r="B2406" i="1"/>
  <c r="E2406" i="1"/>
  <c r="B2407" i="1"/>
  <c r="E2407" i="1"/>
  <c r="B2408" i="1"/>
  <c r="E2408" i="1"/>
  <c r="B2409" i="1"/>
  <c r="E2409" i="1"/>
  <c r="B2410" i="1"/>
  <c r="E2410" i="1"/>
  <c r="B2411" i="1"/>
  <c r="E2411" i="1"/>
  <c r="B2412" i="1"/>
  <c r="E2412" i="1"/>
  <c r="B2413" i="1"/>
  <c r="E2413" i="1"/>
  <c r="B2414" i="1"/>
  <c r="E2414" i="1"/>
  <c r="B2415" i="1"/>
  <c r="E2415" i="1"/>
  <c r="B2416" i="1"/>
  <c r="E2416" i="1"/>
  <c r="B2417" i="1"/>
  <c r="E2417" i="1"/>
  <c r="B2418" i="1"/>
  <c r="E2418" i="1"/>
  <c r="B2419" i="1"/>
  <c r="E2419" i="1"/>
  <c r="B2420" i="1"/>
  <c r="E2420" i="1"/>
  <c r="B2421" i="1"/>
  <c r="E2421" i="1"/>
  <c r="B2422" i="1"/>
  <c r="E2422" i="1"/>
  <c r="B2423" i="1"/>
  <c r="E2423" i="1"/>
  <c r="B2424" i="1"/>
  <c r="E2424" i="1"/>
  <c r="B2425" i="1"/>
  <c r="E2425" i="1"/>
  <c r="B2426" i="1"/>
  <c r="E2426" i="1"/>
  <c r="B2427" i="1"/>
  <c r="E2427" i="1"/>
  <c r="B2428" i="1"/>
  <c r="E2428" i="1"/>
  <c r="B2429" i="1"/>
  <c r="E2429" i="1"/>
  <c r="B2430" i="1"/>
  <c r="E2430" i="1"/>
  <c r="B2431" i="1"/>
  <c r="E2431" i="1"/>
  <c r="B2432" i="1"/>
  <c r="E2432" i="1"/>
  <c r="B2433" i="1"/>
  <c r="E2433" i="1"/>
  <c r="B2434" i="1"/>
  <c r="E2434" i="1"/>
  <c r="B2435" i="1"/>
  <c r="E2435" i="1"/>
  <c r="B2436" i="1"/>
  <c r="E2436" i="1"/>
  <c r="B2437" i="1"/>
  <c r="E2437" i="1"/>
  <c r="B2438" i="1"/>
  <c r="E2438" i="1"/>
  <c r="B2439" i="1"/>
  <c r="E2439" i="1"/>
  <c r="B2440" i="1"/>
  <c r="E2440" i="1"/>
  <c r="B2441" i="1"/>
  <c r="E2441" i="1"/>
  <c r="B2442" i="1"/>
  <c r="E2442" i="1"/>
  <c r="B2443" i="1"/>
  <c r="E2443" i="1"/>
  <c r="B2444" i="1"/>
  <c r="E2444" i="1"/>
  <c r="B2445" i="1"/>
  <c r="E2445" i="1"/>
  <c r="B2446" i="1"/>
  <c r="E2446" i="1"/>
  <c r="B2447" i="1"/>
  <c r="E2447" i="1"/>
  <c r="B2448" i="1"/>
  <c r="E2448" i="1"/>
  <c r="B2449" i="1"/>
  <c r="E2449" i="1"/>
  <c r="B2450" i="1"/>
  <c r="E2450" i="1"/>
  <c r="B2451" i="1"/>
  <c r="E2451" i="1"/>
  <c r="B2452" i="1"/>
  <c r="E2452" i="1"/>
  <c r="B2453" i="1"/>
  <c r="E2453" i="1"/>
  <c r="B2454" i="1"/>
  <c r="E2454" i="1"/>
  <c r="B2455" i="1"/>
  <c r="E2455" i="1"/>
  <c r="B2456" i="1"/>
  <c r="E2456" i="1"/>
  <c r="B2457" i="1"/>
  <c r="E2457" i="1"/>
  <c r="B2458" i="1"/>
  <c r="E2458" i="1"/>
  <c r="B2459" i="1"/>
  <c r="E2459" i="1"/>
  <c r="B2460" i="1"/>
  <c r="E2460" i="1"/>
  <c r="B2461" i="1"/>
  <c r="E2461" i="1"/>
  <c r="B2462" i="1"/>
  <c r="E2462" i="1"/>
  <c r="B2463" i="1"/>
  <c r="E2463" i="1"/>
  <c r="B2464" i="1"/>
  <c r="E2464" i="1"/>
  <c r="B2465" i="1"/>
  <c r="E2465" i="1"/>
  <c r="B2466" i="1"/>
  <c r="E2466" i="1"/>
  <c r="B2467" i="1"/>
  <c r="E2467" i="1"/>
  <c r="B2468" i="1"/>
  <c r="E2468" i="1"/>
  <c r="B2469" i="1"/>
  <c r="E2469" i="1"/>
  <c r="B2470" i="1"/>
  <c r="E2470" i="1"/>
  <c r="B2471" i="1"/>
  <c r="E2471" i="1"/>
  <c r="B2472" i="1"/>
  <c r="E2472" i="1"/>
  <c r="B2473" i="1"/>
  <c r="E2473" i="1"/>
  <c r="B2474" i="1"/>
  <c r="E2474" i="1"/>
  <c r="B2475" i="1"/>
  <c r="E2475" i="1"/>
  <c r="B2476" i="1"/>
  <c r="E2476" i="1"/>
  <c r="B2477" i="1"/>
  <c r="E2477" i="1"/>
  <c r="B2478" i="1"/>
  <c r="E2478" i="1"/>
  <c r="B2479" i="1"/>
  <c r="E2479" i="1"/>
  <c r="B2480" i="1"/>
  <c r="E2480" i="1"/>
  <c r="B2481" i="1"/>
  <c r="E2481" i="1"/>
  <c r="B2482" i="1"/>
  <c r="E2482" i="1"/>
  <c r="B2483" i="1"/>
  <c r="E2483" i="1"/>
  <c r="B2484" i="1"/>
  <c r="E2484" i="1"/>
  <c r="B2485" i="1"/>
  <c r="E2485" i="1"/>
  <c r="B2486" i="1"/>
  <c r="E2486" i="1"/>
  <c r="B2487" i="1"/>
  <c r="E2487" i="1"/>
  <c r="B2488" i="1"/>
  <c r="E2488" i="1"/>
  <c r="B2489" i="1"/>
  <c r="E2489" i="1"/>
  <c r="B2490" i="1"/>
  <c r="E2490" i="1"/>
  <c r="B2491" i="1"/>
  <c r="E2491" i="1"/>
  <c r="B2492" i="1"/>
  <c r="E2492" i="1"/>
  <c r="B2493" i="1"/>
  <c r="E2493" i="1"/>
  <c r="B2494" i="1"/>
  <c r="E2494" i="1"/>
  <c r="B2495" i="1"/>
  <c r="E2495" i="1"/>
  <c r="B2496" i="1"/>
  <c r="E2496" i="1"/>
  <c r="B2497" i="1"/>
  <c r="E2497" i="1"/>
  <c r="B2498" i="1"/>
  <c r="E2498" i="1"/>
  <c r="B2499" i="1"/>
  <c r="E2499" i="1"/>
  <c r="B2500" i="1"/>
  <c r="E2500" i="1"/>
  <c r="B2501" i="1"/>
  <c r="E2501" i="1"/>
  <c r="B2502" i="1"/>
  <c r="E2502" i="1"/>
  <c r="B2503" i="1"/>
  <c r="E2503" i="1"/>
  <c r="B2504" i="1"/>
  <c r="E2504" i="1"/>
  <c r="B2505" i="1"/>
  <c r="E2505" i="1"/>
  <c r="B2506" i="1"/>
  <c r="E2506" i="1"/>
  <c r="B2507" i="1"/>
  <c r="E2507" i="1"/>
  <c r="B2508" i="1"/>
  <c r="E2508" i="1"/>
  <c r="B2509" i="1"/>
  <c r="E2509" i="1"/>
  <c r="B2510" i="1"/>
  <c r="E2510" i="1"/>
  <c r="B2511" i="1"/>
  <c r="E2511" i="1"/>
  <c r="B2512" i="1"/>
  <c r="E2512" i="1"/>
  <c r="B2513" i="1"/>
  <c r="E2513" i="1"/>
  <c r="B2514" i="1"/>
  <c r="E2514" i="1"/>
  <c r="B2515" i="1"/>
  <c r="E2515" i="1"/>
  <c r="B2516" i="1"/>
  <c r="E2516" i="1"/>
  <c r="B2517" i="1"/>
  <c r="E2517" i="1"/>
  <c r="B2518" i="1"/>
  <c r="E2518" i="1"/>
  <c r="B2519" i="1"/>
  <c r="E2519" i="1"/>
  <c r="B2520" i="1"/>
  <c r="E2520" i="1"/>
  <c r="B2521" i="1"/>
  <c r="E2521" i="1"/>
  <c r="B2522" i="1"/>
  <c r="E2522" i="1"/>
  <c r="B2523" i="1"/>
  <c r="E2523" i="1"/>
  <c r="B2524" i="1"/>
  <c r="E2524" i="1"/>
  <c r="B2525" i="1"/>
  <c r="E2525" i="1"/>
  <c r="B2526" i="1"/>
  <c r="E2526" i="1"/>
  <c r="B2527" i="1"/>
  <c r="E2527" i="1"/>
  <c r="B2528" i="1"/>
  <c r="E2528" i="1"/>
  <c r="B2529" i="1"/>
  <c r="E2529" i="1"/>
  <c r="B2530" i="1"/>
  <c r="E2530" i="1"/>
  <c r="B2531" i="1"/>
  <c r="E2531" i="1"/>
  <c r="B2532" i="1"/>
  <c r="E2532" i="1"/>
  <c r="B2533" i="1"/>
  <c r="E2533" i="1"/>
  <c r="B2534" i="1"/>
  <c r="E2534" i="1"/>
  <c r="B2535" i="1"/>
  <c r="E2535" i="1"/>
  <c r="B2536" i="1"/>
  <c r="E2536" i="1"/>
  <c r="B2537" i="1"/>
  <c r="E2537" i="1"/>
  <c r="B2538" i="1"/>
  <c r="E2538" i="1"/>
  <c r="B2539" i="1"/>
  <c r="E2539" i="1"/>
  <c r="B2540" i="1"/>
  <c r="E2540" i="1"/>
  <c r="B2541" i="1"/>
  <c r="E2541" i="1"/>
  <c r="B2542" i="1"/>
  <c r="E2542" i="1"/>
  <c r="B2543" i="1"/>
  <c r="E2543" i="1"/>
  <c r="B2544" i="1"/>
  <c r="E2544" i="1"/>
  <c r="B2545" i="1"/>
  <c r="E2545" i="1"/>
  <c r="B2546" i="1"/>
  <c r="E2546" i="1"/>
  <c r="B2547" i="1"/>
  <c r="E2547" i="1"/>
  <c r="B2548" i="1"/>
  <c r="E2548" i="1"/>
  <c r="B2549" i="1"/>
  <c r="E2549" i="1"/>
  <c r="B2550" i="1"/>
  <c r="E2550" i="1"/>
  <c r="B2551" i="1"/>
  <c r="E2551" i="1"/>
  <c r="B2552" i="1"/>
  <c r="E2552" i="1"/>
  <c r="B2553" i="1"/>
  <c r="E2553" i="1"/>
  <c r="B2554" i="1"/>
  <c r="E2554" i="1"/>
  <c r="B2555" i="1"/>
  <c r="E2555" i="1"/>
  <c r="B2556" i="1"/>
  <c r="E2556" i="1"/>
  <c r="B2557" i="1"/>
  <c r="E2557" i="1"/>
  <c r="B2558" i="1"/>
  <c r="E2558" i="1"/>
  <c r="B2559" i="1"/>
  <c r="E2559" i="1"/>
  <c r="B2560" i="1"/>
  <c r="E2560" i="1"/>
  <c r="B2561" i="1"/>
  <c r="E2561" i="1"/>
  <c r="B2562" i="1"/>
  <c r="E2562" i="1"/>
  <c r="B2563" i="1"/>
  <c r="E2563" i="1"/>
  <c r="B2564" i="1"/>
  <c r="E2564" i="1"/>
  <c r="B2565" i="1"/>
  <c r="E2565" i="1"/>
  <c r="B2566" i="1"/>
  <c r="E2566" i="1"/>
  <c r="B2567" i="1"/>
  <c r="E2567" i="1"/>
  <c r="B2568" i="1"/>
  <c r="E2568" i="1"/>
  <c r="B2569" i="1"/>
  <c r="E2569" i="1"/>
  <c r="B2570" i="1"/>
  <c r="E2570" i="1"/>
  <c r="B2571" i="1"/>
  <c r="E2571" i="1"/>
  <c r="B2572" i="1"/>
  <c r="E2572" i="1"/>
  <c r="B2573" i="1"/>
  <c r="E2573" i="1"/>
  <c r="B2574" i="1"/>
  <c r="E2574" i="1"/>
  <c r="B2575" i="1"/>
  <c r="E2575" i="1"/>
  <c r="B2576" i="1"/>
  <c r="E2576" i="1"/>
  <c r="B2577" i="1"/>
  <c r="E2577" i="1"/>
  <c r="B2578" i="1"/>
  <c r="E2578" i="1"/>
  <c r="B2579" i="1"/>
  <c r="E2579" i="1"/>
  <c r="B2580" i="1"/>
  <c r="E2580" i="1"/>
  <c r="B2581" i="1"/>
  <c r="E2581" i="1"/>
  <c r="B2582" i="1"/>
  <c r="E2582" i="1"/>
  <c r="B2583" i="1"/>
  <c r="E2583" i="1"/>
  <c r="B2584" i="1"/>
  <c r="E2584" i="1"/>
  <c r="B2585" i="1"/>
  <c r="E2585" i="1"/>
  <c r="B2586" i="1"/>
  <c r="E2586" i="1"/>
  <c r="B2587" i="1"/>
  <c r="E2587" i="1"/>
  <c r="B2588" i="1"/>
  <c r="E2588" i="1"/>
  <c r="B2589" i="1"/>
  <c r="E2589" i="1"/>
  <c r="B2590" i="1"/>
  <c r="E2590" i="1"/>
  <c r="B2591" i="1"/>
  <c r="E2591" i="1"/>
  <c r="B2592" i="1"/>
  <c r="E2592" i="1"/>
  <c r="B2593" i="1"/>
  <c r="E2593" i="1"/>
  <c r="B2594" i="1"/>
  <c r="E2594" i="1"/>
  <c r="B2595" i="1"/>
  <c r="E2595" i="1"/>
  <c r="B2596" i="1"/>
  <c r="E2596" i="1"/>
  <c r="B2597" i="1"/>
  <c r="E2597" i="1"/>
  <c r="B2598" i="1"/>
  <c r="E2598" i="1"/>
  <c r="B2599" i="1"/>
  <c r="E2599" i="1"/>
  <c r="B2600" i="1"/>
  <c r="E2600" i="1"/>
  <c r="B2601" i="1"/>
  <c r="E2601" i="1"/>
  <c r="B2602" i="1"/>
  <c r="E2602" i="1"/>
  <c r="B2603" i="1"/>
  <c r="E2603" i="1"/>
  <c r="B2604" i="1"/>
  <c r="E2604" i="1"/>
  <c r="B2605" i="1"/>
  <c r="E2605" i="1"/>
  <c r="B2606" i="1"/>
  <c r="E2606" i="1"/>
  <c r="B2607" i="1"/>
  <c r="E2607" i="1"/>
  <c r="B2608" i="1"/>
  <c r="E2608" i="1"/>
  <c r="B2609" i="1"/>
  <c r="E2609" i="1"/>
  <c r="B2610" i="1"/>
  <c r="E2610" i="1"/>
  <c r="B2611" i="1"/>
  <c r="E2611" i="1"/>
  <c r="B2612" i="1"/>
  <c r="E2612" i="1"/>
  <c r="B2613" i="1"/>
  <c r="E2613" i="1"/>
  <c r="B2614" i="1"/>
  <c r="E2614" i="1"/>
  <c r="B2615" i="1"/>
  <c r="E2615" i="1"/>
  <c r="B2616" i="1"/>
  <c r="E2616" i="1"/>
  <c r="B2617" i="1"/>
  <c r="E2617" i="1"/>
  <c r="B2618" i="1"/>
  <c r="E2618" i="1"/>
  <c r="B2619" i="1"/>
  <c r="E2619" i="1"/>
  <c r="B2620" i="1"/>
  <c r="E2620" i="1"/>
  <c r="B2621" i="1"/>
  <c r="E2621" i="1"/>
  <c r="B2622" i="1"/>
  <c r="E2622" i="1"/>
  <c r="B2623" i="1"/>
  <c r="E2623" i="1"/>
  <c r="B2624" i="1"/>
  <c r="E2624" i="1"/>
  <c r="B2625" i="1"/>
  <c r="E2625" i="1"/>
  <c r="B2626" i="1"/>
  <c r="E2626" i="1"/>
  <c r="B2627" i="1"/>
  <c r="E2627" i="1"/>
  <c r="B2628" i="1"/>
  <c r="E2628" i="1"/>
  <c r="B2629" i="1"/>
  <c r="E2629" i="1"/>
  <c r="B2630" i="1"/>
  <c r="E2630" i="1"/>
  <c r="B2631" i="1"/>
  <c r="E2631" i="1"/>
  <c r="B2632" i="1"/>
  <c r="E2632" i="1"/>
  <c r="B2633" i="1"/>
  <c r="E2633" i="1"/>
  <c r="B2634" i="1"/>
  <c r="E2634" i="1"/>
  <c r="B2635" i="1"/>
  <c r="E2635" i="1"/>
  <c r="B2636" i="1"/>
  <c r="E2636" i="1"/>
  <c r="B2637" i="1"/>
  <c r="E2637" i="1"/>
  <c r="B2638" i="1"/>
  <c r="E2638" i="1"/>
  <c r="B2639" i="1"/>
  <c r="E2639" i="1"/>
  <c r="B2640" i="1"/>
  <c r="E2640" i="1"/>
  <c r="B2641" i="1"/>
  <c r="E2641" i="1"/>
  <c r="B2642" i="1"/>
  <c r="E2642" i="1"/>
  <c r="B2643" i="1"/>
  <c r="E2643" i="1"/>
  <c r="B2644" i="1"/>
  <c r="E2644" i="1"/>
  <c r="B2645" i="1"/>
  <c r="E2645" i="1"/>
  <c r="B2646" i="1"/>
  <c r="E2646" i="1"/>
  <c r="B2647" i="1"/>
  <c r="E2647" i="1"/>
  <c r="B2648" i="1"/>
  <c r="E2648" i="1"/>
  <c r="B2649" i="1"/>
  <c r="E2649" i="1"/>
  <c r="B2650" i="1"/>
  <c r="E2650" i="1"/>
  <c r="B2651" i="1"/>
  <c r="E2651" i="1"/>
  <c r="B2652" i="1"/>
  <c r="E2652" i="1"/>
  <c r="B2653" i="1"/>
  <c r="E2653" i="1"/>
  <c r="B2654" i="1"/>
  <c r="E2654" i="1"/>
  <c r="B2655" i="1"/>
  <c r="E2655" i="1"/>
  <c r="B2656" i="1"/>
  <c r="E2656" i="1"/>
  <c r="B2657" i="1"/>
  <c r="E2657" i="1"/>
  <c r="B2658" i="1"/>
  <c r="E2658" i="1"/>
  <c r="B2659" i="1"/>
  <c r="E2659" i="1"/>
  <c r="B2660" i="1"/>
  <c r="E2660" i="1"/>
  <c r="B2661" i="1"/>
  <c r="E2661" i="1"/>
  <c r="B2662" i="1"/>
  <c r="E2662" i="1"/>
  <c r="B2663" i="1"/>
  <c r="E2663" i="1"/>
  <c r="B2664" i="1"/>
  <c r="E2664" i="1"/>
  <c r="B2665" i="1"/>
  <c r="E2665" i="1"/>
  <c r="B2666" i="1"/>
  <c r="E2666" i="1"/>
  <c r="B2667" i="1"/>
  <c r="E2667" i="1"/>
  <c r="B2668" i="1"/>
  <c r="E2668" i="1"/>
  <c r="B2669" i="1"/>
  <c r="E2669" i="1"/>
  <c r="B2670" i="1"/>
  <c r="E2670" i="1"/>
  <c r="B2671" i="1"/>
  <c r="E2671" i="1"/>
  <c r="B2672" i="1"/>
  <c r="E2672" i="1"/>
  <c r="B2673" i="1"/>
  <c r="E2673" i="1"/>
  <c r="B2674" i="1"/>
  <c r="E2674" i="1"/>
  <c r="B2675" i="1"/>
  <c r="E2675" i="1"/>
  <c r="B2676" i="1"/>
  <c r="E2676" i="1"/>
  <c r="B2677" i="1"/>
  <c r="E2677" i="1"/>
  <c r="B2678" i="1"/>
  <c r="E2678" i="1"/>
  <c r="B2679" i="1"/>
  <c r="E2679" i="1"/>
  <c r="B2680" i="1"/>
  <c r="E2680" i="1"/>
  <c r="B2681" i="1"/>
  <c r="E2681" i="1"/>
  <c r="B2682" i="1"/>
  <c r="E2682" i="1"/>
  <c r="B2683" i="1"/>
  <c r="E2683" i="1"/>
  <c r="B2684" i="1"/>
  <c r="E2684" i="1"/>
  <c r="B2685" i="1"/>
  <c r="E2685" i="1"/>
  <c r="B2686" i="1"/>
  <c r="E2686" i="1"/>
  <c r="B2687" i="1"/>
  <c r="E2687" i="1"/>
  <c r="B2688" i="1"/>
  <c r="E2688" i="1"/>
  <c r="B2689" i="1"/>
  <c r="E2689" i="1"/>
  <c r="B2690" i="1"/>
  <c r="E2690" i="1"/>
  <c r="B2691" i="1"/>
  <c r="E2691" i="1"/>
  <c r="B2692" i="1"/>
  <c r="E2692" i="1"/>
  <c r="B2693" i="1"/>
  <c r="E2693" i="1"/>
  <c r="B2694" i="1"/>
  <c r="E2694" i="1"/>
  <c r="B2695" i="1"/>
  <c r="E2695" i="1"/>
  <c r="B2696" i="1"/>
  <c r="E2696" i="1"/>
  <c r="B2697" i="1"/>
  <c r="E2697" i="1"/>
  <c r="B2698" i="1"/>
  <c r="E2698" i="1"/>
  <c r="B2699" i="1"/>
  <c r="E2699" i="1"/>
  <c r="B2700" i="1"/>
  <c r="E2700" i="1"/>
  <c r="B2701" i="1"/>
  <c r="E2701" i="1"/>
  <c r="B2702" i="1"/>
  <c r="E2702" i="1"/>
  <c r="B2703" i="1"/>
  <c r="E2703" i="1"/>
  <c r="B2704" i="1"/>
  <c r="E2704" i="1"/>
  <c r="B2705" i="1"/>
  <c r="E2705" i="1"/>
  <c r="B2706" i="1"/>
  <c r="E2706" i="1"/>
  <c r="B2707" i="1"/>
  <c r="E2707" i="1"/>
  <c r="B2708" i="1"/>
  <c r="E2708" i="1"/>
  <c r="B2709" i="1"/>
  <c r="E2709" i="1"/>
  <c r="B2710" i="1"/>
  <c r="E2710" i="1"/>
  <c r="B2711" i="1"/>
  <c r="E2711" i="1"/>
  <c r="B2712" i="1"/>
  <c r="E2712" i="1"/>
  <c r="B2713" i="1"/>
  <c r="E2713" i="1"/>
  <c r="B2714" i="1"/>
  <c r="E2714" i="1"/>
  <c r="B2715" i="1"/>
  <c r="E2715" i="1"/>
  <c r="B2716" i="1"/>
  <c r="E2716" i="1"/>
  <c r="B2717" i="1"/>
  <c r="E2717" i="1"/>
  <c r="B2718" i="1"/>
  <c r="E2718" i="1"/>
  <c r="B2719" i="1"/>
  <c r="E2719" i="1"/>
  <c r="B2720" i="1"/>
  <c r="E2720" i="1"/>
  <c r="B2721" i="1"/>
  <c r="E2721" i="1"/>
  <c r="B2722" i="1"/>
  <c r="E2722" i="1"/>
  <c r="B2723" i="1"/>
  <c r="E2723" i="1"/>
  <c r="B2724" i="1"/>
  <c r="E2724" i="1"/>
  <c r="B2725" i="1"/>
  <c r="E2725" i="1"/>
  <c r="B2726" i="1"/>
  <c r="E2726" i="1"/>
  <c r="B2727" i="1"/>
  <c r="E2727" i="1"/>
  <c r="B2728" i="1"/>
  <c r="E2728" i="1"/>
  <c r="B2729" i="1"/>
  <c r="E2729" i="1"/>
  <c r="B2730" i="1"/>
  <c r="E2730" i="1"/>
  <c r="B2731" i="1"/>
  <c r="E2731" i="1"/>
  <c r="B2732" i="1"/>
  <c r="E2732" i="1"/>
  <c r="B2733" i="1"/>
  <c r="E2733" i="1"/>
  <c r="B2734" i="1"/>
  <c r="E2734" i="1"/>
  <c r="B2735" i="1"/>
  <c r="E2735" i="1"/>
  <c r="B2736" i="1"/>
  <c r="E2736" i="1"/>
  <c r="B2737" i="1"/>
  <c r="E2737" i="1"/>
  <c r="B2738" i="1"/>
  <c r="E2738" i="1"/>
  <c r="B2739" i="1"/>
  <c r="E2739" i="1"/>
  <c r="B2740" i="1"/>
  <c r="E2740" i="1"/>
  <c r="B2741" i="1"/>
  <c r="E2741" i="1"/>
  <c r="B2742" i="1"/>
  <c r="E2742" i="1"/>
  <c r="B2743" i="1"/>
  <c r="E2743" i="1"/>
  <c r="B2744" i="1"/>
  <c r="E2744" i="1"/>
  <c r="B2745" i="1"/>
  <c r="E2745" i="1"/>
  <c r="B2746" i="1"/>
  <c r="E2746" i="1"/>
  <c r="B2747" i="1"/>
  <c r="E2747" i="1"/>
  <c r="B2748" i="1"/>
  <c r="E2748" i="1"/>
  <c r="B2749" i="1"/>
  <c r="E2749" i="1"/>
  <c r="B2750" i="1"/>
  <c r="E2750" i="1"/>
  <c r="B2751" i="1"/>
  <c r="E2751" i="1"/>
  <c r="B2752" i="1"/>
  <c r="E2752" i="1"/>
  <c r="B2753" i="1"/>
  <c r="E2753" i="1"/>
  <c r="B2754" i="1"/>
  <c r="E2754" i="1"/>
  <c r="B2755" i="1"/>
  <c r="E2755" i="1"/>
  <c r="B2756" i="1"/>
  <c r="E2756" i="1"/>
  <c r="B2757" i="1"/>
  <c r="E2757" i="1"/>
  <c r="B2758" i="1"/>
  <c r="E2758" i="1"/>
  <c r="B2759" i="1"/>
  <c r="E2759" i="1"/>
  <c r="B2760" i="1"/>
  <c r="E2760" i="1"/>
  <c r="B2761" i="1"/>
  <c r="E2761" i="1"/>
  <c r="B2762" i="1"/>
  <c r="E2762" i="1"/>
  <c r="B2763" i="1"/>
  <c r="E2763" i="1"/>
  <c r="B2764" i="1"/>
  <c r="E2764" i="1"/>
  <c r="B2765" i="1"/>
  <c r="E2765" i="1"/>
  <c r="B2766" i="1"/>
  <c r="E2766" i="1"/>
  <c r="B2767" i="1"/>
  <c r="E2767" i="1"/>
  <c r="B2768" i="1"/>
  <c r="E2768" i="1"/>
  <c r="B2769" i="1"/>
  <c r="E2769" i="1"/>
  <c r="B2770" i="1"/>
  <c r="E2770" i="1"/>
  <c r="B2771" i="1"/>
  <c r="E2771" i="1"/>
  <c r="B2772" i="1"/>
  <c r="E2772" i="1"/>
  <c r="B2773" i="1"/>
  <c r="E2773" i="1"/>
  <c r="B2774" i="1"/>
  <c r="E2774" i="1"/>
  <c r="B2775" i="1"/>
  <c r="E2775" i="1"/>
  <c r="B2776" i="1"/>
  <c r="E2776" i="1"/>
  <c r="B2777" i="1"/>
  <c r="E2777" i="1"/>
  <c r="B2778" i="1"/>
  <c r="E2778" i="1"/>
  <c r="B2779" i="1"/>
  <c r="E2779" i="1"/>
  <c r="B2780" i="1"/>
  <c r="E2780" i="1"/>
  <c r="B2781" i="1"/>
  <c r="E2781" i="1"/>
  <c r="B2782" i="1"/>
  <c r="E2782" i="1"/>
  <c r="B2783" i="1"/>
  <c r="E2783" i="1"/>
  <c r="B2784" i="1"/>
  <c r="E2784" i="1"/>
  <c r="B2785" i="1"/>
  <c r="E2785" i="1"/>
  <c r="B2786" i="1"/>
  <c r="E2786" i="1"/>
  <c r="B2787" i="1"/>
  <c r="E2787" i="1"/>
  <c r="B2788" i="1"/>
  <c r="E2788" i="1"/>
  <c r="B2789" i="1"/>
  <c r="E2789" i="1"/>
  <c r="B2790" i="1"/>
  <c r="E2790" i="1"/>
  <c r="B2791" i="1"/>
  <c r="E2791" i="1"/>
  <c r="B2792" i="1"/>
  <c r="E2792" i="1"/>
  <c r="B2793" i="1"/>
  <c r="E2793" i="1"/>
  <c r="B2794" i="1"/>
  <c r="E2794" i="1"/>
  <c r="B2795" i="1"/>
  <c r="E2795" i="1"/>
  <c r="B2796" i="1"/>
  <c r="E2796" i="1"/>
  <c r="B2797" i="1"/>
  <c r="E2797" i="1"/>
  <c r="B2798" i="1"/>
  <c r="E2798" i="1"/>
  <c r="B2799" i="1"/>
  <c r="E2799" i="1"/>
  <c r="B2800" i="1"/>
  <c r="E2800" i="1"/>
  <c r="B2801" i="1"/>
  <c r="E2801" i="1"/>
  <c r="B2802" i="1"/>
  <c r="E2802" i="1"/>
  <c r="B2803" i="1"/>
  <c r="E2803" i="1"/>
  <c r="B2804" i="1"/>
  <c r="E2804" i="1"/>
  <c r="B2805" i="1"/>
  <c r="E2805" i="1"/>
  <c r="B2806" i="1"/>
  <c r="E2806" i="1"/>
  <c r="B2807" i="1"/>
  <c r="E2807" i="1"/>
  <c r="B2808" i="1"/>
  <c r="E2808" i="1"/>
  <c r="B2809" i="1"/>
  <c r="E2809" i="1"/>
  <c r="B2810" i="1"/>
  <c r="E2810" i="1"/>
  <c r="B2811" i="1"/>
  <c r="E2811" i="1"/>
  <c r="B2812" i="1"/>
  <c r="E2812" i="1"/>
  <c r="B2813" i="1"/>
  <c r="E2813" i="1"/>
  <c r="B2814" i="1"/>
  <c r="E2814" i="1"/>
  <c r="B2815" i="1"/>
  <c r="E2815" i="1"/>
  <c r="B2816" i="1"/>
  <c r="E2816" i="1"/>
  <c r="B2817" i="1"/>
  <c r="E2817" i="1"/>
  <c r="B2818" i="1"/>
  <c r="E2818" i="1"/>
  <c r="B2819" i="1"/>
  <c r="E2819" i="1"/>
  <c r="B2820" i="1"/>
  <c r="E2820" i="1"/>
  <c r="B2821" i="1"/>
  <c r="E2821" i="1"/>
  <c r="B2822" i="1"/>
  <c r="E2822" i="1"/>
  <c r="B2823" i="1"/>
  <c r="E2823" i="1"/>
  <c r="B2824" i="1"/>
  <c r="E2824" i="1"/>
  <c r="B2825" i="1"/>
  <c r="E2825" i="1"/>
  <c r="B2826" i="1"/>
  <c r="E2826" i="1"/>
  <c r="B2827" i="1"/>
  <c r="E2827" i="1"/>
  <c r="B2828" i="1"/>
  <c r="E2828" i="1"/>
  <c r="B2829" i="1"/>
  <c r="E2829" i="1"/>
  <c r="B2830" i="1"/>
  <c r="E2830" i="1"/>
  <c r="B2831" i="1"/>
  <c r="E2831" i="1"/>
  <c r="B2832" i="1"/>
  <c r="E2832" i="1"/>
  <c r="B2833" i="1"/>
  <c r="E2833" i="1"/>
  <c r="B2834" i="1"/>
  <c r="E2834" i="1"/>
  <c r="B2835" i="1"/>
  <c r="E2835" i="1"/>
  <c r="B2836" i="1"/>
  <c r="E2836" i="1"/>
  <c r="B2837" i="1"/>
  <c r="E2837" i="1"/>
  <c r="B2838" i="1"/>
  <c r="E2838" i="1"/>
  <c r="B2839" i="1"/>
  <c r="E2839" i="1"/>
  <c r="B2840" i="1"/>
  <c r="E2840" i="1"/>
  <c r="B2841" i="1"/>
  <c r="E2841" i="1"/>
  <c r="B2842" i="1"/>
  <c r="E2842" i="1"/>
  <c r="B2843" i="1"/>
  <c r="E2843" i="1"/>
  <c r="B2844" i="1"/>
  <c r="E2844" i="1"/>
  <c r="B2845" i="1"/>
  <c r="E2845" i="1"/>
  <c r="B2846" i="1"/>
  <c r="E2846" i="1"/>
  <c r="B2847" i="1"/>
  <c r="E2847" i="1"/>
  <c r="B2848" i="1"/>
  <c r="E2848" i="1"/>
  <c r="B2849" i="1"/>
  <c r="E2849" i="1"/>
  <c r="B2850" i="1"/>
  <c r="E2850" i="1"/>
  <c r="B2851" i="1"/>
  <c r="E2851" i="1"/>
  <c r="B2852" i="1"/>
  <c r="E2852" i="1"/>
  <c r="B2853" i="1"/>
  <c r="E2853" i="1"/>
  <c r="B2854" i="1"/>
  <c r="E2854" i="1"/>
  <c r="B2855" i="1"/>
  <c r="E2855" i="1"/>
  <c r="B2856" i="1"/>
  <c r="E2856" i="1"/>
  <c r="B2857" i="1"/>
  <c r="E2857" i="1"/>
  <c r="B2858" i="1"/>
  <c r="E2858" i="1"/>
  <c r="B2859" i="1"/>
  <c r="E2859" i="1"/>
  <c r="B2860" i="1"/>
  <c r="E2860" i="1"/>
  <c r="B2861" i="1"/>
  <c r="E2861" i="1"/>
  <c r="B2862" i="1"/>
  <c r="E2862" i="1"/>
  <c r="B2863" i="1"/>
  <c r="E2863" i="1"/>
  <c r="B2864" i="1"/>
  <c r="E2864" i="1"/>
  <c r="B2865" i="1"/>
  <c r="E2865" i="1"/>
  <c r="B2866" i="1"/>
  <c r="E2866" i="1"/>
  <c r="B2867" i="1"/>
  <c r="E2867" i="1"/>
  <c r="B2868" i="1"/>
  <c r="E2868" i="1"/>
  <c r="B2869" i="1"/>
  <c r="E2869" i="1"/>
  <c r="B2870" i="1"/>
  <c r="E2870" i="1"/>
  <c r="B2871" i="1"/>
  <c r="E2871" i="1"/>
  <c r="B2872" i="1"/>
  <c r="E2872" i="1"/>
  <c r="B2873" i="1"/>
  <c r="E2873" i="1"/>
  <c r="B2874" i="1"/>
  <c r="E2874" i="1"/>
  <c r="B2875" i="1"/>
  <c r="E2875" i="1"/>
  <c r="B2876" i="1"/>
  <c r="E2876" i="1"/>
  <c r="B2877" i="1"/>
  <c r="E2877" i="1"/>
  <c r="B2878" i="1"/>
  <c r="E2878" i="1"/>
  <c r="B2879" i="1"/>
  <c r="E2879" i="1"/>
  <c r="B2880" i="1"/>
  <c r="E2880" i="1"/>
  <c r="B2881" i="1"/>
  <c r="E2881" i="1"/>
  <c r="B2882" i="1"/>
  <c r="E2882" i="1"/>
  <c r="B2883" i="1"/>
  <c r="E2883" i="1"/>
  <c r="B2884" i="1"/>
  <c r="E2884" i="1"/>
  <c r="B2885" i="1"/>
  <c r="E2885" i="1"/>
  <c r="B2886" i="1"/>
  <c r="E2886" i="1"/>
  <c r="B2887" i="1"/>
  <c r="E2887" i="1"/>
  <c r="B2888" i="1"/>
  <c r="E2888" i="1"/>
  <c r="B2889" i="1"/>
  <c r="E2889" i="1"/>
  <c r="B2890" i="1"/>
  <c r="E2890" i="1"/>
  <c r="B2891" i="1"/>
  <c r="E2891" i="1"/>
  <c r="B2892" i="1"/>
  <c r="E2892" i="1"/>
  <c r="B2893" i="1"/>
  <c r="E2893" i="1"/>
  <c r="B2894" i="1"/>
  <c r="E2894" i="1"/>
  <c r="B2895" i="1"/>
  <c r="E2895" i="1"/>
  <c r="B2896" i="1"/>
  <c r="E2896" i="1"/>
  <c r="B2897" i="1"/>
  <c r="E2897" i="1"/>
  <c r="B2898" i="1"/>
  <c r="E2898" i="1"/>
  <c r="B2899" i="1"/>
  <c r="E2899" i="1"/>
  <c r="B2900" i="1"/>
  <c r="E2900" i="1"/>
  <c r="B2901" i="1"/>
  <c r="E2901" i="1"/>
  <c r="B2902" i="1"/>
  <c r="E2902" i="1"/>
  <c r="B2903" i="1"/>
  <c r="E2903" i="1"/>
  <c r="B2904" i="1"/>
  <c r="E2904" i="1"/>
  <c r="B2905" i="1"/>
  <c r="E2905" i="1"/>
  <c r="B2906" i="1"/>
  <c r="E2906" i="1"/>
  <c r="B2907" i="1"/>
  <c r="E2907" i="1"/>
  <c r="B2908" i="1"/>
  <c r="E2908" i="1"/>
  <c r="B2909" i="1"/>
  <c r="E2909" i="1"/>
  <c r="B2910" i="1"/>
  <c r="E2910" i="1"/>
  <c r="B2911" i="1"/>
  <c r="E2911" i="1"/>
  <c r="B2912" i="1"/>
  <c r="E2912" i="1"/>
  <c r="B2913" i="1"/>
  <c r="E2913" i="1"/>
  <c r="B2914" i="1"/>
  <c r="E2914" i="1"/>
  <c r="B2915" i="1"/>
  <c r="E2915" i="1"/>
  <c r="B2916" i="1"/>
  <c r="E2916" i="1"/>
  <c r="B2917" i="1"/>
  <c r="E2917" i="1"/>
  <c r="B2918" i="1"/>
  <c r="E2918" i="1"/>
  <c r="B2919" i="1"/>
  <c r="E2919" i="1"/>
  <c r="B2920" i="1"/>
  <c r="E2920" i="1"/>
  <c r="B2921" i="1"/>
  <c r="E2921" i="1"/>
  <c r="B2922" i="1"/>
  <c r="E2922" i="1"/>
  <c r="B2923" i="1"/>
  <c r="E2923" i="1"/>
  <c r="B2924" i="1"/>
  <c r="E2924" i="1"/>
  <c r="B2925" i="1"/>
  <c r="E2925" i="1"/>
  <c r="B2926" i="1"/>
  <c r="E2926" i="1"/>
  <c r="B2927" i="1"/>
  <c r="E2927" i="1"/>
  <c r="B2928" i="1"/>
  <c r="E2928" i="1"/>
  <c r="B2929" i="1"/>
  <c r="E2929" i="1"/>
  <c r="B2930" i="1"/>
  <c r="E2930" i="1"/>
  <c r="B2931" i="1"/>
  <c r="E2931" i="1"/>
  <c r="B2932" i="1"/>
  <c r="E2932" i="1"/>
  <c r="B2933" i="1"/>
  <c r="E2933" i="1"/>
  <c r="B2934" i="1"/>
  <c r="E2934" i="1"/>
  <c r="B2935" i="1"/>
  <c r="E2935" i="1"/>
  <c r="B2936" i="1"/>
  <c r="E2936" i="1"/>
  <c r="B2937" i="1"/>
  <c r="E2937" i="1"/>
  <c r="B2938" i="1"/>
  <c r="E2938" i="1"/>
  <c r="B2939" i="1"/>
  <c r="E2939" i="1"/>
  <c r="B2940" i="1"/>
  <c r="E2940" i="1"/>
  <c r="B2941" i="1"/>
  <c r="E2941" i="1"/>
  <c r="B2942" i="1"/>
  <c r="E2942" i="1"/>
  <c r="B2943" i="1"/>
  <c r="E2943" i="1"/>
  <c r="B2944" i="1"/>
  <c r="E2944" i="1"/>
  <c r="B2945" i="1"/>
  <c r="E2945" i="1"/>
  <c r="B2946" i="1"/>
  <c r="E2946" i="1"/>
  <c r="B2947" i="1"/>
  <c r="E2947" i="1"/>
  <c r="B2948" i="1"/>
  <c r="E2948" i="1"/>
  <c r="B2949" i="1"/>
  <c r="E2949" i="1"/>
  <c r="B2950" i="1"/>
  <c r="E2950" i="1"/>
  <c r="B2951" i="1"/>
  <c r="E2951" i="1"/>
  <c r="B2952" i="1"/>
  <c r="E2952" i="1"/>
  <c r="B2953" i="1"/>
  <c r="E2953" i="1"/>
  <c r="B2954" i="1"/>
  <c r="E2954" i="1"/>
  <c r="B2955" i="1"/>
  <c r="E2955" i="1"/>
  <c r="B2956" i="1"/>
  <c r="E2956" i="1"/>
  <c r="B2957" i="1"/>
  <c r="E2957" i="1"/>
  <c r="B2958" i="1"/>
  <c r="E2958" i="1"/>
  <c r="B2959" i="1"/>
  <c r="E2959" i="1"/>
  <c r="B2960" i="1"/>
  <c r="E2960" i="1"/>
  <c r="B2961" i="1"/>
  <c r="E2961" i="1"/>
  <c r="B2962" i="1"/>
  <c r="E2962" i="1"/>
  <c r="B2963" i="1"/>
  <c r="E2963" i="1"/>
  <c r="B2964" i="1"/>
  <c r="E2964" i="1"/>
  <c r="B2965" i="1"/>
  <c r="E2965" i="1"/>
  <c r="B2966" i="1"/>
  <c r="E2966" i="1"/>
  <c r="B2967" i="1"/>
  <c r="E2967" i="1"/>
  <c r="B2968" i="1"/>
  <c r="E2968" i="1"/>
  <c r="B2969" i="1"/>
  <c r="E2969" i="1"/>
  <c r="B2970" i="1"/>
  <c r="E2970" i="1"/>
  <c r="B2971" i="1"/>
  <c r="E2971" i="1"/>
  <c r="B2972" i="1"/>
  <c r="E2972" i="1"/>
  <c r="B2973" i="1"/>
  <c r="E2973" i="1"/>
  <c r="B2974" i="1"/>
  <c r="E2974" i="1"/>
  <c r="B2975" i="1"/>
  <c r="E2975" i="1"/>
  <c r="B2976" i="1"/>
  <c r="E2976" i="1"/>
  <c r="B2977" i="1"/>
  <c r="E2977" i="1"/>
  <c r="B2978" i="1"/>
  <c r="E2978" i="1"/>
  <c r="B2979" i="1"/>
  <c r="E2979" i="1"/>
  <c r="B2980" i="1"/>
  <c r="E2980" i="1"/>
  <c r="B2981" i="1"/>
  <c r="E2981" i="1"/>
  <c r="B2982" i="1"/>
  <c r="E2982" i="1"/>
  <c r="B2983" i="1"/>
  <c r="E2983" i="1"/>
  <c r="B2984" i="1"/>
  <c r="E2984" i="1"/>
  <c r="B2985" i="1"/>
  <c r="E2985" i="1"/>
  <c r="B2986" i="1"/>
  <c r="E2986" i="1"/>
  <c r="B2987" i="1"/>
  <c r="E2987" i="1"/>
  <c r="B2988" i="1"/>
  <c r="E2988" i="1"/>
  <c r="B2989" i="1"/>
  <c r="E2989" i="1"/>
  <c r="B2990" i="1"/>
  <c r="E2990" i="1"/>
  <c r="B2991" i="1"/>
  <c r="E2991" i="1"/>
  <c r="B2992" i="1"/>
  <c r="E2992" i="1"/>
  <c r="B2993" i="1"/>
  <c r="E2993" i="1"/>
  <c r="B2994" i="1"/>
  <c r="E2994" i="1"/>
  <c r="B2995" i="1"/>
  <c r="E2995" i="1"/>
  <c r="B2996" i="1"/>
  <c r="E2996" i="1"/>
  <c r="B2997" i="1"/>
  <c r="E2997" i="1"/>
  <c r="B2998" i="1"/>
  <c r="E2998" i="1"/>
  <c r="B2999" i="1"/>
  <c r="E2999" i="1"/>
  <c r="B3000" i="1"/>
  <c r="E3000" i="1"/>
  <c r="B3001" i="1"/>
  <c r="E3001" i="1"/>
  <c r="B3002" i="1"/>
  <c r="E3002" i="1"/>
  <c r="B3003" i="1"/>
  <c r="E3003" i="1"/>
  <c r="B3004" i="1"/>
  <c r="E3004" i="1"/>
  <c r="B3005" i="1"/>
  <c r="E3005" i="1"/>
  <c r="B3006" i="1"/>
  <c r="E3006" i="1"/>
  <c r="B3007" i="1"/>
  <c r="E3007" i="1"/>
  <c r="B3008" i="1"/>
  <c r="E3008" i="1"/>
  <c r="B3009" i="1"/>
  <c r="E3009" i="1"/>
  <c r="B3010" i="1"/>
  <c r="E3010" i="1"/>
  <c r="B3011" i="1"/>
  <c r="E3011" i="1"/>
  <c r="B3012" i="1"/>
  <c r="E3012" i="1"/>
  <c r="B3013" i="1"/>
  <c r="E3013" i="1"/>
  <c r="B3014" i="1"/>
  <c r="E3014" i="1"/>
  <c r="B3015" i="1"/>
  <c r="E3015" i="1"/>
  <c r="B3016" i="1"/>
  <c r="E3016" i="1"/>
  <c r="B3017" i="1"/>
  <c r="E3017" i="1"/>
  <c r="B3018" i="1"/>
  <c r="E3018" i="1"/>
  <c r="B3019" i="1"/>
  <c r="E3019" i="1"/>
  <c r="B3020" i="1"/>
  <c r="E3020" i="1"/>
  <c r="B3021" i="1"/>
  <c r="E3021" i="1"/>
  <c r="B3022" i="1"/>
  <c r="E3022" i="1"/>
  <c r="B3023" i="1"/>
  <c r="E3023" i="1"/>
  <c r="B3024" i="1"/>
  <c r="E3024" i="1"/>
  <c r="B3025" i="1"/>
  <c r="E3025" i="1"/>
  <c r="B3026" i="1"/>
  <c r="E3026" i="1"/>
  <c r="B3027" i="1"/>
  <c r="E3027" i="1"/>
  <c r="B3028" i="1"/>
  <c r="E3028" i="1"/>
  <c r="B3029" i="1"/>
  <c r="E3029" i="1"/>
  <c r="B3030" i="1"/>
  <c r="E3030" i="1"/>
  <c r="B3031" i="1"/>
  <c r="E3031" i="1"/>
  <c r="B3032" i="1"/>
  <c r="E3032" i="1"/>
  <c r="B3033" i="1"/>
  <c r="E3033" i="1"/>
  <c r="B3034" i="1"/>
  <c r="E3034" i="1"/>
  <c r="B3035" i="1"/>
  <c r="E3035" i="1"/>
  <c r="B3036" i="1"/>
  <c r="E3036" i="1"/>
  <c r="B3037" i="1"/>
  <c r="E3037" i="1"/>
  <c r="B3038" i="1"/>
  <c r="E3038" i="1"/>
  <c r="B3039" i="1"/>
  <c r="E3039" i="1"/>
  <c r="B3040" i="1"/>
  <c r="E3040" i="1"/>
  <c r="B3041" i="1"/>
  <c r="E3041" i="1"/>
  <c r="B3042" i="1"/>
  <c r="E3042" i="1"/>
  <c r="B3043" i="1"/>
  <c r="E3043" i="1"/>
  <c r="B3044" i="1"/>
  <c r="E3044" i="1"/>
  <c r="B3045" i="1"/>
  <c r="E3045" i="1"/>
  <c r="B3046" i="1"/>
  <c r="E3046" i="1"/>
  <c r="B3047" i="1"/>
  <c r="E3047" i="1"/>
  <c r="B3048" i="1"/>
  <c r="E3048" i="1"/>
  <c r="B3049" i="1"/>
  <c r="E3049" i="1"/>
  <c r="B3050" i="1"/>
  <c r="E3050" i="1"/>
  <c r="B3051" i="1"/>
  <c r="E3051" i="1"/>
  <c r="B3052" i="1"/>
  <c r="E3052" i="1"/>
  <c r="B3053" i="1"/>
  <c r="E3053" i="1"/>
  <c r="B3054" i="1"/>
  <c r="E3054" i="1"/>
  <c r="B3055" i="1"/>
  <c r="E3055" i="1"/>
  <c r="B3056" i="1"/>
  <c r="E3056" i="1"/>
  <c r="B3057" i="1"/>
  <c r="E3057" i="1"/>
  <c r="B3058" i="1"/>
  <c r="E3058" i="1"/>
  <c r="B3059" i="1"/>
  <c r="E3059" i="1"/>
  <c r="B3060" i="1"/>
  <c r="E3060" i="1"/>
  <c r="B3061" i="1"/>
  <c r="E3061" i="1"/>
  <c r="B3062" i="1"/>
  <c r="E3062" i="1"/>
  <c r="B3063" i="1"/>
  <c r="E3063" i="1"/>
  <c r="B3064" i="1"/>
  <c r="E3064" i="1"/>
  <c r="B3065" i="1"/>
  <c r="E3065" i="1"/>
  <c r="B3066" i="1"/>
  <c r="E3066" i="1"/>
  <c r="B3067" i="1"/>
  <c r="E3067" i="1"/>
  <c r="B3068" i="1"/>
  <c r="E3068" i="1"/>
  <c r="B3069" i="1"/>
  <c r="E3069" i="1"/>
  <c r="B3070" i="1"/>
  <c r="E3070" i="1"/>
  <c r="B3071" i="1"/>
  <c r="E3071" i="1"/>
  <c r="B3072" i="1"/>
  <c r="E3072" i="1"/>
  <c r="B3073" i="1"/>
  <c r="E3073" i="1"/>
  <c r="B3074" i="1"/>
  <c r="E3074" i="1"/>
  <c r="B3075" i="1"/>
  <c r="E3075" i="1"/>
  <c r="B3076" i="1"/>
  <c r="E3076" i="1"/>
  <c r="B3077" i="1"/>
  <c r="E3077" i="1"/>
  <c r="B3078" i="1"/>
  <c r="E3078" i="1"/>
  <c r="B3079" i="1"/>
  <c r="E3079" i="1"/>
  <c r="B3080" i="1"/>
  <c r="E3080" i="1"/>
  <c r="B3081" i="1"/>
  <c r="E3081" i="1"/>
  <c r="B3082" i="1"/>
  <c r="E3082" i="1"/>
  <c r="B3083" i="1"/>
  <c r="E3083" i="1"/>
  <c r="B3084" i="1"/>
  <c r="E3084" i="1"/>
  <c r="B3085" i="1"/>
  <c r="E3085" i="1"/>
  <c r="B3086" i="1"/>
  <c r="E3086" i="1"/>
  <c r="B3087" i="1"/>
  <c r="E3087" i="1"/>
  <c r="B3088" i="1"/>
  <c r="E3088" i="1"/>
  <c r="B3089" i="1"/>
  <c r="E3089" i="1"/>
  <c r="B3090" i="1"/>
  <c r="E3090" i="1"/>
  <c r="B3091" i="1"/>
  <c r="E3091" i="1"/>
  <c r="B3092" i="1"/>
  <c r="E3092" i="1"/>
  <c r="B3093" i="1"/>
  <c r="E3093" i="1"/>
  <c r="B3094" i="1"/>
  <c r="E3094" i="1"/>
  <c r="B3095" i="1"/>
  <c r="E3095" i="1"/>
  <c r="B3096" i="1"/>
  <c r="E3096" i="1"/>
  <c r="B3097" i="1"/>
  <c r="E3097" i="1"/>
  <c r="B3098" i="1"/>
  <c r="E3098" i="1"/>
  <c r="B3099" i="1"/>
  <c r="E3099" i="1"/>
  <c r="B3100" i="1"/>
  <c r="E3100" i="1"/>
  <c r="B3101" i="1"/>
  <c r="E3101" i="1"/>
  <c r="B3102" i="1"/>
  <c r="E3102" i="1"/>
  <c r="B3103" i="1"/>
  <c r="E3103" i="1"/>
  <c r="B3104" i="1"/>
  <c r="E3104" i="1"/>
  <c r="B3105" i="1"/>
  <c r="E3105" i="1"/>
  <c r="B3106" i="1"/>
  <c r="E3106" i="1"/>
  <c r="B3107" i="1"/>
  <c r="E3107" i="1"/>
  <c r="B3108" i="1"/>
  <c r="E3108" i="1"/>
  <c r="B3109" i="1"/>
  <c r="E3109" i="1"/>
  <c r="B3110" i="1"/>
  <c r="E3110" i="1"/>
  <c r="B3111" i="1"/>
  <c r="E3111" i="1"/>
  <c r="B3112" i="1"/>
  <c r="E3112" i="1"/>
  <c r="B3113" i="1"/>
  <c r="E3113" i="1"/>
  <c r="B3114" i="1"/>
  <c r="E3114" i="1"/>
  <c r="B3115" i="1"/>
  <c r="E3115" i="1"/>
  <c r="B3116" i="1"/>
  <c r="E3116" i="1"/>
  <c r="B3117" i="1"/>
  <c r="E3117" i="1"/>
  <c r="B3118" i="1"/>
  <c r="E3118" i="1"/>
  <c r="B3119" i="1"/>
  <c r="E3119" i="1"/>
  <c r="B3120" i="1"/>
  <c r="E3120" i="1"/>
  <c r="B3121" i="1"/>
  <c r="E3121" i="1"/>
  <c r="B3122" i="1"/>
  <c r="E3122" i="1"/>
  <c r="B3123" i="1"/>
  <c r="E3123" i="1"/>
  <c r="B3124" i="1"/>
  <c r="E3124" i="1"/>
  <c r="B3125" i="1"/>
  <c r="E3125" i="1"/>
  <c r="B3126" i="1"/>
  <c r="E3126" i="1"/>
  <c r="B3127" i="1"/>
  <c r="E3127" i="1"/>
  <c r="B3128" i="1"/>
  <c r="E3128" i="1"/>
  <c r="B3129" i="1"/>
  <c r="E3129" i="1"/>
  <c r="B3130" i="1"/>
  <c r="E3130" i="1"/>
  <c r="B3131" i="1"/>
  <c r="E3131" i="1"/>
  <c r="B3132" i="1"/>
  <c r="E3132" i="1"/>
  <c r="B3133" i="1"/>
  <c r="E3133" i="1"/>
  <c r="B3134" i="1"/>
  <c r="E3134" i="1"/>
  <c r="B3135" i="1"/>
  <c r="E3135" i="1"/>
  <c r="B3136" i="1"/>
  <c r="E3136" i="1"/>
  <c r="B3137" i="1"/>
  <c r="E3137" i="1"/>
  <c r="B3138" i="1"/>
  <c r="E3138" i="1"/>
  <c r="B3139" i="1"/>
  <c r="E3139" i="1"/>
  <c r="B3140" i="1"/>
  <c r="E3140" i="1"/>
  <c r="B3141" i="1"/>
  <c r="E3141" i="1"/>
  <c r="B3142" i="1"/>
  <c r="E3142" i="1"/>
  <c r="B3143" i="1"/>
  <c r="E3143" i="1"/>
  <c r="B3144" i="1"/>
  <c r="E3144" i="1"/>
  <c r="B3145" i="1"/>
  <c r="E3145" i="1"/>
  <c r="B3146" i="1"/>
  <c r="E3146" i="1"/>
  <c r="B3147" i="1"/>
  <c r="E3147" i="1"/>
  <c r="B3148" i="1"/>
  <c r="E3148" i="1"/>
  <c r="B3149" i="1"/>
  <c r="E3149" i="1"/>
  <c r="B3150" i="1"/>
  <c r="E3150" i="1"/>
  <c r="B3151" i="1"/>
  <c r="E3151" i="1"/>
  <c r="B3152" i="1"/>
  <c r="E3152" i="1"/>
  <c r="B3153" i="1"/>
  <c r="E3153" i="1"/>
  <c r="B3154" i="1"/>
  <c r="E3154" i="1"/>
  <c r="B3155" i="1"/>
  <c r="E3155" i="1"/>
  <c r="B3156" i="1"/>
  <c r="E3156" i="1"/>
  <c r="B3157" i="1"/>
  <c r="E3157" i="1"/>
  <c r="B3158" i="1"/>
  <c r="E3158" i="1"/>
  <c r="B3159" i="1"/>
  <c r="E3159" i="1"/>
  <c r="B3160" i="1"/>
  <c r="E3160" i="1"/>
  <c r="B3161" i="1"/>
  <c r="E3161" i="1"/>
  <c r="B3162" i="1"/>
  <c r="E3162" i="1"/>
  <c r="B3163" i="1"/>
  <c r="E3163" i="1"/>
  <c r="B3164" i="1"/>
  <c r="E3164" i="1"/>
  <c r="B3165" i="1"/>
  <c r="E3165" i="1"/>
  <c r="B3166" i="1"/>
  <c r="E3166" i="1"/>
  <c r="B3167" i="1"/>
  <c r="E3167" i="1"/>
  <c r="B3168" i="1"/>
  <c r="E3168" i="1"/>
  <c r="B3169" i="1"/>
  <c r="E3169" i="1"/>
  <c r="B3170" i="1"/>
  <c r="E3170" i="1"/>
  <c r="B3171" i="1"/>
  <c r="E3171" i="1"/>
  <c r="B3172" i="1"/>
  <c r="E3172" i="1"/>
  <c r="B3173" i="1"/>
  <c r="E3173" i="1"/>
  <c r="B3174" i="1"/>
  <c r="E3174" i="1"/>
  <c r="B3175" i="1"/>
  <c r="E3175" i="1"/>
  <c r="B3176" i="1"/>
  <c r="E3176" i="1"/>
  <c r="B3177" i="1"/>
  <c r="E3177" i="1"/>
  <c r="B3178" i="1"/>
  <c r="E3178" i="1"/>
  <c r="B3179" i="1"/>
  <c r="E3179" i="1"/>
  <c r="B3180" i="1"/>
  <c r="E3180" i="1"/>
  <c r="B3181" i="1"/>
  <c r="E3181" i="1"/>
  <c r="B3182" i="1"/>
  <c r="E3182" i="1"/>
  <c r="B3183" i="1"/>
  <c r="E3183" i="1"/>
  <c r="B3184" i="1"/>
  <c r="E3184" i="1"/>
  <c r="B3185" i="1"/>
  <c r="E3185" i="1"/>
  <c r="B3186" i="1"/>
  <c r="E3186" i="1"/>
  <c r="B3187" i="1"/>
  <c r="E3187" i="1"/>
  <c r="B3188" i="1"/>
  <c r="E3188" i="1"/>
  <c r="B3189" i="1"/>
  <c r="E3189" i="1"/>
  <c r="B3190" i="1"/>
  <c r="E3190" i="1"/>
  <c r="B3191" i="1"/>
  <c r="E3191" i="1"/>
  <c r="B3192" i="1"/>
  <c r="E3192" i="1"/>
  <c r="B3193" i="1"/>
  <c r="E3193" i="1"/>
  <c r="B3194" i="1"/>
  <c r="E3194" i="1"/>
  <c r="B3195" i="1"/>
  <c r="E3195" i="1"/>
  <c r="B3196" i="1"/>
  <c r="E3196" i="1"/>
  <c r="B3197" i="1"/>
  <c r="E3197" i="1"/>
  <c r="B3198" i="1"/>
  <c r="E3198" i="1"/>
  <c r="B3199" i="1"/>
  <c r="E3199" i="1"/>
  <c r="B3200" i="1"/>
  <c r="E3200" i="1"/>
  <c r="B3201" i="1"/>
  <c r="E3201" i="1"/>
  <c r="B3202" i="1"/>
  <c r="E3202" i="1"/>
  <c r="B3203" i="1"/>
  <c r="E3203" i="1"/>
  <c r="B3204" i="1"/>
  <c r="E3204" i="1"/>
  <c r="B3205" i="1"/>
  <c r="E3205" i="1"/>
  <c r="B3206" i="1"/>
  <c r="E3206" i="1"/>
  <c r="B3207" i="1"/>
  <c r="E3207" i="1"/>
  <c r="B3208" i="1"/>
  <c r="E3208" i="1"/>
  <c r="B3209" i="1"/>
  <c r="E3209" i="1"/>
  <c r="B3210" i="1"/>
  <c r="E3210" i="1"/>
  <c r="B3211" i="1"/>
  <c r="E3211" i="1"/>
  <c r="B3212" i="1"/>
  <c r="E3212" i="1"/>
  <c r="B3213" i="1"/>
  <c r="E3213" i="1"/>
  <c r="B3214" i="1"/>
  <c r="E3214" i="1"/>
  <c r="B3215" i="1"/>
  <c r="E3215" i="1"/>
  <c r="B3216" i="1"/>
  <c r="E3216" i="1"/>
  <c r="B3217" i="1"/>
  <c r="E3217" i="1"/>
  <c r="B3218" i="1"/>
  <c r="E3218" i="1"/>
  <c r="B3219" i="1"/>
  <c r="E3219" i="1"/>
  <c r="B3220" i="1"/>
  <c r="E3220" i="1"/>
  <c r="B3221" i="1"/>
  <c r="E3221" i="1"/>
  <c r="B3222" i="1"/>
  <c r="E3222" i="1"/>
  <c r="B3223" i="1"/>
  <c r="E3223" i="1"/>
  <c r="B3224" i="1"/>
  <c r="E3224" i="1"/>
  <c r="B3225" i="1"/>
  <c r="E3225" i="1"/>
  <c r="B3226" i="1"/>
  <c r="E3226" i="1"/>
  <c r="B3227" i="1"/>
  <c r="E3227" i="1"/>
  <c r="B3228" i="1"/>
  <c r="E3228" i="1"/>
  <c r="B3229" i="1"/>
  <c r="E3229" i="1"/>
  <c r="B3230" i="1"/>
  <c r="E3230" i="1"/>
  <c r="B3231" i="1"/>
  <c r="E3231" i="1"/>
  <c r="B3232" i="1"/>
  <c r="E3232" i="1"/>
  <c r="B3233" i="1"/>
  <c r="E3233" i="1"/>
  <c r="B3234" i="1"/>
  <c r="E3234" i="1"/>
  <c r="B3235" i="1"/>
  <c r="E3235" i="1"/>
  <c r="B3236" i="1"/>
  <c r="E3236" i="1"/>
  <c r="B3237" i="1"/>
  <c r="E3237" i="1"/>
  <c r="B3238" i="1"/>
  <c r="E3238" i="1"/>
  <c r="B3239" i="1"/>
  <c r="E3239" i="1"/>
  <c r="B3240" i="1"/>
  <c r="E3240" i="1"/>
  <c r="B3241" i="1"/>
  <c r="E3241" i="1"/>
  <c r="B3242" i="1"/>
  <c r="E3242" i="1"/>
  <c r="B3243" i="1"/>
  <c r="E3243" i="1"/>
  <c r="B3244" i="1"/>
  <c r="E3244" i="1"/>
  <c r="B3245" i="1"/>
  <c r="E3245" i="1"/>
  <c r="B3246" i="1"/>
  <c r="E3246" i="1"/>
  <c r="B3247" i="1"/>
  <c r="E3247" i="1"/>
  <c r="B3248" i="1"/>
  <c r="E3248" i="1"/>
  <c r="B3249" i="1"/>
  <c r="E3249" i="1"/>
  <c r="B3250" i="1"/>
  <c r="E3250" i="1"/>
  <c r="B3251" i="1"/>
  <c r="E3251" i="1"/>
  <c r="B3252" i="1"/>
  <c r="E3252" i="1"/>
  <c r="B3253" i="1"/>
  <c r="E3253" i="1"/>
  <c r="B3254" i="1"/>
  <c r="E3254" i="1"/>
  <c r="B3255" i="1"/>
  <c r="E3255" i="1"/>
  <c r="B3256" i="1"/>
  <c r="E3256" i="1"/>
  <c r="B3257" i="1"/>
  <c r="E3257" i="1"/>
  <c r="B3258" i="1"/>
  <c r="E3258" i="1"/>
  <c r="B3259" i="1"/>
  <c r="E3259" i="1"/>
  <c r="B3260" i="1"/>
  <c r="E3260" i="1"/>
  <c r="B3261" i="1"/>
  <c r="E3261" i="1"/>
  <c r="B3262" i="1"/>
  <c r="E3262" i="1"/>
  <c r="B3263" i="1"/>
  <c r="E3263" i="1"/>
  <c r="B3264" i="1"/>
  <c r="E3264" i="1"/>
  <c r="B3265" i="1"/>
  <c r="E3265" i="1"/>
  <c r="B3266" i="1"/>
  <c r="E3266" i="1"/>
  <c r="B3267" i="1"/>
  <c r="E3267" i="1"/>
  <c r="B3268" i="1"/>
  <c r="E3268" i="1"/>
  <c r="B3269" i="1"/>
  <c r="E3269" i="1"/>
  <c r="B3270" i="1"/>
  <c r="E3270" i="1"/>
  <c r="B3271" i="1"/>
  <c r="E3271" i="1"/>
  <c r="B3272" i="1"/>
  <c r="E3272" i="1"/>
  <c r="B3273" i="1"/>
  <c r="E3273" i="1"/>
  <c r="B3274" i="1"/>
  <c r="E3274" i="1"/>
  <c r="B3275" i="1"/>
  <c r="E3275" i="1"/>
  <c r="B3276" i="1"/>
  <c r="E3276" i="1"/>
  <c r="B3277" i="1"/>
  <c r="E3277" i="1"/>
  <c r="B3278" i="1"/>
  <c r="E3278" i="1"/>
  <c r="B3279" i="1"/>
  <c r="E3279" i="1"/>
  <c r="B3280" i="1"/>
  <c r="E3280" i="1"/>
  <c r="B3281" i="1"/>
  <c r="E3281" i="1"/>
  <c r="B3282" i="1"/>
  <c r="E3282" i="1"/>
  <c r="B3283" i="1"/>
  <c r="E3283" i="1"/>
  <c r="B3284" i="1"/>
  <c r="E3284" i="1"/>
  <c r="B3285" i="1"/>
  <c r="E3285" i="1"/>
  <c r="B3286" i="1"/>
  <c r="E3286" i="1"/>
  <c r="B3287" i="1"/>
  <c r="E3287" i="1"/>
  <c r="B3288" i="1"/>
  <c r="E3288" i="1"/>
  <c r="B3289" i="1"/>
  <c r="E3289" i="1"/>
  <c r="B3290" i="1"/>
  <c r="E3290" i="1"/>
  <c r="B3291" i="1"/>
  <c r="E3291" i="1"/>
  <c r="B3292" i="1"/>
  <c r="E3292" i="1"/>
  <c r="B3293" i="1"/>
  <c r="E3293" i="1"/>
  <c r="B3294" i="1"/>
  <c r="E3294" i="1"/>
  <c r="B3295" i="1"/>
  <c r="E3295" i="1"/>
  <c r="B3296" i="1"/>
  <c r="E3296" i="1"/>
  <c r="B3297" i="1"/>
  <c r="E3297" i="1"/>
  <c r="B3298" i="1"/>
  <c r="E3298" i="1"/>
  <c r="B3299" i="1"/>
  <c r="E3299" i="1"/>
  <c r="B3300" i="1"/>
  <c r="E3300" i="1"/>
  <c r="B3301" i="1"/>
  <c r="E3301" i="1"/>
  <c r="B3302" i="1"/>
  <c r="E3302" i="1"/>
  <c r="B3303" i="1"/>
  <c r="E3303" i="1"/>
  <c r="B3304" i="1"/>
  <c r="E3304" i="1"/>
  <c r="B3305" i="1"/>
  <c r="E3305" i="1"/>
  <c r="B3306" i="1"/>
  <c r="E3306" i="1"/>
  <c r="B3307" i="1"/>
  <c r="E3307" i="1"/>
  <c r="B3308" i="1"/>
  <c r="E3308" i="1"/>
  <c r="B3309" i="1"/>
  <c r="E3309" i="1"/>
  <c r="B3310" i="1"/>
  <c r="E3310" i="1"/>
  <c r="B3311" i="1"/>
  <c r="E3311" i="1"/>
  <c r="B3312" i="1"/>
  <c r="E3312" i="1"/>
  <c r="B3313" i="1"/>
  <c r="E3313" i="1"/>
  <c r="B3314" i="1"/>
  <c r="E3314" i="1"/>
  <c r="B3315" i="1"/>
  <c r="E3315" i="1"/>
  <c r="B3316" i="1"/>
  <c r="E3316" i="1"/>
  <c r="B3317" i="1"/>
  <c r="E3317" i="1"/>
  <c r="B3318" i="1"/>
  <c r="E3318" i="1"/>
  <c r="B3319" i="1"/>
  <c r="E3319" i="1"/>
  <c r="B3320" i="1"/>
  <c r="E3320" i="1"/>
  <c r="B3321" i="1"/>
  <c r="E3321" i="1"/>
  <c r="B3322" i="1"/>
  <c r="E3322" i="1"/>
  <c r="B3323" i="1"/>
  <c r="E3323" i="1"/>
  <c r="B3324" i="1"/>
  <c r="E3324" i="1"/>
  <c r="B3325" i="1"/>
  <c r="E3325" i="1"/>
  <c r="B3326" i="1"/>
  <c r="E3326" i="1"/>
  <c r="B3327" i="1"/>
  <c r="E3327" i="1"/>
  <c r="B3328" i="1"/>
  <c r="E3328" i="1"/>
  <c r="B3329" i="1"/>
  <c r="E3329" i="1"/>
  <c r="B3330" i="1"/>
  <c r="E3330" i="1"/>
  <c r="B3331" i="1"/>
  <c r="E3331" i="1"/>
  <c r="B3332" i="1"/>
  <c r="E3332" i="1"/>
  <c r="B3333" i="1"/>
  <c r="E3333" i="1"/>
  <c r="B3334" i="1"/>
  <c r="E3334" i="1"/>
  <c r="B3335" i="1"/>
  <c r="E3335" i="1"/>
  <c r="B3336" i="1"/>
  <c r="E3336" i="1"/>
  <c r="B3337" i="1"/>
  <c r="E3337" i="1"/>
  <c r="B3338" i="1"/>
  <c r="E3338" i="1"/>
  <c r="B3339" i="1"/>
  <c r="E3339" i="1"/>
  <c r="B3340" i="1"/>
  <c r="E3340" i="1"/>
  <c r="B3341" i="1"/>
  <c r="E3341" i="1"/>
  <c r="B3342" i="1"/>
  <c r="E3342" i="1"/>
  <c r="B3343" i="1"/>
  <c r="E3343" i="1"/>
  <c r="B3344" i="1"/>
  <c r="E3344" i="1"/>
  <c r="B3345" i="1"/>
  <c r="E3345" i="1"/>
  <c r="B3346" i="1"/>
  <c r="E3346" i="1"/>
  <c r="B3347" i="1"/>
  <c r="E3347" i="1"/>
  <c r="B3348" i="1"/>
  <c r="E3348" i="1"/>
  <c r="B3349" i="1"/>
  <c r="E3349" i="1"/>
  <c r="B3350" i="1"/>
  <c r="E3350" i="1"/>
  <c r="B3351" i="1"/>
  <c r="E3351" i="1"/>
  <c r="B3352" i="1"/>
  <c r="E3352" i="1"/>
  <c r="B3353" i="1"/>
  <c r="E3353" i="1"/>
  <c r="B3354" i="1"/>
  <c r="E3354" i="1"/>
  <c r="B3355" i="1"/>
  <c r="E3355" i="1"/>
  <c r="B3356" i="1"/>
  <c r="E3356" i="1"/>
  <c r="B3357" i="1"/>
  <c r="E3357" i="1"/>
  <c r="B3358" i="1"/>
  <c r="E3358" i="1"/>
  <c r="B3359" i="1"/>
  <c r="E3359" i="1"/>
  <c r="B3360" i="1"/>
  <c r="E3360" i="1"/>
  <c r="B3361" i="1"/>
  <c r="E3361" i="1"/>
  <c r="B3362" i="1"/>
  <c r="E3362" i="1"/>
  <c r="B3363" i="1"/>
  <c r="E3363" i="1"/>
  <c r="B3364" i="1"/>
  <c r="E3364" i="1"/>
  <c r="B3365" i="1"/>
  <c r="E3365" i="1"/>
  <c r="B3366" i="1"/>
  <c r="E3366" i="1"/>
  <c r="B3367" i="1"/>
  <c r="E3367" i="1"/>
  <c r="B3368" i="1"/>
  <c r="E3368" i="1"/>
  <c r="B3369" i="1"/>
  <c r="E3369" i="1"/>
  <c r="B3370" i="1"/>
  <c r="E3370" i="1"/>
  <c r="B3371" i="1"/>
  <c r="E3371" i="1"/>
  <c r="B3372" i="1"/>
  <c r="E3372" i="1"/>
  <c r="B3373" i="1"/>
  <c r="E3373" i="1"/>
  <c r="B3374" i="1"/>
  <c r="E3374" i="1"/>
  <c r="B3375" i="1"/>
  <c r="E3375" i="1"/>
  <c r="B3376" i="1"/>
  <c r="E3376" i="1"/>
  <c r="B3377" i="1"/>
  <c r="E3377" i="1"/>
  <c r="B3378" i="1"/>
  <c r="E3378" i="1"/>
  <c r="B3379" i="1"/>
  <c r="E3379" i="1"/>
  <c r="B3380" i="1"/>
  <c r="E3380" i="1"/>
  <c r="B3381" i="1"/>
  <c r="E3381" i="1"/>
  <c r="B3382" i="1"/>
  <c r="E3382" i="1"/>
  <c r="B3383" i="1"/>
  <c r="E3383" i="1"/>
  <c r="B3384" i="1"/>
  <c r="E3384" i="1"/>
  <c r="B3385" i="1"/>
  <c r="E3385" i="1"/>
  <c r="B3386" i="1"/>
  <c r="E3386" i="1"/>
  <c r="B3387" i="1"/>
  <c r="E3387" i="1"/>
  <c r="B3388" i="1"/>
  <c r="E3388" i="1"/>
  <c r="B3389" i="1"/>
  <c r="E3389" i="1"/>
  <c r="B3390" i="1"/>
  <c r="E3390" i="1"/>
  <c r="B3391" i="1"/>
  <c r="E3391" i="1"/>
  <c r="B3392" i="1"/>
  <c r="E3392" i="1"/>
  <c r="B3393" i="1"/>
  <c r="E3393" i="1"/>
  <c r="B3394" i="1"/>
  <c r="E3394" i="1"/>
  <c r="B3395" i="1"/>
  <c r="E3395" i="1"/>
  <c r="B3396" i="1"/>
  <c r="E3396" i="1"/>
  <c r="B3397" i="1"/>
  <c r="E3397" i="1"/>
  <c r="B3398" i="1"/>
  <c r="E3398" i="1"/>
  <c r="B3399" i="1"/>
  <c r="E3399" i="1"/>
  <c r="B3400" i="1"/>
  <c r="E3400" i="1"/>
  <c r="B3401" i="1"/>
  <c r="E3401" i="1"/>
  <c r="B3402" i="1"/>
  <c r="E3402" i="1"/>
  <c r="B3403" i="1"/>
  <c r="E3403" i="1"/>
  <c r="B3404" i="1"/>
  <c r="E3404" i="1"/>
  <c r="B3405" i="1"/>
  <c r="E3405" i="1"/>
  <c r="B3406" i="1"/>
  <c r="E3406" i="1"/>
  <c r="B3407" i="1"/>
  <c r="E3407" i="1"/>
  <c r="B3408" i="1"/>
  <c r="E3408" i="1"/>
  <c r="B3409" i="1"/>
  <c r="E3409" i="1"/>
  <c r="B3410" i="1"/>
  <c r="E3410" i="1"/>
  <c r="B3411" i="1"/>
  <c r="E3411" i="1"/>
  <c r="B3412" i="1"/>
  <c r="E3412" i="1"/>
  <c r="B3413" i="1"/>
  <c r="E3413" i="1"/>
  <c r="B3414" i="1"/>
  <c r="E3414" i="1"/>
  <c r="B3415" i="1"/>
  <c r="E3415" i="1"/>
  <c r="B3416" i="1"/>
  <c r="E3416" i="1"/>
  <c r="B3417" i="1"/>
  <c r="E3417" i="1"/>
  <c r="B3418" i="1"/>
  <c r="E3418" i="1"/>
  <c r="B3419" i="1"/>
  <c r="E3419" i="1"/>
  <c r="B3420" i="1"/>
  <c r="E3420" i="1"/>
  <c r="B3421" i="1"/>
  <c r="E3421" i="1"/>
  <c r="B3422" i="1"/>
  <c r="E3422" i="1"/>
  <c r="B3423" i="1"/>
  <c r="E3423" i="1"/>
  <c r="B3424" i="1"/>
  <c r="E3424" i="1"/>
  <c r="B3425" i="1"/>
  <c r="E3425" i="1"/>
  <c r="B3426" i="1"/>
  <c r="E3426" i="1"/>
  <c r="B3427" i="1"/>
  <c r="E3427" i="1"/>
  <c r="B3428" i="1"/>
  <c r="E3428" i="1"/>
  <c r="B3429" i="1"/>
  <c r="E3429" i="1"/>
  <c r="B3430" i="1"/>
  <c r="E3430" i="1"/>
  <c r="B3431" i="1"/>
  <c r="E3431" i="1"/>
  <c r="B3432" i="1"/>
  <c r="E3432" i="1"/>
  <c r="B3433" i="1"/>
  <c r="E3433" i="1"/>
  <c r="B3434" i="1"/>
  <c r="E3434" i="1"/>
  <c r="B3435" i="1"/>
  <c r="E3435" i="1"/>
  <c r="B3436" i="1"/>
  <c r="E3436" i="1"/>
  <c r="B3437" i="1"/>
  <c r="E3437" i="1"/>
  <c r="B3438" i="1"/>
  <c r="E3438" i="1"/>
  <c r="B3439" i="1"/>
  <c r="E3439" i="1"/>
  <c r="B3440" i="1"/>
  <c r="E3440" i="1"/>
  <c r="B3441" i="1"/>
  <c r="E3441" i="1"/>
  <c r="B3442" i="1"/>
  <c r="E3442" i="1"/>
  <c r="B3443" i="1"/>
  <c r="E3443" i="1"/>
  <c r="B3444" i="1"/>
  <c r="E3444" i="1"/>
  <c r="B3445" i="1"/>
  <c r="E3445" i="1"/>
  <c r="B3446" i="1"/>
  <c r="E3446" i="1"/>
  <c r="B3447" i="1"/>
  <c r="E3447" i="1"/>
  <c r="B3448" i="1"/>
  <c r="E3448" i="1"/>
  <c r="B3449" i="1"/>
  <c r="E3449" i="1"/>
  <c r="B3450" i="1"/>
  <c r="E3450" i="1"/>
  <c r="B3451" i="1"/>
  <c r="E3451" i="1"/>
  <c r="B3452" i="1"/>
  <c r="E3452" i="1"/>
  <c r="B3453" i="1"/>
  <c r="E3453" i="1"/>
  <c r="B3454" i="1"/>
  <c r="E3454" i="1"/>
  <c r="B3455" i="1"/>
  <c r="E3455" i="1"/>
  <c r="B3456" i="1"/>
  <c r="E3456" i="1"/>
  <c r="B3457" i="1"/>
  <c r="E3457" i="1"/>
  <c r="B3458" i="1"/>
  <c r="E3458" i="1"/>
  <c r="B3459" i="1"/>
  <c r="E3459" i="1"/>
  <c r="B3460" i="1"/>
  <c r="E3460" i="1"/>
  <c r="B3461" i="1"/>
  <c r="E3461" i="1"/>
  <c r="B3462" i="1"/>
  <c r="E3462" i="1"/>
  <c r="B3463" i="1"/>
  <c r="E3463" i="1"/>
  <c r="B3464" i="1"/>
  <c r="E3464" i="1"/>
  <c r="B3465" i="1"/>
  <c r="E3465" i="1"/>
  <c r="B3466" i="1"/>
  <c r="E3466" i="1"/>
  <c r="B3467" i="1"/>
  <c r="E3467" i="1"/>
  <c r="B3468" i="1"/>
  <c r="E3468" i="1"/>
  <c r="B3469" i="1"/>
  <c r="E3469" i="1"/>
  <c r="B3470" i="1"/>
  <c r="E3470" i="1"/>
  <c r="B3471" i="1"/>
  <c r="E3471" i="1"/>
  <c r="B3472" i="1"/>
  <c r="E3472" i="1"/>
  <c r="B3473" i="1"/>
  <c r="E3473" i="1"/>
  <c r="B3474" i="1"/>
  <c r="E3474" i="1"/>
  <c r="B3475" i="1"/>
  <c r="E3475" i="1"/>
  <c r="B3476" i="1"/>
  <c r="E3476" i="1"/>
  <c r="B3477" i="1"/>
  <c r="E3477" i="1"/>
  <c r="B3478" i="1"/>
  <c r="E3478" i="1"/>
  <c r="B3479" i="1"/>
  <c r="E3479" i="1"/>
  <c r="B3480" i="1"/>
  <c r="E3480" i="1"/>
  <c r="B3481" i="1"/>
  <c r="E3481" i="1"/>
  <c r="B3482" i="1"/>
  <c r="E3482" i="1"/>
  <c r="B3483" i="1"/>
  <c r="E3483" i="1"/>
  <c r="B3484" i="1"/>
  <c r="E3484" i="1"/>
  <c r="B3485" i="1"/>
  <c r="E3485" i="1"/>
  <c r="B3486" i="1"/>
  <c r="E3486" i="1"/>
  <c r="B3487" i="1"/>
  <c r="E3487" i="1"/>
  <c r="B3488" i="1"/>
  <c r="E3488" i="1"/>
  <c r="B3489" i="1"/>
  <c r="E3489" i="1"/>
  <c r="B3490" i="1"/>
  <c r="E3490" i="1"/>
  <c r="B3491" i="1"/>
  <c r="E3491" i="1"/>
  <c r="B3492" i="1"/>
  <c r="E3492" i="1"/>
  <c r="B3493" i="1"/>
  <c r="E3493" i="1"/>
  <c r="B3494" i="1"/>
  <c r="E3494" i="1"/>
  <c r="B3495" i="1"/>
  <c r="E3495" i="1"/>
  <c r="B3496" i="1"/>
  <c r="E3496" i="1"/>
  <c r="B3497" i="1"/>
  <c r="E3497" i="1"/>
  <c r="B3498" i="1"/>
  <c r="E3498" i="1"/>
  <c r="B3499" i="1"/>
  <c r="E3499" i="1"/>
  <c r="B3500" i="1"/>
  <c r="E3500" i="1"/>
  <c r="B3501" i="1"/>
  <c r="E3501" i="1"/>
  <c r="B3502" i="1"/>
  <c r="E3502" i="1"/>
  <c r="B3503" i="1"/>
  <c r="E3503" i="1"/>
  <c r="B3504" i="1"/>
  <c r="E3504" i="1"/>
  <c r="B3505" i="1"/>
  <c r="E3505" i="1"/>
  <c r="B3506" i="1"/>
  <c r="E3506" i="1"/>
  <c r="B3507" i="1"/>
  <c r="E3507" i="1"/>
  <c r="B3508" i="1"/>
  <c r="E3508" i="1"/>
  <c r="B3509" i="1"/>
  <c r="E3509" i="1"/>
  <c r="B3510" i="1"/>
  <c r="E3510" i="1"/>
  <c r="B3511" i="1"/>
  <c r="E3511" i="1"/>
  <c r="B3512" i="1"/>
  <c r="E3512" i="1"/>
  <c r="B3513" i="1"/>
  <c r="E3513" i="1"/>
  <c r="B3514" i="1"/>
  <c r="E3514" i="1"/>
  <c r="B3515" i="1"/>
  <c r="E3515" i="1"/>
  <c r="B3516" i="1"/>
  <c r="E3516" i="1"/>
  <c r="B3517" i="1"/>
  <c r="E3517" i="1"/>
  <c r="B3518" i="1"/>
  <c r="E3518" i="1"/>
  <c r="B3519" i="1"/>
  <c r="E3519" i="1"/>
  <c r="B3520" i="1"/>
  <c r="E3520" i="1"/>
  <c r="B3521" i="1"/>
  <c r="E3521" i="1"/>
  <c r="B3522" i="1"/>
  <c r="E3522" i="1"/>
  <c r="B3523" i="1"/>
  <c r="E3523" i="1"/>
  <c r="B3524" i="1"/>
  <c r="E3524" i="1"/>
  <c r="B3525" i="1"/>
  <c r="E3525" i="1"/>
  <c r="B3526" i="1"/>
  <c r="E3526" i="1"/>
  <c r="B3527" i="1"/>
  <c r="E3527" i="1"/>
  <c r="B3528" i="1"/>
  <c r="E3528" i="1"/>
  <c r="B3529" i="1"/>
  <c r="E3529" i="1"/>
  <c r="B3530" i="1"/>
  <c r="E3530" i="1"/>
  <c r="B3531" i="1"/>
  <c r="E3531" i="1"/>
  <c r="B3532" i="1"/>
  <c r="E3532" i="1"/>
  <c r="B3533" i="1"/>
  <c r="E3533" i="1"/>
  <c r="B3534" i="1"/>
  <c r="E3534" i="1"/>
  <c r="B3535" i="1"/>
  <c r="E3535" i="1"/>
  <c r="B3536" i="1"/>
  <c r="E3536" i="1"/>
  <c r="B3537" i="1"/>
  <c r="E3537" i="1"/>
  <c r="B3538" i="1"/>
  <c r="E3538" i="1"/>
  <c r="B3539" i="1"/>
  <c r="E3539" i="1"/>
  <c r="B3540" i="1"/>
  <c r="E3540" i="1"/>
  <c r="B3541" i="1"/>
  <c r="E3541" i="1"/>
  <c r="B3542" i="1"/>
  <c r="E3542" i="1"/>
  <c r="B3543" i="1"/>
  <c r="E3543" i="1"/>
  <c r="B3544" i="1"/>
  <c r="E3544" i="1"/>
  <c r="B3545" i="1"/>
  <c r="E3545" i="1"/>
  <c r="B3546" i="1"/>
  <c r="E3546" i="1"/>
  <c r="B3547" i="1"/>
  <c r="E3547" i="1"/>
  <c r="B3548" i="1"/>
  <c r="E3548" i="1"/>
  <c r="B3549" i="1"/>
  <c r="E3549" i="1"/>
  <c r="B3550" i="1"/>
  <c r="E3550" i="1"/>
  <c r="B3551" i="1"/>
  <c r="E3551" i="1"/>
  <c r="B3552" i="1"/>
  <c r="E3552" i="1"/>
  <c r="B3553" i="1"/>
  <c r="E3553" i="1"/>
  <c r="B3554" i="1"/>
  <c r="E3554" i="1"/>
</calcChain>
</file>

<file path=xl/sharedStrings.xml><?xml version="1.0" encoding="utf-8"?>
<sst xmlns="http://schemas.openxmlformats.org/spreadsheetml/2006/main" count="17788" uniqueCount="7111">
  <si>
    <t>Ensembl ID</t>
  </si>
  <si>
    <t>Gene Symbol</t>
  </si>
  <si>
    <t>Entrez ID</t>
  </si>
  <si>
    <t>Description</t>
  </si>
  <si>
    <t>Location</t>
  </si>
  <si>
    <t>Strand</t>
  </si>
  <si>
    <t>Log2 Fold Change</t>
  </si>
  <si>
    <t>LFC Standard Error</t>
  </si>
  <si>
    <t>Wald Statistic</t>
  </si>
  <si>
    <t>p Value</t>
  </si>
  <si>
    <t>FDR Adj p Value</t>
  </si>
  <si>
    <t>Significant</t>
  </si>
  <si>
    <t>Status</t>
  </si>
  <si>
    <t>Base Mean</t>
  </si>
  <si>
    <t>N_CRE</t>
  </si>
  <si>
    <t>NEL_CRE</t>
  </si>
  <si>
    <t>N_CRE_1_S24</t>
  </si>
  <si>
    <t>N_CRE_2_S25</t>
  </si>
  <si>
    <t>N_CRE_3_S26</t>
  </si>
  <si>
    <t>NEL_CRE_13_S38</t>
  </si>
  <si>
    <t>NEL_CRE_14_S39</t>
  </si>
  <si>
    <t>NEL_CRE_15_S40</t>
  </si>
  <si>
    <t>NEL_CRE_16_S41</t>
  </si>
  <si>
    <t>ENSMUSG00000022483</t>
  </si>
  <si>
    <t>collagen, type II, alpha 1</t>
  </si>
  <si>
    <t>-</t>
  </si>
  <si>
    <t>Yes</t>
  </si>
  <si>
    <t>OK</t>
  </si>
  <si>
    <t>ENSMUSG00000027520</t>
  </si>
  <si>
    <t>zinc finger, DBF-type containing 2</t>
  </si>
  <si>
    <t>+</t>
  </si>
  <si>
    <t>ENSMUSG00000024121</t>
  </si>
  <si>
    <t>ATPase, H+ transporting, lysosomal V0 subunit C</t>
  </si>
  <si>
    <t>ENSMUSG00000063804</t>
  </si>
  <si>
    <t>lin-28 homolog B (C. elegans)</t>
  </si>
  <si>
    <t>ENSMUSG00000035357</t>
  </si>
  <si>
    <t>PDZ domain containing RING finger 3</t>
  </si>
  <si>
    <t>ENSMUSG00000040118</t>
  </si>
  <si>
    <t>calcium channel, voltage-dependent, alpha2/delta subunit 1</t>
  </si>
  <si>
    <t>ENSMUSG00000025255</t>
  </si>
  <si>
    <t>zinc finger homeodomain 4</t>
  </si>
  <si>
    <t>ENSMUSG00000097767</t>
  </si>
  <si>
    <t>myocardial infarction associated transcript (non-protein coding)</t>
  </si>
  <si>
    <t>ENSMUSG00000000031</t>
  </si>
  <si>
    <t>H19, imprinted maternally expressed transcript</t>
  </si>
  <si>
    <t>ENSMUSG00000003282</t>
  </si>
  <si>
    <t>pleiomorphic adenoma gene 1</t>
  </si>
  <si>
    <t>ENSMUSG00000029304</t>
  </si>
  <si>
    <t>secreted phosphoprotein 1</t>
  </si>
  <si>
    <t>ENSMUSG00000042607</t>
  </si>
  <si>
    <t>ankyrin repeat and SOCS box-containing 4</t>
  </si>
  <si>
    <t>ENSMUSG00000096727</t>
  </si>
  <si>
    <t>proteasome (prosome, macropain) subunit, beta type 9 (large multifunctional peptidase 2)</t>
  </si>
  <si>
    <t>ENSMUSG00000033585</t>
  </si>
  <si>
    <t>necdin</t>
  </si>
  <si>
    <t>ENSMUSG00000039153</t>
  </si>
  <si>
    <t>runt related transcription factor 2</t>
  </si>
  <si>
    <t>ENSMUSG00000092035</t>
  </si>
  <si>
    <t>paternally expressed 10</t>
  </si>
  <si>
    <t>ENSMUSG00000097336</t>
  </si>
  <si>
    <t>Foxf1 adjacent non-coding developmental regulatory RNA</t>
  </si>
  <si>
    <t>ENSMUSG00000022123</t>
  </si>
  <si>
    <t>sciellin</t>
  </si>
  <si>
    <t>ENSMUSG00000066800</t>
  </si>
  <si>
    <t>ribonuclease L (2', 5'-oligoisoadenylate synthetase-dependent)</t>
  </si>
  <si>
    <t>ENSMUSG00000058600</t>
  </si>
  <si>
    <t>ribosomal protein L30</t>
  </si>
  <si>
    <t>ENSMUSG00000034777</t>
  </si>
  <si>
    <t>ventral anterior homeobox 2</t>
  </si>
  <si>
    <t>ENSMUSG00000022548</t>
  </si>
  <si>
    <t>apolipoprotein D</t>
  </si>
  <si>
    <t>ENSMUSG00000063972</t>
  </si>
  <si>
    <t>nuclear receptor subfamily 6, group A, member 1</t>
  </si>
  <si>
    <t>ENSMUSG00000024026</t>
  </si>
  <si>
    <t>glyoxalase 1</t>
  </si>
  <si>
    <t>ENSMUSG00000041921</t>
  </si>
  <si>
    <t>methionyl aminopeptidase type 1D (mitochondrial)</t>
  </si>
  <si>
    <t>ENSMUSG00000037003</t>
  </si>
  <si>
    <t>tensin 2</t>
  </si>
  <si>
    <t>ENSMUSG00000063511</t>
  </si>
  <si>
    <t>small nuclear ribonucleoprotein 70 (U1)</t>
  </si>
  <si>
    <t>ENSMUSG00000037321</t>
  </si>
  <si>
    <t>transporter 1, ATP-binding cassette, sub-family B (MDR/TAP)</t>
  </si>
  <si>
    <t>ENSMUSG00000023484</t>
  </si>
  <si>
    <t>peripherin</t>
  </si>
  <si>
    <t>ENSMUSG00000034573</t>
  </si>
  <si>
    <t>protein tyrosine phosphatase, non-receptor type 13</t>
  </si>
  <si>
    <t>ENSMUSG00000062296</t>
  </si>
  <si>
    <t>tetratricopeptide repeat and ankyrin repeat containing 1</t>
  </si>
  <si>
    <t>ENSMUSG00000085396</t>
  </si>
  <si>
    <t>functional intergenic repeating RNA element</t>
  </si>
  <si>
    <t>ENSMUSG00000055413</t>
  </si>
  <si>
    <t>histocompatibility 2, Q region locus 5</t>
  </si>
  <si>
    <t>ENSMUSG00000101609</t>
  </si>
  <si>
    <t>KCNQ1 overlapping transcript 1</t>
  </si>
  <si>
    <t>ENSMUSG00000099032</t>
  </si>
  <si>
    <t>transcription factor 24</t>
  </si>
  <si>
    <t>ENSMUSG00000023921</t>
  </si>
  <si>
    <t>methylmalonyl-Coenzyme A mutase</t>
  </si>
  <si>
    <t>ENSMUSG00000038765</t>
  </si>
  <si>
    <t>LIM homeobox transcription factor 1 beta</t>
  </si>
  <si>
    <t>ENSMUSG00000052415</t>
  </si>
  <si>
    <t>trichohyalin</t>
  </si>
  <si>
    <t>ENSMUSG00000066363</t>
  </si>
  <si>
    <t>serine (or cysteine) peptidase inhibitor, clade A, member 3F</t>
  </si>
  <si>
    <t>ENSMUSG00000028270</t>
  </si>
  <si>
    <t>guanylate binding protein 2</t>
  </si>
  <si>
    <t>ENSMUSG00000070691</t>
  </si>
  <si>
    <t>runt related transcription factor 3</t>
  </si>
  <si>
    <t>ENSMUSG00000038872</t>
  </si>
  <si>
    <t>zinc finger homeobox 3</t>
  </si>
  <si>
    <t>ENSMUSG00000026730</t>
  </si>
  <si>
    <t>phosphotriesterase related</t>
  </si>
  <si>
    <t>ENSMUSG00000029673</t>
  </si>
  <si>
    <t>autism susceptibility candidate 2</t>
  </si>
  <si>
    <t>ENSMUSG00000061232</t>
  </si>
  <si>
    <t>histocompatibility 2, K1, K region</t>
  </si>
  <si>
    <t>ENSMUSG00000006205</t>
  </si>
  <si>
    <t>HtrA serine peptidase 1</t>
  </si>
  <si>
    <t>ENSMUSG00000029814</t>
  </si>
  <si>
    <t>insulin-like growth factor 2 mRNA binding protein 3</t>
  </si>
  <si>
    <t>ENSMUSG00000042363</t>
  </si>
  <si>
    <t>lectin, galactoside binding-like</t>
  </si>
  <si>
    <t>ENSMUSG00000035545</t>
  </si>
  <si>
    <t>leukocyte receptor cluster (LRC) member 8</t>
  </si>
  <si>
    <t>ENSMUSG00000029718</t>
  </si>
  <si>
    <t>procollagen C-endopeptidase enhancer protein</t>
  </si>
  <si>
    <t>ENSMUSG00000033342</t>
  </si>
  <si>
    <t>phospholipid phosphatase related 5</t>
  </si>
  <si>
    <t>ENSMUSG00000097589</t>
  </si>
  <si>
    <t>deleted in lymphocytic leukemia, 2</t>
  </si>
  <si>
    <t>ENSMUSG00000058145</t>
  </si>
  <si>
    <t>a disintegrin-like and metallopeptidase (reprolysin type) with thrombospondin type 1 motif, 17</t>
  </si>
  <si>
    <t>ENSMUSG00000000247</t>
  </si>
  <si>
    <t>LIM homeobox protein 2</t>
  </si>
  <si>
    <t>ENSMUSG00000051586</t>
  </si>
  <si>
    <t>microtubule associated monooxygenase, calponin and LIM domain containing 3</t>
  </si>
  <si>
    <t>ENSMUSG00000019866</t>
  </si>
  <si>
    <t>absent in melanoma 1</t>
  </si>
  <si>
    <t>ENSMUSG00000056515</t>
  </si>
  <si>
    <t>RAB31, member RAS oncogene family</t>
  </si>
  <si>
    <t>ENSMUSG00000040721</t>
  </si>
  <si>
    <t>zinc finger homeobox 2</t>
  </si>
  <si>
    <t>ENSMUSG00000051497</t>
  </si>
  <si>
    <t>potassium inwardly-rectifying channel, subfamily J, member 16</t>
  </si>
  <si>
    <t>ENSMUSG00000005836</t>
  </si>
  <si>
    <t>GATA binding protein 6</t>
  </si>
  <si>
    <t>ENSMUSG00000080316</t>
  </si>
  <si>
    <t>sperm acrosome associated 6</t>
  </si>
  <si>
    <t>ENSMUSG00000029714</t>
  </si>
  <si>
    <t>GRB10 interacting GYF protein 1</t>
  </si>
  <si>
    <t>ENSMUSG00000051166</t>
  </si>
  <si>
    <t>echinoderm microtubule associated protein like 5</t>
  </si>
  <si>
    <t>ENSMUSG00000042684</t>
  </si>
  <si>
    <t>N-acetylneuraminate pyruvate lyase</t>
  </si>
  <si>
    <t>ENSMUSG00000000594</t>
  </si>
  <si>
    <t>GM2 ganglioside activator protein</t>
  </si>
  <si>
    <t>ENSMUSG00000027668</t>
  </si>
  <si>
    <t>mitofusin 1</t>
  </si>
  <si>
    <t>ENSMUSG00000017677</t>
  </si>
  <si>
    <t>WD repeat and SOCS box-containing 1</t>
  </si>
  <si>
    <t>ENSMUSG00000085794</t>
  </si>
  <si>
    <t>ventral anterior homeobox 2, opposite strand</t>
  </si>
  <si>
    <t>ENSMUSG00000017756</t>
  </si>
  <si>
    <t>solute carrier family 12, member 7</t>
  </si>
  <si>
    <t>ENSMUSG00000020827</t>
  </si>
  <si>
    <t>misshapen-like kinase 1 (zebrafish)</t>
  </si>
  <si>
    <t>ENSMUSG00000035246</t>
  </si>
  <si>
    <t>phosphate cytidylyltransferase 1, choline, beta isoform</t>
  </si>
  <si>
    <t>ENSMUSG00000044071</t>
  </si>
  <si>
    <t>family with sequence similarity 19, member A2</t>
  </si>
  <si>
    <t>ENSMUSG00000026365</t>
  </si>
  <si>
    <t>complement component factor h</t>
  </si>
  <si>
    <t>ENSMUSG00000036707</t>
  </si>
  <si>
    <t>calcium binding protein 39</t>
  </si>
  <si>
    <t>ENSMUSG00000044770</t>
  </si>
  <si>
    <t>sex comb on midleg-like 4 (Drosophila)</t>
  </si>
  <si>
    <t>ENSMUSG00000056972</t>
  </si>
  <si>
    <t>melanoma antigen, family L, 2</t>
  </si>
  <si>
    <t>ENSMUSG00000040274</t>
  </si>
  <si>
    <t>cyclin-dependent kinase 6</t>
  </si>
  <si>
    <t>ENSMUSG00000075273</t>
  </si>
  <si>
    <t>tetratricopeptide repeat domain 30B</t>
  </si>
  <si>
    <t>ENSMUSG00000038718</t>
  </si>
  <si>
    <t>pre B cell leukemia homeobox 3</t>
  </si>
  <si>
    <t>ENSMUSG00000042846</t>
  </si>
  <si>
    <t>leucine rich repeat transmembrane neuronal 3</t>
  </si>
  <si>
    <t>ENSMUSG00000032554</t>
  </si>
  <si>
    <t>transferrin</t>
  </si>
  <si>
    <t>ENSMUSG00000005533</t>
  </si>
  <si>
    <t>insulin-like growth factor I receptor</t>
  </si>
  <si>
    <t>ENSMUSG00000015579</t>
  </si>
  <si>
    <t>NK2 homeobox 5</t>
  </si>
  <si>
    <t>ENSMUSG00000049690</t>
  </si>
  <si>
    <t>NCK-associated protein 5</t>
  </si>
  <si>
    <t>ENSMUSG00000067276</t>
  </si>
  <si>
    <t>calpain 6</t>
  </si>
  <si>
    <t>ENSMUSG00000069170</t>
  </si>
  <si>
    <t>adhesion G protein-coupled receptor V1</t>
  </si>
  <si>
    <t>ENSMUSG00000029126</t>
  </si>
  <si>
    <t>neuron specific gene family member 1</t>
  </si>
  <si>
    <t>ENSMUSG00000049929</t>
  </si>
  <si>
    <t>lysophosphatidic acid receptor 4</t>
  </si>
  <si>
    <t>ENSMUSG00000027004</t>
  </si>
  <si>
    <t>frizzled-related protein</t>
  </si>
  <si>
    <t>ENSMUSG00000000058</t>
  </si>
  <si>
    <t>caveolin 2</t>
  </si>
  <si>
    <t>ENSMUSG00000023019</t>
  </si>
  <si>
    <t>glycerol-3-phosphate dehydrogenase 1 (soluble)</t>
  </si>
  <si>
    <t>ENSMUSG00000079259</t>
  </si>
  <si>
    <t>tripartite motif-containing 71</t>
  </si>
  <si>
    <t>ENSMUSG00000021495</t>
  </si>
  <si>
    <t>family with sequence similarity 193, member B</t>
  </si>
  <si>
    <t>ENSMUSG00000041734</t>
  </si>
  <si>
    <t>kin of IRRE like (Drosophila)</t>
  </si>
  <si>
    <t>ENSMUSG00000054667</t>
  </si>
  <si>
    <t>insulin receptor substrate 4</t>
  </si>
  <si>
    <t>ENSMUSG00000023959</t>
  </si>
  <si>
    <t>chloride intracellular channel 5</t>
  </si>
  <si>
    <t>ENSMUSG00000031808</t>
  </si>
  <si>
    <t>solute carrier family 27 (fatty acid transporter), member 1</t>
  </si>
  <si>
    <t>ENSMUSG00000048376</t>
  </si>
  <si>
    <t>coagulation factor II (thrombin) receptor</t>
  </si>
  <si>
    <t>ENSMUSG00000033350</t>
  </si>
  <si>
    <t>carbohydrate sulfotransferase 2</t>
  </si>
  <si>
    <t>ENSMUSG00000028354</t>
  </si>
  <si>
    <t>formin 2</t>
  </si>
  <si>
    <t>ENSMUSG00000004360</t>
  </si>
  <si>
    <t>RIKEN cDNA 9330159F19 gene</t>
  </si>
  <si>
    <t>ENSMUSG00000039601</t>
  </si>
  <si>
    <t>regulator of calcineurin 2</t>
  </si>
  <si>
    <t>ENSMUSG00000046324</t>
  </si>
  <si>
    <t>endoplasmic reticulum metallopeptidase 1</t>
  </si>
  <si>
    <t>ENSMUSG00000003411</t>
  </si>
  <si>
    <t>RAB3B, member RAS oncogene family</t>
  </si>
  <si>
    <t>ENSMUSG00000056116</t>
  </si>
  <si>
    <t>histocompatibility 2, T region locus 22</t>
  </si>
  <si>
    <t>histocompatibility 2, T region locus 9</t>
  </si>
  <si>
    <t>ENSMUSG00000019929</t>
  </si>
  <si>
    <t>decorin</t>
  </si>
  <si>
    <t>ENSMUSG00000047976</t>
  </si>
  <si>
    <t>potassium voltage-gated channel, shaker-related subfamily, member 1</t>
  </si>
  <si>
    <t>ENSMUSG00000031538</t>
  </si>
  <si>
    <t>plasminogen activator, tissue</t>
  </si>
  <si>
    <t>ENSMUSG00000036766</t>
  </si>
  <si>
    <t>delta/notch-like EGF repeat containing</t>
  </si>
  <si>
    <t>ENSMUSG00000028064</t>
  </si>
  <si>
    <t>sema domain, immunoglobulin domain (Ig), transmembrane domain (TM) and short cytoplasmic domain, (semaphorin) 4A</t>
  </si>
  <si>
    <t>ENSMUSG00000037664</t>
  </si>
  <si>
    <t>cyclin-dependent kinase inhibitor 1C (P57)</t>
  </si>
  <si>
    <t>ENSMUSG00000059851</t>
  </si>
  <si>
    <t>lysine methyltransferase 5C</t>
  </si>
  <si>
    <t>ENSMUSG00000019970</t>
  </si>
  <si>
    <t>serum/glucocorticoid regulated kinase 1</t>
  </si>
  <si>
    <t>ENSMUSG00000020728</t>
  </si>
  <si>
    <t>centrosomal protein 112</t>
  </si>
  <si>
    <t>ENSMUSG00000036502</t>
  </si>
  <si>
    <t>transmembrane protein 255A</t>
  </si>
  <si>
    <t>ENSMUSG00000040312</t>
  </si>
  <si>
    <t>coiled-coil alpha-helical rod protein 1</t>
  </si>
  <si>
    <t>ENSMUSG00000024338</t>
  </si>
  <si>
    <t>proteasome (prosome, macropain) subunit, beta type 8 (large multifunctional peptidase 7)</t>
  </si>
  <si>
    <t>ENSMUSG00000042625</t>
  </si>
  <si>
    <t>scaffold attachment factor B2</t>
  </si>
  <si>
    <t>ENSMUSG00000017446</t>
  </si>
  <si>
    <t>C1q and tumor necrosis factor related protein 1</t>
  </si>
  <si>
    <t>ENSMUSG00000073411</t>
  </si>
  <si>
    <t>histocompatibility 2, D region locus L</t>
  </si>
  <si>
    <t>histocompatibility 2, D region locus 1</t>
  </si>
  <si>
    <t>ENSMUSG00000038453</t>
  </si>
  <si>
    <t>SRC kinase signaling inhibitor 1</t>
  </si>
  <si>
    <t>ENSMUSG00000042700</t>
  </si>
  <si>
    <t>signal-induced proliferation-associated 1 like 1</t>
  </si>
  <si>
    <t>ENSMUSG00000036295</t>
  </si>
  <si>
    <t>leucine rich repeat protein 3, neuronal</t>
  </si>
  <si>
    <t>ENSMUSG00000001761</t>
  </si>
  <si>
    <t>smoothened, frizzled class receptor</t>
  </si>
  <si>
    <t>ENSMUSG00000022865</t>
  </si>
  <si>
    <t>coxsackie virus and adenovirus receptor</t>
  </si>
  <si>
    <t>ENSMUSG00000030774</t>
  </si>
  <si>
    <t>p21 protein (Cdc42/Rac)-activated kinase 1</t>
  </si>
  <si>
    <t>ENSMUSG00000021709</t>
  </si>
  <si>
    <t>Erbb2 interacting protein</t>
  </si>
  <si>
    <t>ENSMUSG00000054484</t>
  </si>
  <si>
    <t>transmembrane protein 62</t>
  </si>
  <si>
    <t>ENSMUSG00000097736</t>
  </si>
  <si>
    <t>RIKEN cDNA 9530059O14 gene</t>
  </si>
  <si>
    <t>ENSMUSG00000012519</t>
  </si>
  <si>
    <t>mixed lineage kinase domain-like</t>
  </si>
  <si>
    <t>ENSMUSG00000093445</t>
  </si>
  <si>
    <t>leucine-rich repeats and calponin homology (CH) domain containing 4</t>
  </si>
  <si>
    <t>ENSMUSG00000024827</t>
  </si>
  <si>
    <t>glycine decarboxylase</t>
  </si>
  <si>
    <t>ENSMUSG00000034771</t>
  </si>
  <si>
    <t>transducin-like enhancer of split 2</t>
  </si>
  <si>
    <t>ENSMUSG00000074151</t>
  </si>
  <si>
    <t>NLR family, CARD domain containing 5</t>
  </si>
  <si>
    <t>ENSMUSG00000072494</t>
  </si>
  <si>
    <t>protein phosphatase 1, regulatory (inhibitor) subunit 3E</t>
  </si>
  <si>
    <t>ENSMUSG00000037965</t>
  </si>
  <si>
    <t>zinc finger CCCH type containing 7 A</t>
  </si>
  <si>
    <t>ENSMUSG00000037852</t>
  </si>
  <si>
    <t>carboxypeptidase E</t>
  </si>
  <si>
    <t>ENSMUSG00000010476</t>
  </si>
  <si>
    <t>early B cell factor 3</t>
  </si>
  <si>
    <t>ENSMUSG00000029675</t>
  </si>
  <si>
    <t>elastin</t>
  </si>
  <si>
    <t>ENSMUSG00000033676</t>
  </si>
  <si>
    <t>gamma-aminobutyric acid (GABA) A receptor, subunit beta 3</t>
  </si>
  <si>
    <t>ENSMUSG00000037991</t>
  </si>
  <si>
    <t>RecQ mediated genome instability 2</t>
  </si>
  <si>
    <t>ENSMUSG00000034810</t>
  </si>
  <si>
    <t>sodium channel, voltage-gated, type VII, alpha</t>
  </si>
  <si>
    <t>ENSMUSG00000032198</t>
  </si>
  <si>
    <t>dedicator of cytokinesis 6</t>
  </si>
  <si>
    <t>ENSMUSG00000013584</t>
  </si>
  <si>
    <t>aldehyde dehydrogenase family 1, subfamily A2</t>
  </si>
  <si>
    <t>ENSMUSG00000085925</t>
  </si>
  <si>
    <t>retrotransposon-like 1</t>
  </si>
  <si>
    <t>ENSMUSG00000013698</t>
  </si>
  <si>
    <t>phosphoprotein enriched in astrocytes 15A</t>
  </si>
  <si>
    <t>ENSMUSG00000071226</t>
  </si>
  <si>
    <t>cat eye syndrome chromosome region, candidate 2</t>
  </si>
  <si>
    <t>ENSMUSG00000050288</t>
  </si>
  <si>
    <t>frizzled class receptor 2</t>
  </si>
  <si>
    <t>ENSMUSG00000030411</t>
  </si>
  <si>
    <t>neuro-oncological ventral antigen 2</t>
  </si>
  <si>
    <t>ENSMUSG00000073409</t>
  </si>
  <si>
    <t>histocompatibility 2, Q region locus 6</t>
  </si>
  <si>
    <t>histocompatibility 2, Q region locus 8</t>
  </si>
  <si>
    <t>ENSMUSG00000016349</t>
  </si>
  <si>
    <t>eukaryotic translation elongation factor 1 alpha 2</t>
  </si>
  <si>
    <t>ENSMUSG00000044037</t>
  </si>
  <si>
    <t>ALS2 C-terminal like</t>
  </si>
  <si>
    <t>ENSMUSG00000040254</t>
  </si>
  <si>
    <t>sema domain, immunoglobulin domain (Ig), short basic domain, secreted, (semaphorin) 3D</t>
  </si>
  <si>
    <t>ENSMUSG00000067274</t>
  </si>
  <si>
    <t>ribosomal protein, large, P0</t>
  </si>
  <si>
    <t>ENSMUSG00000030703</t>
  </si>
  <si>
    <t>glycerophosphodiester phosphodiesterase domain containing 3</t>
  </si>
  <si>
    <t>ENSMUSG00000035929</t>
  </si>
  <si>
    <t>histocompatibility 2, Q region locus 4</t>
  </si>
  <si>
    <t>ENSMUSG00000056724</t>
  </si>
  <si>
    <t>neurobeachin-like 2</t>
  </si>
  <si>
    <t>ENSMUSG00000030231</t>
  </si>
  <si>
    <t>pleckstrin homology domain containing, family A member 5</t>
  </si>
  <si>
    <t>ENSMUSG00000046008</t>
  </si>
  <si>
    <t>pancreatic lipase</t>
  </si>
  <si>
    <t>ENSMUSG00000024985</t>
  </si>
  <si>
    <t>transcription factor 7 like 2, T cell specific, HMG box</t>
  </si>
  <si>
    <t>ENSMUSG00000039852</t>
  </si>
  <si>
    <t>arginine glutamic acid dipeptide (RE) repeats</t>
  </si>
  <si>
    <t>ENSMUSG00000044288</t>
  </si>
  <si>
    <t>cannabinoid receptor 1 (brain)</t>
  </si>
  <si>
    <t>ENSMUSG00000028173</t>
  </si>
  <si>
    <t>wntless homolog (Drosophila)</t>
  </si>
  <si>
    <t>ENSMUSG00000029817</t>
  </si>
  <si>
    <t>transformer 2 alpha homolog (Drosophila)</t>
  </si>
  <si>
    <t>ENSMUSG00000036913</t>
  </si>
  <si>
    <t>tripartite motif-containing 67</t>
  </si>
  <si>
    <t>ENSMUSG00000074024</t>
  </si>
  <si>
    <t>RIKEN cDNA 4632427E13 gene</t>
  </si>
  <si>
    <t>ENSMUSG00000019173</t>
  </si>
  <si>
    <t>RAB5C, member RAS oncogene family</t>
  </si>
  <si>
    <t>ENSMUSG00000026456</t>
  </si>
  <si>
    <t>cytochrome b5 reductase 1</t>
  </si>
  <si>
    <t>ENSMUSG00000038457</t>
  </si>
  <si>
    <t>transmembrane protein 255B</t>
  </si>
  <si>
    <t>ENSMUSG00000028634</t>
  </si>
  <si>
    <t>human immunodeficiency virus type I enhancer binding protein 3</t>
  </si>
  <si>
    <t>ENSMUSG00000004347</t>
  </si>
  <si>
    <t>phosphodiesterase 1C</t>
  </si>
  <si>
    <t>ENSMUSG00000028337</t>
  </si>
  <si>
    <t>coronin, actin binding protein 2A</t>
  </si>
  <si>
    <t>ENSMUSG00000009630</t>
  </si>
  <si>
    <t>protein phosphatase 2 (formerly 2A), catalytic subunit, beta isoform</t>
  </si>
  <si>
    <t>ENSMUSG00000033577</t>
  </si>
  <si>
    <t>myosin VI</t>
  </si>
  <si>
    <t>ENSMUSG00000023031</t>
  </si>
  <si>
    <t>chymotrypsin-like elastase family, member 1</t>
  </si>
  <si>
    <t>ENSMUSG00000030077</t>
  </si>
  <si>
    <t>cell adhesion molecule L1-like</t>
  </si>
  <si>
    <t>ENSMUSG00000007476</t>
  </si>
  <si>
    <t>leucine rich repeat containing 8A</t>
  </si>
  <si>
    <t>ENSMUSG00000078485</t>
  </si>
  <si>
    <t>pleckstrin homology domain containing, family N member 1</t>
  </si>
  <si>
    <t>ENSMUSG00000025421</t>
  </si>
  <si>
    <t>haloacid dehalogenase-like hydrolase domain containing 2</t>
  </si>
  <si>
    <t>ENSMUSG00000001288</t>
  </si>
  <si>
    <t>retinoic acid receptor, gamma</t>
  </si>
  <si>
    <t>ENSMUSG00000021098</t>
  </si>
  <si>
    <t>RIKEN cDNA 4930447C04 gene</t>
  </si>
  <si>
    <t>ENSMUSG00000041794</t>
  </si>
  <si>
    <t>myosin VIIA and Rab interacting protein</t>
  </si>
  <si>
    <t>ENSMUSG00000059173</t>
  </si>
  <si>
    <t>phosphodiesterase 1A, calmodulin-dependent</t>
  </si>
  <si>
    <t>ENSMUSG00000043424</t>
  </si>
  <si>
    <t>eukaryotic translation initiation factor 3, subunit J2</t>
  </si>
  <si>
    <t>ENSMUSG00000035392</t>
  </si>
  <si>
    <t>DENN/MADD domain containing 1A</t>
  </si>
  <si>
    <t>ENSMUSG00000030123</t>
  </si>
  <si>
    <t>plexin D1</t>
  </si>
  <si>
    <t>ENSMUSG00000028360</t>
  </si>
  <si>
    <t>solute carrier family 44, member 5</t>
  </si>
  <si>
    <t>ENSMUSG00000025037</t>
  </si>
  <si>
    <t>monoamine oxidase A</t>
  </si>
  <si>
    <t>ENSMUSG00000046402</t>
  </si>
  <si>
    <t>retinol binding protein 1, cellular</t>
  </si>
  <si>
    <t>ENSMUSG00000031024</t>
  </si>
  <si>
    <t>suppression of tumorigenicity 5</t>
  </si>
  <si>
    <t>ENSMUSG00000053519</t>
  </si>
  <si>
    <t>Kv channel-interacting protein 1</t>
  </si>
  <si>
    <t>ENSMUSG00000029644</t>
  </si>
  <si>
    <t>pancreatic and duodenal homeobox 1</t>
  </si>
  <si>
    <t>ENSMUSG00000030606</t>
  </si>
  <si>
    <t>hyaluronan and proteoglycan link protein 3</t>
  </si>
  <si>
    <t>ENSMUSG00000031176</t>
  </si>
  <si>
    <t>dynein light chain Tctex-type 3</t>
  </si>
  <si>
    <t>ENSMUSG00000032420</t>
  </si>
  <si>
    <t>5' nucleotidase, ecto</t>
  </si>
  <si>
    <t>ENSMUSG00000039137</t>
  </si>
  <si>
    <t>whirlin</t>
  </si>
  <si>
    <t>ENSMUSG00000001497</t>
  </si>
  <si>
    <t>paired box 9</t>
  </si>
  <si>
    <t>ENSMUSG00000062044</t>
  </si>
  <si>
    <t>lemur tyrosine kinase 3</t>
  </si>
  <si>
    <t>ENSMUSG00000045589</t>
  </si>
  <si>
    <t>ferric-chelate reductase 1 like</t>
  </si>
  <si>
    <t>ENSMUSG00000038119</t>
  </si>
  <si>
    <t>cell adhesion molecule-related/down-regulated by oncogenes</t>
  </si>
  <si>
    <t>ENSMUSG00000033863</t>
  </si>
  <si>
    <t>Kruppel-like factor 9</t>
  </si>
  <si>
    <t>ENSMUSG00000027499</t>
  </si>
  <si>
    <t>protein kinase inhibitor, alpha</t>
  </si>
  <si>
    <t>ENSMUSG00000040860</t>
  </si>
  <si>
    <t>ciliary rootlet coiled-coil, rootletin</t>
  </si>
  <si>
    <t>ENSMUSG00000025531</t>
  </si>
  <si>
    <t>choroidermia (RAB escort protein 1)</t>
  </si>
  <si>
    <t>ENSMUSG00000030704</t>
  </si>
  <si>
    <t>RAB6A, member RAS oncogene family</t>
  </si>
  <si>
    <t>ENSMUSG00000033987</t>
  </si>
  <si>
    <t>dynein, axonemal, heavy chain 17</t>
  </si>
  <si>
    <t>ENSMUSG00000023236</t>
  </si>
  <si>
    <t>secretogranin V</t>
  </si>
  <si>
    <t>ENSMUSG00000042662</t>
  </si>
  <si>
    <t>dual specificity phosphatase-like 15</t>
  </si>
  <si>
    <t>ENSMUSG00000089255</t>
  </si>
  <si>
    <t>small nucleolar RNA, H/ACA box 7</t>
  </si>
  <si>
    <t>ENSMUSG00000048458</t>
  </si>
  <si>
    <t>family with sequence similarity 212, member B</t>
  </si>
  <si>
    <t>ENSMUSG00000031696</t>
  </si>
  <si>
    <t>VPS35 retromer complex component</t>
  </si>
  <si>
    <t>ENSMUSG00000030788</t>
  </si>
  <si>
    <t>ring finger protein 141</t>
  </si>
  <si>
    <t>ENSMUSG00000030654</t>
  </si>
  <si>
    <t>ADP-ribosylation factor-like 6 interacting protein 1</t>
  </si>
  <si>
    <t>ENSMUSG00000028717</t>
  </si>
  <si>
    <t>T cell acute lymphocytic leukemia 1</t>
  </si>
  <si>
    <t>ENSMUSG00000109864</t>
  </si>
  <si>
    <t>EP300 interacting inhibitor of differentiation 3</t>
  </si>
  <si>
    <t>ENSMUSG00000042010</t>
  </si>
  <si>
    <t>acetyl-Coenzyme A carboxylase beta</t>
  </si>
  <si>
    <t>ENSMUSG00000028020</t>
  </si>
  <si>
    <t>glycine receptor, beta subunit</t>
  </si>
  <si>
    <t>ENSMUSG00000037447</t>
  </si>
  <si>
    <t>AT rich interactive domain 5A (MRF1-like)</t>
  </si>
  <si>
    <t>ENSMUSG00000025089</t>
  </si>
  <si>
    <t>glial cell line derived neurotrophic factor family receptor alpha 1</t>
  </si>
  <si>
    <t>ENSMUSG00000022194</t>
  </si>
  <si>
    <t>poly(A) binding protein, nuclear 1</t>
  </si>
  <si>
    <t>ENSMUSG00000023952</t>
  </si>
  <si>
    <t>GTP binding protein 2</t>
  </si>
  <si>
    <t>ENSMUSG00000046295</t>
  </si>
  <si>
    <t>ankyrin repeat and LEM domain containing 1</t>
  </si>
  <si>
    <t>ENSMUSG00000029309</t>
  </si>
  <si>
    <t>SPARC-like 1</t>
  </si>
  <si>
    <t>ENSMUSG00000019877</t>
  </si>
  <si>
    <t>serine incorporator 1</t>
  </si>
  <si>
    <t>ENSMUSG00000023007</t>
  </si>
  <si>
    <t>pre-mRNA processing factor 40B</t>
  </si>
  <si>
    <t>ENSMUSG00000028032</t>
  </si>
  <si>
    <t>3'-phosphoadenosine 5'-phosphosulfate synthase 1</t>
  </si>
  <si>
    <t>ENSMUSG00000097207</t>
  </si>
  <si>
    <t>RIKEN cDNA 6030443J06 gene</t>
  </si>
  <si>
    <t>ENSMUSG00000024339</t>
  </si>
  <si>
    <t>transporter 2, ATP-binding cassette, sub-family B (MDR/TAP)</t>
  </si>
  <si>
    <t>ENSMUSG00000025871</t>
  </si>
  <si>
    <t>RIKEN cDNA 4833439L19 gene</t>
  </si>
  <si>
    <t>ENSMUSG00000025409</t>
  </si>
  <si>
    <t>methyl-CpG binding domain protein 6</t>
  </si>
  <si>
    <t>ENSMUSG00000037697</t>
  </si>
  <si>
    <t>DDHD domain containing 1</t>
  </si>
  <si>
    <t>ENSMUSG00000031517</t>
  </si>
  <si>
    <t>glycoprotein m6a</t>
  </si>
  <si>
    <t>ENSMUSG00000006276</t>
  </si>
  <si>
    <t>epidermal growth factor receptor pathway substrate 15-like 1</t>
  </si>
  <si>
    <t>ENSMUSG00000028626</t>
  </si>
  <si>
    <t>collagen, type IX, alpha 2</t>
  </si>
  <si>
    <t>ENSMUSG00000030607</t>
  </si>
  <si>
    <t>aggrecan</t>
  </si>
  <si>
    <t>ENSMUSG00000048271</t>
  </si>
  <si>
    <t>RNA binding motif protein 33</t>
  </si>
  <si>
    <t>ENSMUSG00000032281</t>
  </si>
  <si>
    <t>acyl-CoA synthetase bubblegum family member 1</t>
  </si>
  <si>
    <t>ENSMUSG00000038384</t>
  </si>
  <si>
    <t>SET domain containing 1B</t>
  </si>
  <si>
    <t>ENSMUSG00000066705</t>
  </si>
  <si>
    <t>FXYD domain-containing ion transport regulator 6</t>
  </si>
  <si>
    <t>ENSMUSG00000018899</t>
  </si>
  <si>
    <t>interferon regulatory factor 1</t>
  </si>
  <si>
    <t>ENSMUSG00000019505</t>
  </si>
  <si>
    <t>ubiquitin B</t>
  </si>
  <si>
    <t>ENSMUSG00000078670</t>
  </si>
  <si>
    <t>family with sequence similarity 174, member B</t>
  </si>
  <si>
    <t>ENSMUSG00000055943</t>
  </si>
  <si>
    <t>ER membrane protein complex subunit 7</t>
  </si>
  <si>
    <t>ENSMUSG00000034855</t>
  </si>
  <si>
    <t>chemokine (C-X-C motif) ligand 10</t>
  </si>
  <si>
    <t>ENSMUSG00000077714</t>
  </si>
  <si>
    <t>small nucleolar RNA, C/D box 17</t>
  </si>
  <si>
    <t>ENSMUSG00000103255</t>
  </si>
  <si>
    <t>protocadherin alpha subfamily C, 1</t>
  </si>
  <si>
    <t>ENSMUSG00000040724</t>
  </si>
  <si>
    <t>potassium voltage-gated channel, shaker-related subfamily, member 2</t>
  </si>
  <si>
    <t>ENSMUSG00000010021</t>
  </si>
  <si>
    <t>kinesin family member 19A</t>
  </si>
  <si>
    <t>ENSMUSG00000074415</t>
  </si>
  <si>
    <t>RIKEN cDNA 3110039I08 gene</t>
  </si>
  <si>
    <t>ENSMUSG00000038058</t>
  </si>
  <si>
    <t>nucleotide-binding oligomerization domain containing 1</t>
  </si>
  <si>
    <t>ENSMUSG00000032181</t>
  </si>
  <si>
    <t>secretogranin III</t>
  </si>
  <si>
    <t>ENSMUSG00000078920</t>
  </si>
  <si>
    <t>interferon gamma inducible protein 47</t>
  </si>
  <si>
    <t>ENSMUSG00000038241</t>
  </si>
  <si>
    <t>centrosomal protein 250</t>
  </si>
  <si>
    <t>ENSMUSG00000048154</t>
  </si>
  <si>
    <t>lysine (K)-specific methyltransferase 2D</t>
  </si>
  <si>
    <t>ENSMUSG00000033498</t>
  </si>
  <si>
    <t>stereocilin</t>
  </si>
  <si>
    <t>ENSMUSG00000046808</t>
  </si>
  <si>
    <t>ATPase, class V, type 10D</t>
  </si>
  <si>
    <t>ENSMUSG00000048677</t>
  </si>
  <si>
    <t>two pore segment channel 2</t>
  </si>
  <si>
    <t>ENSMUSG00000046574</t>
  </si>
  <si>
    <t>proline rich 12</t>
  </si>
  <si>
    <t>ENSMUSG00000025427</t>
  </si>
  <si>
    <t>ring finger protein 165</t>
  </si>
  <si>
    <t>ENSMUSG00000101970</t>
  </si>
  <si>
    <t>RIKEN cDNA 1810026B05 gene</t>
  </si>
  <si>
    <t>ENSMUSG00000049103</t>
  </si>
  <si>
    <t>chemokine (C-C motif) receptor 2</t>
  </si>
  <si>
    <t>ENSMUSG00000033760</t>
  </si>
  <si>
    <t>RNA binding motif protein 4B</t>
  </si>
  <si>
    <t>ENSMUSG00000016206</t>
  </si>
  <si>
    <t>histocompatibility 2, M region locus 3</t>
  </si>
  <si>
    <t>ENSMUSG00000036054</t>
  </si>
  <si>
    <t>SURP and G patch domain containing 2</t>
  </si>
  <si>
    <t>ENSMUSG00000032308</t>
  </si>
  <si>
    <t>unc-51-like kinase 3</t>
  </si>
  <si>
    <t>ENSMUSG00000010825</t>
  </si>
  <si>
    <t>glutamate receptor, ionotropic, delta 2 (Grid2) interacting protein 1</t>
  </si>
  <si>
    <t>ENSMUSG00000019899</t>
  </si>
  <si>
    <t>laminin, alpha 2</t>
  </si>
  <si>
    <t>ENSMUSG00000026147</t>
  </si>
  <si>
    <t>collagen, type IX, alpha 1</t>
  </si>
  <si>
    <t>ENSMUSG00000024193</t>
  </si>
  <si>
    <t>PHD finger protein 1</t>
  </si>
  <si>
    <t>ENSMUSG00000023036</t>
  </si>
  <si>
    <t>protocadherin gamma subfamily C, 4</t>
  </si>
  <si>
    <t>ENSMUSG00000029636</t>
  </si>
  <si>
    <t>WAS protein family, member 3</t>
  </si>
  <si>
    <t>ENSMUSG00000028756</t>
  </si>
  <si>
    <t>PTEN induced putative kinase 1</t>
  </si>
  <si>
    <t>ENSMUSG00000024170</t>
  </si>
  <si>
    <t>telomere maintenance 2</t>
  </si>
  <si>
    <t>ENSMUSG00000040520</t>
  </si>
  <si>
    <t>mannosidase, endo-alpha</t>
  </si>
  <si>
    <t>ENSMUSG00000030583</t>
  </si>
  <si>
    <t>signal-induced proliferation-associated 1 like 3</t>
  </si>
  <si>
    <t>ENSMUSG00000021359</t>
  </si>
  <si>
    <t>transcription factor AP-2, alpha</t>
  </si>
  <si>
    <t>ENSMUSG00000020029</t>
  </si>
  <si>
    <t>nudix (nucleoside diphosphate linked moiety X)-type motif 4</t>
  </si>
  <si>
    <t>ENSMUSG00000040997</t>
  </si>
  <si>
    <t>abhydrolase domain containing 4</t>
  </si>
  <si>
    <t>ENSMUSG00000020812</t>
  </si>
  <si>
    <t>RIKEN cDNA 1810032O08 gene</t>
  </si>
  <si>
    <t>ENSMUSG00000030279</t>
  </si>
  <si>
    <t>C2 calcium-dependent domain containing 5</t>
  </si>
  <si>
    <t>ENSMUSG00000030286</t>
  </si>
  <si>
    <t>ER membrane protein complex subunit 3</t>
  </si>
  <si>
    <t>ENSMUSG00000043716</t>
  </si>
  <si>
    <t>ribosomal protein L7</t>
  </si>
  <si>
    <t>ENSMUSG00000028194</t>
  </si>
  <si>
    <t>dimethylarginine dimethylaminohydrolase 1</t>
  </si>
  <si>
    <t>ENSMUSG00000021431</t>
  </si>
  <si>
    <t>small nuclear ribonucleoprotein 48 (U11/U12)</t>
  </si>
  <si>
    <t>ENSMUSG00000037225</t>
  </si>
  <si>
    <t>fibroblast growth factor 2</t>
  </si>
  <si>
    <t>ENSMUSG00000003623</t>
  </si>
  <si>
    <t>carnitine O-octanoyltransferase</t>
  </si>
  <si>
    <t>ENSMUSG00000056158</t>
  </si>
  <si>
    <t>carbonic anhydrase 10</t>
  </si>
  <si>
    <t>ENSMUSG00000000861</t>
  </si>
  <si>
    <t>B cell CLL/lymphoma 11A (zinc finger protein)</t>
  </si>
  <si>
    <t>ENSMUSG00000028809</t>
  </si>
  <si>
    <t>serine/arginine repetitive matrix 1</t>
  </si>
  <si>
    <t>ENSMUSG00000066037</t>
  </si>
  <si>
    <t>heterogeneous nuclear ribonucleoprotein R</t>
  </si>
  <si>
    <t>ENSMUSG00000020462</t>
  </si>
  <si>
    <t>cilia and flagella associated protein 36</t>
  </si>
  <si>
    <t>ENSMUSG00000049630</t>
  </si>
  <si>
    <t>C1q-like 3</t>
  </si>
  <si>
    <t>ENSMUSG00000022186</t>
  </si>
  <si>
    <t>3-oxoacid CoA transferase 1</t>
  </si>
  <si>
    <t>ENSMUSG00000036446</t>
  </si>
  <si>
    <t>lumican</t>
  </si>
  <si>
    <t>ENSMUSG00000029518</t>
  </si>
  <si>
    <t>RAB35, member RAS oncogene family</t>
  </si>
  <si>
    <t>ENSMUSG00000020019</t>
  </si>
  <si>
    <t>netrin 4</t>
  </si>
  <si>
    <t>ENSMUSG00000032525</t>
  </si>
  <si>
    <t>natural killer tumor recognition sequence</t>
  </si>
  <si>
    <t>ENSMUSG00000034997</t>
  </si>
  <si>
    <t>5-hydroxytryptamine (serotonin) receptor 2A</t>
  </si>
  <si>
    <t>ENSMUSG00000048332</t>
  </si>
  <si>
    <t>lipoma HMGIC fusion partner</t>
  </si>
  <si>
    <t>ENSMUSG00000015533</t>
  </si>
  <si>
    <t>integrin alpha 2</t>
  </si>
  <si>
    <t>ENSMUSG00000038256</t>
  </si>
  <si>
    <t>B cell CLL/lymphoma 9</t>
  </si>
  <si>
    <t>ENSMUSG00000024299</t>
  </si>
  <si>
    <t>a disintegrin-like and metallopeptidase (reprolysin type) with thrombospondin type 1 motif, 10</t>
  </si>
  <si>
    <t>ENSMUSG00000028456</t>
  </si>
  <si>
    <t>unc-13 homolog B (C. elegans)</t>
  </si>
  <si>
    <t>ENSMUSG00000020961</t>
  </si>
  <si>
    <t>stonin 2</t>
  </si>
  <si>
    <t>ENSMUSG00000053877</t>
  </si>
  <si>
    <t>Snf2-related CREBBP activator protein</t>
  </si>
  <si>
    <t>ENSMUSG00000054013</t>
  </si>
  <si>
    <t>transmembrane protein 179</t>
  </si>
  <si>
    <t>ENSMUSG00000040940</t>
  </si>
  <si>
    <t>Rho guanine nucleotide exchange factor (GEF) 1</t>
  </si>
  <si>
    <t>ENSMUSG00000032621</t>
  </si>
  <si>
    <t>splicing regulatory glutamine/lysine-rich protein 1</t>
  </si>
  <si>
    <t>ENSMUSG00000031617</t>
  </si>
  <si>
    <t>transmembrane protein 184C</t>
  </si>
  <si>
    <t>ENSMUSG00000001521</t>
  </si>
  <si>
    <t>tubby-like protein 3</t>
  </si>
  <si>
    <t>ENSMUSG00000061436</t>
  </si>
  <si>
    <t>homeodomain interacting protein kinase 2</t>
  </si>
  <si>
    <t>ENSMUSG00000049624</t>
  </si>
  <si>
    <t>solute carrier family 17 (anion/sugar transporter), member 5</t>
  </si>
  <si>
    <t>ENSMUSG00000063382</t>
  </si>
  <si>
    <t>B cell CLL/lymphoma 9-like</t>
  </si>
  <si>
    <t>ENSMUSG00000065822</t>
  </si>
  <si>
    <t>small nucleolar RNA, C/D box 15A</t>
  </si>
  <si>
    <t>ENSMUSG00000043439</t>
  </si>
  <si>
    <t>RIKEN cDNA E130012A19 gene</t>
  </si>
  <si>
    <t>ENSMUSG00000025986</t>
  </si>
  <si>
    <t>solute carrier family 39 (zinc transporter), member 10</t>
  </si>
  <si>
    <t>ENSMUSG00000068606</t>
  </si>
  <si>
    <t>predicted gene 4841</t>
  </si>
  <si>
    <t>ENSMUSG00000037624</t>
  </si>
  <si>
    <t>potassium channel, subfamily K, member 2</t>
  </si>
  <si>
    <t>ENSMUSG00000036751</t>
  </si>
  <si>
    <t>cytochrome c oxidase, subunit VIb polypeptide 1</t>
  </si>
  <si>
    <t>ENSMUSG00000020142</t>
  </si>
  <si>
    <t>solute carrier family 1 (glutamate/neutral amino acid transporter), member 4</t>
  </si>
  <si>
    <t>ENSMUSG00000055430</t>
  </si>
  <si>
    <t>nucleosome assembly protein 1-like 5</t>
  </si>
  <si>
    <t>ENSMUSG00000051817</t>
  </si>
  <si>
    <t>SRY (sex determining region Y)-box 12</t>
  </si>
  <si>
    <t>ENSMUSG00000027822</t>
  </si>
  <si>
    <t>solute carrier family 33 (acetyl-CoA transporter), member 1</t>
  </si>
  <si>
    <t>ENSMUSG00000026585</t>
  </si>
  <si>
    <t>kinesin-associated protein 3</t>
  </si>
  <si>
    <t>ENSMUSG00000042308</t>
  </si>
  <si>
    <t>SET domain containing 1A</t>
  </si>
  <si>
    <t>ENSMUSG00000037736</t>
  </si>
  <si>
    <t>LIM and calponin homology domains 1</t>
  </si>
  <si>
    <t>ENSMUSG00000027963</t>
  </si>
  <si>
    <t>exostoses (multiple)-like 2</t>
  </si>
  <si>
    <t>ENSMUSG00000037347</t>
  </si>
  <si>
    <t>carbohydrate (N-acetylglucosamino) sulfotransferase 7</t>
  </si>
  <si>
    <t>ENSMUSG00000003161</t>
  </si>
  <si>
    <t>sorcin</t>
  </si>
  <si>
    <t>ENSMUSG00000007415</t>
  </si>
  <si>
    <t>GATA zinc finger domain containing 1</t>
  </si>
  <si>
    <t>ENSMUSG00000041415</t>
  </si>
  <si>
    <t>dicer 1, ribonuclease type III</t>
  </si>
  <si>
    <t>ENSMUSG00000014786</t>
  </si>
  <si>
    <t>solute carrier family 9 (sodium/hydrogen exchanger), member 5</t>
  </si>
  <si>
    <t>ENSMUSG00000061273</t>
  </si>
  <si>
    <t>membrane magnesium transporter 1</t>
  </si>
  <si>
    <t>ENSMUSG00000018378</t>
  </si>
  <si>
    <t>RIKEN cDNA 2210416O15 gene</t>
  </si>
  <si>
    <t>CUE domain containing 1</t>
  </si>
  <si>
    <t>ENSMUSG00000027881</t>
  </si>
  <si>
    <t>PRP38 pre-mRNA processing factor 38 (yeast) domain containing B</t>
  </si>
  <si>
    <t>ENSMUSG00000027878</t>
  </si>
  <si>
    <t>notch 2</t>
  </si>
  <si>
    <t>ENSMUSG00000028358</t>
  </si>
  <si>
    <t>zinc finger protein 618</t>
  </si>
  <si>
    <t>ENSMUSG00000027012</t>
  </si>
  <si>
    <t>dynein cytoplasmic 1 intermediate chain 2</t>
  </si>
  <si>
    <t>ENSMUSG00000038323</t>
  </si>
  <si>
    <t>RIKEN cDNA 1700066M21 gene</t>
  </si>
  <si>
    <t>ENSMUSG00000061589</t>
  </si>
  <si>
    <t>DOT1-like, histone H3 methyltransferase (S. cerevisiae)</t>
  </si>
  <si>
    <t>ENSMUSG00000035835</t>
  </si>
  <si>
    <t>phospholipid phosphatase related 3</t>
  </si>
  <si>
    <t>ENSMUSG00000040321</t>
  </si>
  <si>
    <t>zinc finger protein 770</t>
  </si>
  <si>
    <t>ENSMUSG00000037826</t>
  </si>
  <si>
    <t>protein phosphatase 1K (PP2C domain containing)</t>
  </si>
  <si>
    <t>ENSMUSG00000037110</t>
  </si>
  <si>
    <t>Ral GTPase activating protein, alpha subunit 2 (catalytic)</t>
  </si>
  <si>
    <t>ENSMUSG00000055053</t>
  </si>
  <si>
    <t>nuclear factor I/C</t>
  </si>
  <si>
    <t>ENSMUSG00000024507</t>
  </si>
  <si>
    <t>hydroxysteroid (17-beta) dehydrogenase 4</t>
  </si>
  <si>
    <t>ENSMUSG00000031633</t>
  </si>
  <si>
    <t>solute carrier family 25 (mitochondrial carrier, adenine nucleotide translocator), member 4</t>
  </si>
  <si>
    <t>ENSMUSG00000098678</t>
  </si>
  <si>
    <t>maestro heat-like repeat family member 6</t>
  </si>
  <si>
    <t>ENSMUSG00000030281</t>
  </si>
  <si>
    <t>interleukin 17 receptor C</t>
  </si>
  <si>
    <t>ENSMUSG00000041235</t>
  </si>
  <si>
    <t>chromodomain helicase DNA binding protein 7</t>
  </si>
  <si>
    <t>ENSMUSG00000059326</t>
  </si>
  <si>
    <t>colony stimulating factor 2 receptor, alpha, low-affinity (granulocyte-macrophage)</t>
  </si>
  <si>
    <t>ENSMUSG00000031231</t>
  </si>
  <si>
    <t>cytochrome c oxidase subunit VIIb</t>
  </si>
  <si>
    <t>ENSMUSG00000061028</t>
  </si>
  <si>
    <t>CLK4-associating serine/arginine rich protein</t>
  </si>
  <si>
    <t>ENSMUSG00000031447</t>
  </si>
  <si>
    <t>lysosomal-associated membrane protein 1</t>
  </si>
  <si>
    <t>ENSMUSG00000050751</t>
  </si>
  <si>
    <t>piggyBac transposable element derived 5</t>
  </si>
  <si>
    <t>ENSMUSG00000007653</t>
  </si>
  <si>
    <t>gamma-aminobutyric acid (GABA) A receptor, subunit beta 2</t>
  </si>
  <si>
    <t>ENSMUSG00000067629</t>
  </si>
  <si>
    <t>synaptic Ras GTPase activating protein 1 homolog (rat)</t>
  </si>
  <si>
    <t>ENSMUSG00000042249</t>
  </si>
  <si>
    <t>G protein-coupled receptor kinase 3</t>
  </si>
  <si>
    <t>ENSMUSG00000058006</t>
  </si>
  <si>
    <t>midasin AAA ATPase 1</t>
  </si>
  <si>
    <t>ENSMUSG00000030519</t>
  </si>
  <si>
    <t>amyloid beta (A4) precursor protein-binding, family A, member 2</t>
  </si>
  <si>
    <t>ENSMUSG00000025780</t>
  </si>
  <si>
    <t>inter-alpha (globulin) inhibitor H5</t>
  </si>
  <si>
    <t>ENSMUSG00000024413</t>
  </si>
  <si>
    <t>Niemann-Pick type C1</t>
  </si>
  <si>
    <t>ENSMUSG00000063952</t>
  </si>
  <si>
    <t>bromodomain and PHD finger containing, 3</t>
  </si>
  <si>
    <t>ENSMUSG00000055491</t>
  </si>
  <si>
    <t>peroxisome proliferative activated receptor, gamma, coactivator-related 1</t>
  </si>
  <si>
    <t>ENSMUSG00000027303</t>
  </si>
  <si>
    <t>protein tyrosine phosphatase, receptor type, A</t>
  </si>
  <si>
    <t>ENSMUSG00000029823</t>
  </si>
  <si>
    <t>LUC7-like 2 (S. cerevisiae)</t>
  </si>
  <si>
    <t>ENSMUSG00000073468</t>
  </si>
  <si>
    <t>SFT2 domain containing 1</t>
  </si>
  <si>
    <t>ENSMUSG00000052298</t>
  </si>
  <si>
    <t>CDC42 small effector 2</t>
  </si>
  <si>
    <t>ENSMUSG00000031760</t>
  </si>
  <si>
    <t>metallothionein 3</t>
  </si>
  <si>
    <t>ENSMUSG00000020644</t>
  </si>
  <si>
    <t>inhibitor of DNA binding 2</t>
  </si>
  <si>
    <t>ENSMUSG00000036995</t>
  </si>
  <si>
    <t>ArfGAP with SH3 domain, ankyrin repeat and PH domain 3</t>
  </si>
  <si>
    <t>ENSMUSG00000056211</t>
  </si>
  <si>
    <t>R3H domain containing 1</t>
  </si>
  <si>
    <t>ENSMUSG00000031333</t>
  </si>
  <si>
    <t>ATP-binding cassette, sub-family B (MDR/TAP), member 7</t>
  </si>
  <si>
    <t>ENSMUSG00000031548</t>
  </si>
  <si>
    <t>secreted frizzled-related protein 1</t>
  </si>
  <si>
    <t>ENSMUSG00000086992</t>
  </si>
  <si>
    <t>predicted gene 15941</t>
  </si>
  <si>
    <t>ENSMUSG00000029838</t>
  </si>
  <si>
    <t>pleiotrophin</t>
  </si>
  <si>
    <t>ENSMUSG00000038252</t>
  </si>
  <si>
    <t>non-SMC condensin I complex, subunit D2</t>
  </si>
  <si>
    <t>ENSMUSG00000022504</t>
  </si>
  <si>
    <t>class II transactivator</t>
  </si>
  <si>
    <t>ENSMUSG00000039377</t>
  </si>
  <si>
    <t>H2.0-like homeobox</t>
  </si>
  <si>
    <t>ENSMUSG00000030161</t>
  </si>
  <si>
    <t>gamma-aminobutyric acid (GABA) A receptor-associated protein-like 1</t>
  </si>
  <si>
    <t>ENSMUSG00000056553</t>
  </si>
  <si>
    <t>protein tyrosine phosphatase, receptor type, N polypeptide 2</t>
  </si>
  <si>
    <t>ENSMUSG00000022211</t>
  </si>
  <si>
    <t>capping protein regulator and myosin 1 linker 3</t>
  </si>
  <si>
    <t>ENSMUSG00000049583</t>
  </si>
  <si>
    <t>glutamate receptor, metabotropic 5</t>
  </si>
  <si>
    <t>ENSMUSG00000033491</t>
  </si>
  <si>
    <t>protease, serine 35</t>
  </si>
  <si>
    <t>ENSMUSG00000039218</t>
  </si>
  <si>
    <t>serine/arginine repetitive matrix 2</t>
  </si>
  <si>
    <t>ENSMUSG00000016200</t>
  </si>
  <si>
    <t>synaptotagmin XIV</t>
  </si>
  <si>
    <t>ENSMUSG00000027985</t>
  </si>
  <si>
    <t>lymphoid enhancer binding factor 1</t>
  </si>
  <si>
    <t>ENSMUSG00000018537</t>
  </si>
  <si>
    <t>polycomb group ring finger 2</t>
  </si>
  <si>
    <t>ENSMUSG00000004771</t>
  </si>
  <si>
    <t>RAB11A, member RAS oncogene family</t>
  </si>
  <si>
    <t>ENSMUSG00000042812</t>
  </si>
  <si>
    <t>forkhead box F1</t>
  </si>
  <si>
    <t>ENSMUSG00000006567</t>
  </si>
  <si>
    <t>ATPase, Cu++ transporting, beta polypeptide</t>
  </si>
  <si>
    <t>ENSMUSG00000035632</t>
  </si>
  <si>
    <t>CCR4-NOT transcription complex, subunit 3</t>
  </si>
  <si>
    <t>ENSMUSG00000034522</t>
  </si>
  <si>
    <t>zinc finger protein 395</t>
  </si>
  <si>
    <t>ENSMUSG00000034320</t>
  </si>
  <si>
    <t>solute carrier family 26 (sulfate transporter), member 2</t>
  </si>
  <si>
    <t>ENSMUSG00000007656</t>
  </si>
  <si>
    <t>cAMP-regulated phosphoprotein 19</t>
  </si>
  <si>
    <t>ENSMUSG00000033253</t>
  </si>
  <si>
    <t>seizure threshold 2</t>
  </si>
  <si>
    <t>ENSMUSG00000034353</t>
  </si>
  <si>
    <t>receptor (calcitonin) activity modifying protein 1</t>
  </si>
  <si>
    <t>ENSMUSG00000028673</t>
  </si>
  <si>
    <t>fucosidase, alpha-L- 1, tissue</t>
  </si>
  <si>
    <t>ENSMUSG00000028546</t>
  </si>
  <si>
    <t>ELAV (embryonic lethal, abnormal vision, Drosophila)-like 4 (Hu antigen D)</t>
  </si>
  <si>
    <t>ENSMUSG00000024091</t>
  </si>
  <si>
    <t>vesicle-associated membrane protein, associated protein A</t>
  </si>
  <si>
    <t>ENSMUSG00000052942</t>
  </si>
  <si>
    <t>GLIS family zinc finger 3</t>
  </si>
  <si>
    <t>ENSMUSG00000002227</t>
  </si>
  <si>
    <t>Moloney leukemia virus 10</t>
  </si>
  <si>
    <t>ENSMUSG00000029381</t>
  </si>
  <si>
    <t>shroom family member 3</t>
  </si>
  <si>
    <t>ENSMUSG00000025026</t>
  </si>
  <si>
    <t>adducin 3 (gamma)</t>
  </si>
  <si>
    <t>ENSMUSG00000025781</t>
  </si>
  <si>
    <t>ATP synthase, H+ transporting, mitochondrial F1 complex, gamma polypeptide 1</t>
  </si>
  <si>
    <t>ENSMUSG00000021477</t>
  </si>
  <si>
    <t>cathepsin L</t>
  </si>
  <si>
    <t>ENSMUSG00000015852</t>
  </si>
  <si>
    <t>Fc receptor-like S, scavenger receptor</t>
  </si>
  <si>
    <t>ENSMUSG00000004263</t>
  </si>
  <si>
    <t>atrophin 1</t>
  </si>
  <si>
    <t>ENSMUSG00000039512</t>
  </si>
  <si>
    <t>UHRF1 (ICBP90) binding protein 1</t>
  </si>
  <si>
    <t>ENSMUSG00000038766</t>
  </si>
  <si>
    <t>GA repeat binding protein, beta 2</t>
  </si>
  <si>
    <t>ENSMUSG00000059323</t>
  </si>
  <si>
    <t>tonsoku-like, DNA repair protein</t>
  </si>
  <si>
    <t>vacuolar protein sorting 28</t>
  </si>
  <si>
    <t>ENSMUSG00000018983</t>
  </si>
  <si>
    <t>E2F transcription factor 2</t>
  </si>
  <si>
    <t>ENSMUSG00000004096</t>
  </si>
  <si>
    <t>CWC15 spliceosome-associated protein</t>
  </si>
  <si>
    <t>ENSMUSG00000029290</t>
  </si>
  <si>
    <t>zinc finger protein 326</t>
  </si>
  <si>
    <t>ENSMUSG00000021917</t>
  </si>
  <si>
    <t>signal peptidase complex subunit 1 homolog (S. cerevisiae)</t>
  </si>
  <si>
    <t>ENSMUSG00000031591</t>
  </si>
  <si>
    <t>N-acylsphingosine amidohydrolase 1</t>
  </si>
  <si>
    <t>ENSMUSG00000103707</t>
  </si>
  <si>
    <t>protocadherin alpha 6</t>
  </si>
  <si>
    <t>ENSMUSG00000050908</t>
  </si>
  <si>
    <t>trans-golgi network vesicle protein 23A</t>
  </si>
  <si>
    <t>ENSMUSG00000062729</t>
  </si>
  <si>
    <t>protoporphyrinogen oxidase</t>
  </si>
  <si>
    <t>ENSMUSG00000029163</t>
  </si>
  <si>
    <t>elastin microfibril interfacer 1</t>
  </si>
  <si>
    <t>ENSMUSG00000022477</t>
  </si>
  <si>
    <t>aconitase 2, mitochondrial</t>
  </si>
  <si>
    <t>ENSMUSG00000045659</t>
  </si>
  <si>
    <t>pleckstrin homology domain containing, family A member 7</t>
  </si>
  <si>
    <t>ENSMUSG00000029062</t>
  </si>
  <si>
    <t>cyclin-dependent kinase 11B</t>
  </si>
  <si>
    <t>ENSMUSG00000061607</t>
  </si>
  <si>
    <t>mediator of DNA damage checkpoint 1</t>
  </si>
  <si>
    <t>ENSMUSG00000048264</t>
  </si>
  <si>
    <t>disco interacting protein 2 homolog C</t>
  </si>
  <si>
    <t>ENSMUSG00000069911</t>
  </si>
  <si>
    <t>family with sequence similarity 196, member B</t>
  </si>
  <si>
    <t>ENSMUSG00000060002</t>
  </si>
  <si>
    <t>choline phosphotransferase 1</t>
  </si>
  <si>
    <t>ENSMUSG00000062115</t>
  </si>
  <si>
    <t>retinoic acid induced 1</t>
  </si>
  <si>
    <t>ENSMUSG00000017831</t>
  </si>
  <si>
    <t>RAB5A, member RAS oncogene family</t>
  </si>
  <si>
    <t>ENSMUSG00000039477</t>
  </si>
  <si>
    <t>trinucleotide repeat containing 18</t>
  </si>
  <si>
    <t>ENSMUSG00000026468</t>
  </si>
  <si>
    <t>LIM homeobox protein 4</t>
  </si>
  <si>
    <t>ENSMUSG00000019998</t>
  </si>
  <si>
    <t>syntaxin 7</t>
  </si>
  <si>
    <t>ENSMUSG00000032030</t>
  </si>
  <si>
    <t>cullin 5</t>
  </si>
  <si>
    <t>ENSMUSG00000047793</t>
  </si>
  <si>
    <t>sushi, nidogen and EGF-like domains 1</t>
  </si>
  <si>
    <t>ENSMUSG00000022887</t>
  </si>
  <si>
    <t>mannan-binding lectin serine peptidase 1</t>
  </si>
  <si>
    <t>ENSMUSG00000030780</t>
  </si>
  <si>
    <t>cDNA sequence BC017158</t>
  </si>
  <si>
    <t>ENSMUSG00000037306</t>
  </si>
  <si>
    <t>mannosidase, alpha, class 1C, member 1</t>
  </si>
  <si>
    <t>ENSMUSG00000062014</t>
  </si>
  <si>
    <t>glia maturation factor, beta</t>
  </si>
  <si>
    <t>ENSMUSG00000104318</t>
  </si>
  <si>
    <t>protocadherin alpha 7</t>
  </si>
  <si>
    <t>ENSMUSG00000015484</t>
  </si>
  <si>
    <t>family with sequence similarity 163, member A</t>
  </si>
  <si>
    <t>ENSMUSG00000030223</t>
  </si>
  <si>
    <t>protein tyrosine phosphatase, receptor type, O</t>
  </si>
  <si>
    <t>ENSMUSG00000024143</t>
  </si>
  <si>
    <t>ras homolog family member Q</t>
  </si>
  <si>
    <t>ENSMUSG00000038633</t>
  </si>
  <si>
    <t>delta(4)-desaturase, sphingolipid 1</t>
  </si>
  <si>
    <t>ENSMUSG00000032637</t>
  </si>
  <si>
    <t>ataxin 2-like</t>
  </si>
  <si>
    <t>ENSMUSG00000002799</t>
  </si>
  <si>
    <t>jagged 2</t>
  </si>
  <si>
    <t>ENSMUSG00000037649</t>
  </si>
  <si>
    <t>histocompatibility 2, class II, locus DMa</t>
  </si>
  <si>
    <t>ENSMUSG00000031703</t>
  </si>
  <si>
    <t>integrin alpha FG-GAP repeat containing 1</t>
  </si>
  <si>
    <t>ENSMUSG00000027634</t>
  </si>
  <si>
    <t>N-myc downstream regulated gene 3</t>
  </si>
  <si>
    <t>ENSMUSG00000027570</t>
  </si>
  <si>
    <t>collagen, type IX, alpha 3</t>
  </si>
  <si>
    <t>ENSMUSG00000026516</t>
  </si>
  <si>
    <t>nuclear VCP-like</t>
  </si>
  <si>
    <t>ENSMUSG00000021458</t>
  </si>
  <si>
    <t>RIKEN cDNA 2010111I01 gene</t>
  </si>
  <si>
    <t>ENSMUSG00000014813</t>
  </si>
  <si>
    <t>stanniocalcin 1</t>
  </si>
  <si>
    <t>ENSMUSG00000002028</t>
  </si>
  <si>
    <t>lysine (K)-specific methyltransferase 2A</t>
  </si>
  <si>
    <t>ENSMUSG00000036098</t>
  </si>
  <si>
    <t>myelin regulatory factor</t>
  </si>
  <si>
    <t>ENSMUSG00000028127</t>
  </si>
  <si>
    <t>ATP-binding cassette, sub-family D (ALD), member 3</t>
  </si>
  <si>
    <t>ENSMUSG00000033737</t>
  </si>
  <si>
    <t>fibronectin type III domain containing 3C1</t>
  </si>
  <si>
    <t>ENSMUSG00000027582</t>
  </si>
  <si>
    <t>zinc finger, CCCH-type with G patch domain</t>
  </si>
  <si>
    <t>ENSMUSG00000029068</t>
  </si>
  <si>
    <t>cyclin L2</t>
  </si>
  <si>
    <t>ENSMUSG00000020349</t>
  </si>
  <si>
    <t>protein phosphatase 2 (formerly 2A), catalytic subunit, alpha isoform</t>
  </si>
  <si>
    <t>ENSMUSG00000032118</t>
  </si>
  <si>
    <t>fasciculation and elongation protein zeta 1 (zygin I)</t>
  </si>
  <si>
    <t>ENSMUSG00000037243</t>
  </si>
  <si>
    <t>zinc finger protein 692</t>
  </si>
  <si>
    <t>ENSMUSG00000025145</t>
  </si>
  <si>
    <t>leucine rich repeat containing 45</t>
  </si>
  <si>
    <t>ENSMUSG00000000078</t>
  </si>
  <si>
    <t>Kruppel-like factor 6</t>
  </si>
  <si>
    <t>ENSMUSG00000029840</t>
  </si>
  <si>
    <t>myotrophin</t>
  </si>
  <si>
    <t>ENSMUSG00000051844</t>
  </si>
  <si>
    <t>RIKEN cDNA B230319C09 gene</t>
  </si>
  <si>
    <t>ENSMUSG00000010608</t>
  </si>
  <si>
    <t>RNA binding motif protein 25</t>
  </si>
  <si>
    <t>ENSMUSG00000020627</t>
  </si>
  <si>
    <t>kelch-like 29</t>
  </si>
  <si>
    <t>ENSMUSG00000015932</t>
  </si>
  <si>
    <t>destrin</t>
  </si>
  <si>
    <t>ENSMUSG00000035299</t>
  </si>
  <si>
    <t>midline 1</t>
  </si>
  <si>
    <t>ENSMUSG00000030409</t>
  </si>
  <si>
    <t>dystrophia myotonica-protein kinase</t>
  </si>
  <si>
    <t>ENSMUSG00000034312</t>
  </si>
  <si>
    <t>IQ motif and Sec7 domain 1</t>
  </si>
  <si>
    <t>ENSMUSG00000012017</t>
  </si>
  <si>
    <t>scavenger receptor class F, member 2</t>
  </si>
  <si>
    <t>ENSMUSG00000044641</t>
  </si>
  <si>
    <t>par-6 family cell polarity regulator beta</t>
  </si>
  <si>
    <t>ENSMUSG00000051278</t>
  </si>
  <si>
    <t>zinc finger, GRF-type containing 1</t>
  </si>
  <si>
    <t>ENSMUSG00000085886</t>
  </si>
  <si>
    <t>RIKEN cDNA D030047H15 gene</t>
  </si>
  <si>
    <t>ENSMUSG00000036882</t>
  </si>
  <si>
    <t>Rho GTPase activating protein 33</t>
  </si>
  <si>
    <t>ENSMUSG00000048997</t>
  </si>
  <si>
    <t>ataxin 7-like 2</t>
  </si>
  <si>
    <t>ENSMUSG00000011158</t>
  </si>
  <si>
    <t>BRF1, RNA polymerase III transcription initiation factor 90 kDa subunit</t>
  </si>
  <si>
    <t>ENSMUSG00000020412</t>
  </si>
  <si>
    <t>activating signal cointegrator 1 complex subunit 2</t>
  </si>
  <si>
    <t>ENSMUSG00000020386</t>
  </si>
  <si>
    <t>secretion associated Ras related GTPase 1B</t>
  </si>
  <si>
    <t>ENSMUSG00000032534</t>
  </si>
  <si>
    <t>centrosomal protein 63</t>
  </si>
  <si>
    <t>ENSMUSG00000021767</t>
  </si>
  <si>
    <t>K(lysine) acetyltransferase 6B</t>
  </si>
  <si>
    <t>ENSMUSG00000029465</t>
  </si>
  <si>
    <t>actin related protein 2/3 complex, subunit 3</t>
  </si>
  <si>
    <t>ENSMUSG00000049612</t>
  </si>
  <si>
    <t>oligodendrocyte myelin glycoprotein</t>
  </si>
  <si>
    <t>ENSMUSG00000040164</t>
  </si>
  <si>
    <t>K+ voltage-gated channel, subfamily S, 1</t>
  </si>
  <si>
    <t>ENSMUSG00000027075</t>
  </si>
  <si>
    <t>solute carrier family 43, member 1</t>
  </si>
  <si>
    <t>ENSMUSG00000051331</t>
  </si>
  <si>
    <t>calcium channel, voltage-dependent, L type, alpha 1C subunit</t>
  </si>
  <si>
    <t>ENSMUSG00000067194</t>
  </si>
  <si>
    <t>eukaryotic translation initiation factor 1A, X-linked</t>
  </si>
  <si>
    <t>ENSMUSG00000026893</t>
  </si>
  <si>
    <t>grancalcin</t>
  </si>
  <si>
    <t>ENSMUSG00000022994</t>
  </si>
  <si>
    <t>adenylate cyclase 6</t>
  </si>
  <si>
    <t>ENSMUSG00000037138</t>
  </si>
  <si>
    <t>AF4/FMR2 family, member 3</t>
  </si>
  <si>
    <t>ENSMUSG00000020140</t>
  </si>
  <si>
    <t>leucine rich repeat containing G protein coupled receptor 5</t>
  </si>
  <si>
    <t>ENSMUSG00000021143</t>
  </si>
  <si>
    <t>phosphofurin acidic cluster sorting protein 2</t>
  </si>
  <si>
    <t>ENSMUSG00000025813</t>
  </si>
  <si>
    <t>homer scaffolding protein 2</t>
  </si>
  <si>
    <t>ENSMUSG00000028438</t>
  </si>
  <si>
    <t>kinesin family member 24</t>
  </si>
  <si>
    <t>ENSMUSG00000079491</t>
  </si>
  <si>
    <t>histocompatibility 2, T region locus 10</t>
  </si>
  <si>
    <t>ENSMUSG00000001847</t>
  </si>
  <si>
    <t>RAS-related C3 botulinum substrate 1</t>
  </si>
  <si>
    <t>ENSMUSG00000019804</t>
  </si>
  <si>
    <t>sorting nexin 3</t>
  </si>
  <si>
    <t>ENSMUSG00000030105</t>
  </si>
  <si>
    <t>ADP-ribosylation factor-like 8B</t>
  </si>
  <si>
    <t>ENSMUSG00000027010</t>
  </si>
  <si>
    <t>solute carrier family 25 (mitochondrial carrier, Aralar), member 12</t>
  </si>
  <si>
    <t>ENSMUSG00000039298</t>
  </si>
  <si>
    <t>CDK5 regulatory subunit associated protein 2</t>
  </si>
  <si>
    <t>ENSMUSG00000049691</t>
  </si>
  <si>
    <t>NK3 homeobox 2</t>
  </si>
  <si>
    <t>ENSMUSG00000030795</t>
  </si>
  <si>
    <t>fused in sarcoma</t>
  </si>
  <si>
    <t>ENSMUSG00000076432</t>
  </si>
  <si>
    <t>tyrosine 3-monooxygenase/tryptophan 5-monooxygenase activation protein, theta polypeptide</t>
  </si>
  <si>
    <t>ENSMUSG00000067377</t>
  </si>
  <si>
    <t>tetraspanin 6</t>
  </si>
  <si>
    <t>ENSMUSG00000030551</t>
  </si>
  <si>
    <t>nuclear receptor subfamily 2, group F, member 2</t>
  </si>
  <si>
    <t>ENSMUSG00000019210</t>
  </si>
  <si>
    <t>ATPase, H+ transporting, lysosomal V1 subunit E1</t>
  </si>
  <si>
    <t>ENSMUSG00000022514</t>
  </si>
  <si>
    <t>interleukin 1 receptor accessory protein</t>
  </si>
  <si>
    <t>ENSMUSG00000021182</t>
  </si>
  <si>
    <t>coiled-coil domain containing 88C</t>
  </si>
  <si>
    <t>ENSMUSG00000020427</t>
  </si>
  <si>
    <t>insulin-like growth factor binding protein 3</t>
  </si>
  <si>
    <t>ENSMUSG00000017412</t>
  </si>
  <si>
    <t>calcium channel, voltage-dependent, beta 4 subunit</t>
  </si>
  <si>
    <t>ENSMUSG00000039361</t>
  </si>
  <si>
    <t>phosphatidylinositol binding clathrin assembly protein</t>
  </si>
  <si>
    <t>ENSMUSG00000034762</t>
  </si>
  <si>
    <t>GLIS family zinc finger 1</t>
  </si>
  <si>
    <t>ENSMUSG00000038738</t>
  </si>
  <si>
    <t>SH3/ankyrin domain gene 1</t>
  </si>
  <si>
    <t>ENSMUSG00000071180</t>
  </si>
  <si>
    <t>small integral membrane protein 15</t>
  </si>
  <si>
    <t>ENSMUSG00000038708</t>
  </si>
  <si>
    <t>golgi autoantigen, golgin subfamily a, 4</t>
  </si>
  <si>
    <t>ENSMUSG00000004558</t>
  </si>
  <si>
    <t>N-myc downstream regulated gene 2</t>
  </si>
  <si>
    <t>ENSMUSG00000057110</t>
  </si>
  <si>
    <t>centriolin</t>
  </si>
  <si>
    <t>ENSMUSG00000022091</t>
  </si>
  <si>
    <t>sorbin and SH3 domain containing 3</t>
  </si>
  <si>
    <t>ENSMUSG00000037032</t>
  </si>
  <si>
    <t>amyloid beta (A4) precursor protein-binding, family B, member 1</t>
  </si>
  <si>
    <t>ENSMUSG00000029439</t>
  </si>
  <si>
    <t>splicing factor, suppressor of white-apricot homolog (Drosophila)</t>
  </si>
  <si>
    <t>ENSMUSG00000030757</t>
  </si>
  <si>
    <t>zinc finger with KRAB and SCAN domains 2</t>
  </si>
  <si>
    <t>ENSMUSG00000066191</t>
  </si>
  <si>
    <t>ankyrin repeat and sterile alpha motif domain containing 6</t>
  </si>
  <si>
    <t>ENSMUSG00000024084</t>
  </si>
  <si>
    <t>glutaminyl-peptide cyclotransferase (glutaminyl cyclase)</t>
  </si>
  <si>
    <t>ENSMUSG00000022952</t>
  </si>
  <si>
    <t>runt related transcription factor 1</t>
  </si>
  <si>
    <t>ENSMUSG00000031647</t>
  </si>
  <si>
    <t>microfibrillar-associated protein 3-like</t>
  </si>
  <si>
    <t>ENSMUSG00000039934</t>
  </si>
  <si>
    <t>gamma-secretase activating protein</t>
  </si>
  <si>
    <t>ENSMUSG00000000197</t>
  </si>
  <si>
    <t>sodium leak channel, non-selective</t>
  </si>
  <si>
    <t>ENSMUSG00000029632</t>
  </si>
  <si>
    <t>NADH dehydrogenase (ubiquinone) 1 alpha subcomplex, 4</t>
  </si>
  <si>
    <t>ENSMUSG00000037419</t>
  </si>
  <si>
    <t>endonuclease domain containing 1</t>
  </si>
  <si>
    <t>ENSMUSG00000004562</t>
  </si>
  <si>
    <t>Rho guanine nucleotide exchange factor (GEF) 40</t>
  </si>
  <si>
    <t>ENSMUSG00000047242</t>
  </si>
  <si>
    <t>TATA-box binding protein associated factor 9B</t>
  </si>
  <si>
    <t>ENSMUSG00000029250</t>
  </si>
  <si>
    <t>polymerase (RNA) II (DNA directed) polypeptide B</t>
  </si>
  <si>
    <t>ENSMUSG00000078302</t>
  </si>
  <si>
    <t>forkhead box D1</t>
  </si>
  <si>
    <t>ENSMUSG00000014158</t>
  </si>
  <si>
    <t>transient receptor potential cation channel, subfamily V, member 4</t>
  </si>
  <si>
    <t>ENSMUSG00000029635</t>
  </si>
  <si>
    <t>cyclin-dependent kinase 8</t>
  </si>
  <si>
    <t>ENSMUSG00000026648</t>
  </si>
  <si>
    <t>DNA cross-link repair 1C</t>
  </si>
  <si>
    <t>ENSMUSG00000004815</t>
  </si>
  <si>
    <t>diacylglycerol kinase, theta</t>
  </si>
  <si>
    <t>ENSMUSG00000081769</t>
  </si>
  <si>
    <t>predicted gene 12216</t>
  </si>
  <si>
    <t>ENSMUSG00000026307</t>
  </si>
  <si>
    <t>selenocysteine lyase</t>
  </si>
  <si>
    <t>ENSMUSG00000029571</t>
  </si>
  <si>
    <t>transmembrane protein 106B</t>
  </si>
  <si>
    <t>ENSMUSG00000036246</t>
  </si>
  <si>
    <t>Gem-interacting protein</t>
  </si>
  <si>
    <t>ENSMUSG00000027490</t>
  </si>
  <si>
    <t>E2F transcription factor 1</t>
  </si>
  <si>
    <t>ENSMUSG00000072964</t>
  </si>
  <si>
    <t>basic helix-loop-helix domain containing, class B9</t>
  </si>
  <si>
    <t>ENSMUSG00000028804</t>
  </si>
  <si>
    <t>CUB and Sushi multiple domains 2</t>
  </si>
  <si>
    <t>ENSMUSG00000031930</t>
  </si>
  <si>
    <t>WW domain containing E3 ubiquitin protein ligase 2</t>
  </si>
  <si>
    <t>ENSMUSG00000043430</t>
  </si>
  <si>
    <t>prosaposin-like 1</t>
  </si>
  <si>
    <t>ENSMUSG00000014778</t>
  </si>
  <si>
    <t>formin homology 2 domain containing 1</t>
  </si>
  <si>
    <t>ENSMUSG00000010461</t>
  </si>
  <si>
    <t>EYA transcriptional coactivator and phosphatase 4</t>
  </si>
  <si>
    <t>ENSMUSG00000032596</t>
  </si>
  <si>
    <t>ubiquitin-like modifier activating enzyme 7</t>
  </si>
  <si>
    <t>ENSMUSG00000027865</t>
  </si>
  <si>
    <t>ganglioside-induced differentiation-associated-protein 2</t>
  </si>
  <si>
    <t>ENSMUSG00000097471</t>
  </si>
  <si>
    <t>RIKEN cDNA 5830432E09 gene</t>
  </si>
  <si>
    <t>ENSMUSG00000030246</t>
  </si>
  <si>
    <t>lactate dehydrogenase B</t>
  </si>
  <si>
    <t>ENSMUSG00000020598</t>
  </si>
  <si>
    <t>neuronal cell adhesion molecule</t>
  </si>
  <si>
    <t>ENSMUSG00000017485</t>
  </si>
  <si>
    <t>topoisomerase (DNA) II beta</t>
  </si>
  <si>
    <t>ENSMUSG00000022974</t>
  </si>
  <si>
    <t>PAX3 and PAX7 binding protein 1</t>
  </si>
  <si>
    <t>ENSMUSG00000035842</t>
  </si>
  <si>
    <t>DEAD/H (Asp-Glu-Ala-Asp/His) box helicase 11</t>
  </si>
  <si>
    <t>ENSMUSG00000041645</t>
  </si>
  <si>
    <t>DEAD (Asp-Glu-Ala-Asp) box polypeptide 24</t>
  </si>
  <si>
    <t>ENSMUSG00000025876</t>
  </si>
  <si>
    <t>unc-5 netrin receptor A</t>
  </si>
  <si>
    <t>ENSMUSG00000103948</t>
  </si>
  <si>
    <t>G1 to S phase transition pseudogene</t>
  </si>
  <si>
    <t>ENSMUSG00000005958</t>
  </si>
  <si>
    <t>Eph receptor B3</t>
  </si>
  <si>
    <t>ENSMUSG00000040649</t>
  </si>
  <si>
    <t>ribosomal modification protein rimK-like family member B</t>
  </si>
  <si>
    <t>ENSMUSG00000047909</t>
  </si>
  <si>
    <t>ankyrin repeat domain 16</t>
  </si>
  <si>
    <t>ENSMUSG00000020935</t>
  </si>
  <si>
    <t>dephospho-CoA kinase domain containing</t>
  </si>
  <si>
    <t>ENSMUSG00000047187</t>
  </si>
  <si>
    <t>RAB2A, member RAS oncogene family</t>
  </si>
  <si>
    <t>ENSMUSG00000020385</t>
  </si>
  <si>
    <t>CDC like kinase 4</t>
  </si>
  <si>
    <t>ENSMUSG00000035725</t>
  </si>
  <si>
    <t>protein kinase, X-linked</t>
  </si>
  <si>
    <t>ENSMUSG00000075700</t>
  </si>
  <si>
    <t>selenoprotein T</t>
  </si>
  <si>
    <t>ENSMUSG00000034164</t>
  </si>
  <si>
    <t>EMI domain containing 1</t>
  </si>
  <si>
    <t>ENSMUSG00000040054</t>
  </si>
  <si>
    <t>bromodomain adjacent to zinc finger domain, 2A</t>
  </si>
  <si>
    <t>ENSMUSG00000037999</t>
  </si>
  <si>
    <t>ArfGAP with RhoGAP domain, ankyrin repeat and PH domain 2</t>
  </si>
  <si>
    <t>ENSMUSG00000042447</t>
  </si>
  <si>
    <t>missing oocyte, meiosis regulator, homolog (Drosophila)</t>
  </si>
  <si>
    <t>ENSMUSG00000062169</t>
  </si>
  <si>
    <t>cornichon family AMPA receptor auxiliary protein 4</t>
  </si>
  <si>
    <t>ENSMUSG00000032782</t>
  </si>
  <si>
    <t>centrobin, centrosomal BRCA2 interacting protein</t>
  </si>
  <si>
    <t>ENSMUSG00000051451</t>
  </si>
  <si>
    <t>CREB/ATF bZIP transcription factor</t>
  </si>
  <si>
    <t>ENSMUSG00000032324</t>
  </si>
  <si>
    <t>tetraspanin 3</t>
  </si>
  <si>
    <t>ENSMUSG00000044471</t>
  </si>
  <si>
    <t>long non-protein coding RNA, Trp53 induced transcript</t>
  </si>
  <si>
    <t>ENSMUSG00000028838</t>
  </si>
  <si>
    <t>exostoses (multiple)-like 1</t>
  </si>
  <si>
    <t>ENSMUSG00000033544</t>
  </si>
  <si>
    <t>angiopoietin-like 1</t>
  </si>
  <si>
    <t>ENSMUSG00000056596</t>
  </si>
  <si>
    <t>TMF1-regulated nuclear protein 1</t>
  </si>
  <si>
    <t>ENSMUSG00000028879</t>
  </si>
  <si>
    <t>syntaxin 12</t>
  </si>
  <si>
    <t>ENSMUSG00000062822</t>
  </si>
  <si>
    <t>RIKEN cDNA 4833420G17 gene</t>
  </si>
  <si>
    <t>ENSMUSG00000029168</t>
  </si>
  <si>
    <t>dihydropyrimidinase-like 5</t>
  </si>
  <si>
    <t>ENSMUSG00000041757</t>
  </si>
  <si>
    <t>pleckstrin homology domain containing, family A member 6</t>
  </si>
  <si>
    <t>ENSMUSG00000025964</t>
  </si>
  <si>
    <t>a disintegrin and metallopeptidase domain 23</t>
  </si>
  <si>
    <t>ENSMUSG00000025019</t>
  </si>
  <si>
    <t>ligand dependent nuclear receptor corepressor</t>
  </si>
  <si>
    <t>ENSMUSG00000097242</t>
  </si>
  <si>
    <t>predicted gene, 16907</t>
  </si>
  <si>
    <t>ENSMUSG00000025979</t>
  </si>
  <si>
    <t>MOB family member 4, phocein</t>
  </si>
  <si>
    <t>ENSMUSG00000020257</t>
  </si>
  <si>
    <t>WD repeat domain containing 82</t>
  </si>
  <si>
    <t>ENSMUSG00000044783</t>
  </si>
  <si>
    <t>RIKEN cDNA A730008H23 gene</t>
  </si>
  <si>
    <t>Holliday junction recognition protein</t>
  </si>
  <si>
    <t>ENSMUSG00000045092</t>
  </si>
  <si>
    <t>sphingosine-1-phosphate receptor 1</t>
  </si>
  <si>
    <t>ENSMUSG00000020297</t>
  </si>
  <si>
    <t>neuron specific gene family member 2</t>
  </si>
  <si>
    <t>ENSMUSG00000102312</t>
  </si>
  <si>
    <t>protocadherin alpha 3</t>
  </si>
  <si>
    <t>ENSMUSG00000027809</t>
  </si>
  <si>
    <t>electron transferring flavoprotein, dehydrogenase</t>
  </si>
  <si>
    <t>ENSMUSG00000032688</t>
  </si>
  <si>
    <t>MALT1 paracaspase</t>
  </si>
  <si>
    <t>ENSMUSG00000029674</t>
  </si>
  <si>
    <t>LIM-domain containing, protein kinase</t>
  </si>
  <si>
    <t>ENSMUSG00000040351</t>
  </si>
  <si>
    <t>ankyrin repeat and IBR domain containing 1</t>
  </si>
  <si>
    <t>ENSMUSG00000054252</t>
  </si>
  <si>
    <t>fibroblast growth factor receptor 3</t>
  </si>
  <si>
    <t>ENSMUSG00000030059</t>
  </si>
  <si>
    <t>TATA element modulatory factor 1</t>
  </si>
  <si>
    <t>ENSMUSG00000005312</t>
  </si>
  <si>
    <t>ubiquilin 1</t>
  </si>
  <si>
    <t>ENSMUSG00000044117</t>
  </si>
  <si>
    <t>RIKEN cDNA 2900011O08 gene</t>
  </si>
  <si>
    <t>ENSMUSG00000028351</t>
  </si>
  <si>
    <t>bone morphogenic protein/retinoic acid inducible neural specific 1</t>
  </si>
  <si>
    <t>ENSMUSG00000046591</t>
  </si>
  <si>
    <t>TOPBP1-interacting checkpoint and replication regulator</t>
  </si>
  <si>
    <t>ENSMUSG00000028128</t>
  </si>
  <si>
    <t>coagulation factor III</t>
  </si>
  <si>
    <t>ENSMUSG00000027286</t>
  </si>
  <si>
    <t>leucine rich repeat containing 57</t>
  </si>
  <si>
    <t>ENSMUSG00000037235</t>
  </si>
  <si>
    <t>Max dimerization protein 4</t>
  </si>
  <si>
    <t>ENSMUSG00000043091</t>
  </si>
  <si>
    <t>tubulin, alpha 1C</t>
  </si>
  <si>
    <t>ENSMUSG00000020864</t>
  </si>
  <si>
    <t>ankyrin repeat domain 40</t>
  </si>
  <si>
    <t>ENSMUSG00000060671</t>
  </si>
  <si>
    <t>ATPase, class I, type 8B, member 2</t>
  </si>
  <si>
    <t>ENSMUSG00000040990</t>
  </si>
  <si>
    <t>SH3-domain kinase binding protein 1</t>
  </si>
  <si>
    <t>ENSMUSG00000037692</t>
  </si>
  <si>
    <t>AT hook, DNA binding motif, containing 1</t>
  </si>
  <si>
    <t>ENSMUSG00000072235</t>
  </si>
  <si>
    <t>tubulin, alpha 1A</t>
  </si>
  <si>
    <t>ENSMUSG00000022403</t>
  </si>
  <si>
    <t>suppression of tumorigenicity 13</t>
  </si>
  <si>
    <t>ENSMUSG00000039470</t>
  </si>
  <si>
    <t>zinc finger, DHHC domain containing 2</t>
  </si>
  <si>
    <t>ENSMUSG00000073147</t>
  </si>
  <si>
    <t>RIKEN cDNA 5031425E22 gene</t>
  </si>
  <si>
    <t>ENSMUSG00000033767</t>
  </si>
  <si>
    <t>RIKEN cDNA D930015E06 gene</t>
  </si>
  <si>
    <t>ENSMUSG00000016128</t>
  </si>
  <si>
    <t>StAR-related lipid transfer (START) domain containing 13</t>
  </si>
  <si>
    <t>ENSMUSG00000035799</t>
  </si>
  <si>
    <t>twist basic helix-loop-helix transcription factor 1</t>
  </si>
  <si>
    <t>ENSMUSG00000000085</t>
  </si>
  <si>
    <t>sex comb on midleg homolog 1</t>
  </si>
  <si>
    <t>ENSMUSG00000024614</t>
  </si>
  <si>
    <t>thioredoxin-related transmembrane protein 3</t>
  </si>
  <si>
    <t>ENSMUSG00000051412</t>
  </si>
  <si>
    <t>vesicle-associated membrane protein 7</t>
  </si>
  <si>
    <t>ENSMUSG00000042198</t>
  </si>
  <si>
    <t>coiled-coil-helix-coiled-coil-helix domain containing 7</t>
  </si>
  <si>
    <t>ENSMUSG00000013622</t>
  </si>
  <si>
    <t>all-trans retinoic acid induced differentiation factor</t>
  </si>
  <si>
    <t>ENSMUSG00000090272</t>
  </si>
  <si>
    <t>myeloid nuclear differentiation antigen like</t>
  </si>
  <si>
    <t>ENSMUSG00000038371</t>
  </si>
  <si>
    <t>SET binding factor 2</t>
  </si>
  <si>
    <t>ENSMUSG00000028657</t>
  </si>
  <si>
    <t>palmitoyl-protein thioesterase 1</t>
  </si>
  <si>
    <t>ENSMUSG00000078622</t>
  </si>
  <si>
    <t>coiled-coil domain containing 47</t>
  </si>
  <si>
    <t>ENSMUSG00000027706</t>
  </si>
  <si>
    <t>SEC62 homolog (S. cerevisiae)</t>
  </si>
  <si>
    <t>ENSMUSG00000024393</t>
  </si>
  <si>
    <t>proline-rich coiled-coil 2A</t>
  </si>
  <si>
    <t>ENSMUSG00000022096</t>
  </si>
  <si>
    <t>hairless</t>
  </si>
  <si>
    <t>ENSMUSG00000031668</t>
  </si>
  <si>
    <t>eukaryotic translation initiation factor 2 alpha kinase 3</t>
  </si>
  <si>
    <t>ENSMUSG00000037712</t>
  </si>
  <si>
    <t>fermitin family member 2</t>
  </si>
  <si>
    <t>ENSMUSG00000063506</t>
  </si>
  <si>
    <t>Rho GTPase activating protein 22</t>
  </si>
  <si>
    <t>ENSMUSG00000105265</t>
  </si>
  <si>
    <t>SOX2 overlapping transcript (non-protein coding)</t>
  </si>
  <si>
    <t>ENSMUSG00000021302</t>
  </si>
  <si>
    <t>geranylgeranyl diphosphate synthase 1</t>
  </si>
  <si>
    <t>ENSMUSG00000041684</t>
  </si>
  <si>
    <t>basic, immunoglobulin-like variable motif containing</t>
  </si>
  <si>
    <t>ENSMUSG00000013662</t>
  </si>
  <si>
    <t>ATPase family, AAA domain containing 1</t>
  </si>
  <si>
    <t>ENSMUSG00000007655</t>
  </si>
  <si>
    <t>caveolin 1, caveolae protein</t>
  </si>
  <si>
    <t>ENSMUSG00000073421</t>
  </si>
  <si>
    <t>histocompatibility 2, class II antigen A, beta 1</t>
  </si>
  <si>
    <t>ENSMUSG00000024158</t>
  </si>
  <si>
    <t>hydroxyacyl glutathione hydrolase</t>
  </si>
  <si>
    <t>ENSMUSG00000023885</t>
  </si>
  <si>
    <t>thrombospondin 2</t>
  </si>
  <si>
    <t>ENSMUSG00000029802</t>
  </si>
  <si>
    <t>ATP-binding cassette, sub-family G (WHITE), member 2</t>
  </si>
  <si>
    <t>ENSMUSG00000024219</t>
  </si>
  <si>
    <t>ankyrin repeat and SAM domain containing 1</t>
  </si>
  <si>
    <t>ENSMUSG00000024330</t>
  </si>
  <si>
    <t>collagen, type XI, alpha 2</t>
  </si>
  <si>
    <t>ENSMUSG00000015968</t>
  </si>
  <si>
    <t>calcium channel, voltage-dependent, L type, alpha 1D subunit</t>
  </si>
  <si>
    <t>ENSMUSG00000063268</t>
  </si>
  <si>
    <t>poly (ADP-ribose) polymerase family, member 10</t>
  </si>
  <si>
    <t>ENSMUSG00000028419</t>
  </si>
  <si>
    <t>charged multivesicular body protein 5</t>
  </si>
  <si>
    <t>ENSMUSG00000021987</t>
  </si>
  <si>
    <t>myotubularin related protein 6</t>
  </si>
  <si>
    <t>ENSMUSG00000001151</t>
  </si>
  <si>
    <t>pericentrin (kendrin)</t>
  </si>
  <si>
    <t>ENSMUSG00000089281</t>
  </si>
  <si>
    <t>small Cajal body-specific RNA 6</t>
  </si>
  <si>
    <t>ENSMUSG00000036030</t>
  </si>
  <si>
    <t>protogenin</t>
  </si>
  <si>
    <t>ENSMUSG00000026941</t>
  </si>
  <si>
    <t>MAM domain containing 4</t>
  </si>
  <si>
    <t>ENSMUSG00000087259</t>
  </si>
  <si>
    <t>RIKEN cDNA 2610035D17 gene</t>
  </si>
  <si>
    <t>ENSMUSG00000042605</t>
  </si>
  <si>
    <t>ataxin 2</t>
  </si>
  <si>
    <t>ENSMUSG00000056124</t>
  </si>
  <si>
    <t>UDP-Gal:betaGlcNAc beta 1,4-galactosyltransferase, polypeptide 6</t>
  </si>
  <si>
    <t>ENSMUSG00000038884</t>
  </si>
  <si>
    <t>RIKEN cDNA A230050P20 gene</t>
  </si>
  <si>
    <t>ENSMUSG00000048720</t>
  </si>
  <si>
    <t>TBC1D12: TBC1 domain family, member 12</t>
  </si>
  <si>
    <t>ENSMUSG00000035152</t>
  </si>
  <si>
    <t>adaptor-related protein complex 2, beta 1 subunit</t>
  </si>
  <si>
    <t>ENSMUSG00000035513</t>
  </si>
  <si>
    <t>netrin G2</t>
  </si>
  <si>
    <t>ENSMUSG00000004980</t>
  </si>
  <si>
    <t>heterogeneous nuclear ribonucleoprotein A2/B1</t>
  </si>
  <si>
    <t>ENSMUSG00000024070</t>
  </si>
  <si>
    <t>protein kinase D3</t>
  </si>
  <si>
    <t>ENSMUSG00000071054</t>
  </si>
  <si>
    <t>scaffold attachment factor B</t>
  </si>
  <si>
    <t>ENSMUSG00000067212</t>
  </si>
  <si>
    <t>histocompatibility 2, T region locus 23</t>
  </si>
  <si>
    <t>ENSMUSG00000056763</t>
  </si>
  <si>
    <t>centrosome and spindle pole associated protein 1</t>
  </si>
  <si>
    <t>ENSMUSG00000040550</t>
  </si>
  <si>
    <t>OTU domain containing 6B</t>
  </si>
  <si>
    <t>ENSMUSG00000031021</t>
  </si>
  <si>
    <t>TMEM9 domain family, member B</t>
  </si>
  <si>
    <t>ENSMUSG00000028525</t>
  </si>
  <si>
    <t>phosphodiesterase 4B, cAMP specific</t>
  </si>
  <si>
    <t>ENSMUSG00000100937</t>
  </si>
  <si>
    <t>RIKEN cDNA 1700020D05 gene</t>
  </si>
  <si>
    <t>ENSMUSG00000024472</t>
  </si>
  <si>
    <t>decapping mRNA 2</t>
  </si>
  <si>
    <t>ENSMUSG00000032336</t>
  </si>
  <si>
    <t>neuroplastin</t>
  </si>
  <si>
    <t>ENSMUSG00000031910</t>
  </si>
  <si>
    <t>hyaluronan synthase 3</t>
  </si>
  <si>
    <t>ENSMUSG00000042423</t>
  </si>
  <si>
    <t>fibrosin</t>
  </si>
  <si>
    <t>ENSMUSG00000036093</t>
  </si>
  <si>
    <t>ADP-ribosylation factor-like 5A</t>
  </si>
  <si>
    <t>ENSMUSG00000103092</t>
  </si>
  <si>
    <t>protocadherin alpha 5</t>
  </si>
  <si>
    <t>ENSMUSG00000056234</t>
  </si>
  <si>
    <t>nuclear receptor coactivator 4</t>
  </si>
  <si>
    <t>ENSMUSG00000013160</t>
  </si>
  <si>
    <t>ATPase, H+ transporting, lysosomal V0 subunit D1</t>
  </si>
  <si>
    <t>ENSMUSG00000022568</t>
  </si>
  <si>
    <t>scribbled planar cell polarity</t>
  </si>
  <si>
    <t>ENSMUSG00000025159</t>
  </si>
  <si>
    <t>MMS19 (MET18 S. cerevisiae)</t>
  </si>
  <si>
    <t>ENSMUSG00000058638</t>
  </si>
  <si>
    <t>zinc finger protein 110</t>
  </si>
  <si>
    <t>ENSMUSG00000044667</t>
  </si>
  <si>
    <t>phospholipid phosphatase related 4</t>
  </si>
  <si>
    <t>ENSMUSG00000079547</t>
  </si>
  <si>
    <t>histocompatibility 2, class II, locus Mb1</t>
  </si>
  <si>
    <t>ENSMUSG00000071658</t>
  </si>
  <si>
    <t>guanine nucleotide binding protein (G protein), gamma 3</t>
  </si>
  <si>
    <t>ENSMUSG00000027109</t>
  </si>
  <si>
    <t>trans-acting transcription factor 3</t>
  </si>
  <si>
    <t>ENSMUSG00000002233</t>
  </si>
  <si>
    <t>ras homolog family member C</t>
  </si>
  <si>
    <t>ENSMUSG00000039830</t>
  </si>
  <si>
    <t>oligodendrocyte transcription factor 2</t>
  </si>
  <si>
    <t>ENSMUSG00000033917</t>
  </si>
  <si>
    <t>glycerophosphodiester phosphodiesterase 1</t>
  </si>
  <si>
    <t>ENSMUSG00000024597</t>
  </si>
  <si>
    <t>solute carrier family 12, member 2</t>
  </si>
  <si>
    <t>ENSMUSG00000021314</t>
  </si>
  <si>
    <t>amphiphysin</t>
  </si>
  <si>
    <t>ENSMUSG00000007682</t>
  </si>
  <si>
    <t>deiodinase, iodothyronine, type II</t>
  </si>
  <si>
    <t>ENSMUSG00000021719</t>
  </si>
  <si>
    <t>regulator of G-protein signalling 7 binding protein</t>
  </si>
  <si>
    <t>ENSMUSG00000034248</t>
  </si>
  <si>
    <t>solute carrier family 25, member 37</t>
  </si>
  <si>
    <t>ENSMUSG00000028794</t>
  </si>
  <si>
    <t>alpha 1,3-galactosyltransferase 2 (isoglobotriaosylceramide synthase)</t>
  </si>
  <si>
    <t>ENSMUSG00000078249</t>
  </si>
  <si>
    <t>high mobility group AT-hook I, related sequence 1</t>
  </si>
  <si>
    <t>ENSMUSG00000021236</t>
  </si>
  <si>
    <t>ectonucleoside triphosphate diphosphohydrolase 5</t>
  </si>
  <si>
    <t>ENSMUSG00000030400</t>
  </si>
  <si>
    <t>excision repair cross-complementing rodent repair deficiency, complementation group 2</t>
  </si>
  <si>
    <t>ENSMUSG00000031700</t>
  </si>
  <si>
    <t>glutamic pyruvate transaminase (alanine aminotransferase) 2</t>
  </si>
  <si>
    <t>ENSMUSG00000027931</t>
  </si>
  <si>
    <t>natriuretic peptide receptor 1</t>
  </si>
  <si>
    <t>ENSMUSG00000079037</t>
  </si>
  <si>
    <t>prion protein</t>
  </si>
  <si>
    <t>ENSMUSG00000027936</t>
  </si>
  <si>
    <t>CREB regulated transcription coactivator 2</t>
  </si>
  <si>
    <t>ENSMUSG00000020527</t>
  </si>
  <si>
    <t>myosin XIX</t>
  </si>
  <si>
    <t>ENSMUSG00000022751</t>
  </si>
  <si>
    <t>nitrilase family, member 2</t>
  </si>
  <si>
    <t>ENSMUSG00000090386</t>
  </si>
  <si>
    <t>Mir99a and Mirlet7c-1 host gene (non-protein coding)</t>
  </si>
  <si>
    <t>ENSMUSG00000021794</t>
  </si>
  <si>
    <t>glutamate dehydrogenase 1</t>
  </si>
  <si>
    <t>ENSMUSG00000059895</t>
  </si>
  <si>
    <t>protein tyrosine phosphatase 4a3</t>
  </si>
  <si>
    <t>ENSMUSG00000022037</t>
  </si>
  <si>
    <t>clusterin</t>
  </si>
  <si>
    <t>ENSMUSG00000048794</t>
  </si>
  <si>
    <t>cilia and flagella associated protein 100</t>
  </si>
  <si>
    <t>ENSMUSG00000022261</t>
  </si>
  <si>
    <t>syndecan 2</t>
  </si>
  <si>
    <t>ENSMUSG00000042271</t>
  </si>
  <si>
    <t>nuclear transport factor 2-like export factor 2</t>
  </si>
  <si>
    <t>ENSMUSG00000002486</t>
  </si>
  <si>
    <t>trichoplein, keratin filament binding</t>
  </si>
  <si>
    <t>ENSMUSG00000000420</t>
  </si>
  <si>
    <t>UDP-N-acetyl-alpha-D-galactosamine:polypeptide N-acetylgalactosaminyltransferase 1</t>
  </si>
  <si>
    <t>ENSMUSG00000019528</t>
  </si>
  <si>
    <t>glycogenin</t>
  </si>
  <si>
    <t>ENSMUSG00000029474</t>
  </si>
  <si>
    <t>ring finger protein 34</t>
  </si>
  <si>
    <t>ENSMUSG00000040943</t>
  </si>
  <si>
    <t>tet methylcytosine dioxygenase 2</t>
  </si>
  <si>
    <t>ENSMUSG00000052456</t>
  </si>
  <si>
    <t>arsA arsenite transporter, ATP-binding, homolog 1 (bacterial)</t>
  </si>
  <si>
    <t>ENSMUSG00000021803</t>
  </si>
  <si>
    <t>cadherin-related family member 1</t>
  </si>
  <si>
    <t>ENSMUSG00000039741</t>
  </si>
  <si>
    <t>BAH domain and coiled-coil containing 1</t>
  </si>
  <si>
    <t>ENSMUSG00000029189</t>
  </si>
  <si>
    <t>sel-1 suppressor of lin-12-like 3 (C. elegans)</t>
  </si>
  <si>
    <t>ENSMUSG00000102440</t>
  </si>
  <si>
    <t>protocadherin gamma subfamily A, 9</t>
  </si>
  <si>
    <t>ENSMUSG00000028675</t>
  </si>
  <si>
    <t>proline-rich nuclear receptor coactivator 2</t>
  </si>
  <si>
    <t>ENSMUSG00000029420</t>
  </si>
  <si>
    <t>RIMS binding protein 2</t>
  </si>
  <si>
    <t>ENSMUSG00000039781</t>
  </si>
  <si>
    <t>centrosomal protein 131</t>
  </si>
  <si>
    <t>ENSMUSG00000006307</t>
  </si>
  <si>
    <t>lysine (K)-specific methyltransferase 2B</t>
  </si>
  <si>
    <t>ENSMUSG00000026104</t>
  </si>
  <si>
    <t>signal transducer and activator of transcription 1</t>
  </si>
  <si>
    <t>ENSMUSG00000049470</t>
  </si>
  <si>
    <t>AF4/FMR2 family, member 4</t>
  </si>
  <si>
    <t>ENSMUSG00000054452</t>
  </si>
  <si>
    <t>amino-terminal enhancer of split</t>
  </si>
  <si>
    <t>ENSMUSG00000105076</t>
  </si>
  <si>
    <t>RIKEN cDNA A930003O13 gene</t>
  </si>
  <si>
    <t>ENSMUSG00000020740</t>
  </si>
  <si>
    <t>golgi associated, gamma adaptin ear containing, ARF binding protein 3</t>
  </si>
  <si>
    <t>ENSMUSG00000022822</t>
  </si>
  <si>
    <t>ATP-binding cassette, sub-family C (CFTR/MRP), member 5</t>
  </si>
  <si>
    <t>ENSMUSG00000016496</t>
  </si>
  <si>
    <t>CD274 antigen</t>
  </si>
  <si>
    <t>ENSMUSG00000029478</t>
  </si>
  <si>
    <t>nuclear receptor co-repressor 2</t>
  </si>
  <si>
    <t>ENSMUSG00000038280</t>
  </si>
  <si>
    <t>osteopetrosis associated transmembrane protein 1</t>
  </si>
  <si>
    <t>ENSMUSG00000040102</t>
  </si>
  <si>
    <t>kelch-like 42</t>
  </si>
  <si>
    <t>ENSMUSG00000060550</t>
  </si>
  <si>
    <t>histocompatibility 2, Q region locus 7</t>
  </si>
  <si>
    <t>ENSMUSG00000038671</t>
  </si>
  <si>
    <t>ADP-ribosylation factor related protein 1</t>
  </si>
  <si>
    <t>ENSMUSG00000026812</t>
  </si>
  <si>
    <t>tuberous sclerosis 1</t>
  </si>
  <si>
    <t>ENSMUSG00000020994</t>
  </si>
  <si>
    <t>pinin</t>
  </si>
  <si>
    <t>ENSMUSG00000033909</t>
  </si>
  <si>
    <t>ubiquitin specific peptidase 36</t>
  </si>
  <si>
    <t>ENSMUSG00000022658</t>
  </si>
  <si>
    <t>transgelin 3</t>
  </si>
  <si>
    <t>ENSMUSG00000003778</t>
  </si>
  <si>
    <t>bromodomain containing 8</t>
  </si>
  <si>
    <t>ENSMUSG00000027868</t>
  </si>
  <si>
    <t>T-box 15</t>
  </si>
  <si>
    <t>ENSMUSG00000020091</t>
  </si>
  <si>
    <t>eukaryotic translation initiation factor 4E binding protein 2</t>
  </si>
  <si>
    <t>ENSMUSG00000025321</t>
  </si>
  <si>
    <t>integrin beta 8</t>
  </si>
  <si>
    <t>ENSMUSG00000030283</t>
  </si>
  <si>
    <t>ST8 alpha-N-acetyl-neuraminide alpha-2,8-sialyltransferase 1</t>
  </si>
  <si>
    <t>ENSMUSG00000025931</t>
  </si>
  <si>
    <t>progestin and adipoQ receptor family member VIII</t>
  </si>
  <si>
    <t>ENSMUSG00000078922</t>
  </si>
  <si>
    <t>T cell specific GTPase 1</t>
  </si>
  <si>
    <t>ENSMUSG00000051550</t>
  </si>
  <si>
    <t>zinc finger protein 579</t>
  </si>
  <si>
    <t>ENSMUSG00000036309</t>
  </si>
  <si>
    <t>S-phase kinase-associated protein 1A</t>
  </si>
  <si>
    <t>ENSMUSG00000039347</t>
  </si>
  <si>
    <t>ATPase, H+ transporting, lysosomal V0 subunit E2</t>
  </si>
  <si>
    <t>ENSMUSG00000037049</t>
  </si>
  <si>
    <t>sphingomyelin phosphodiesterase 1, acid lysosomal</t>
  </si>
  <si>
    <t>ENSMUSG00000004455</t>
  </si>
  <si>
    <t>protein phosphatase 1, catalytic subunit, gamma isoform</t>
  </si>
  <si>
    <t>ENSMUSG00000027956</t>
  </si>
  <si>
    <t>transmembrane protein 144</t>
  </si>
  <si>
    <t>ENSMUSG00000020589</t>
  </si>
  <si>
    <t>family with sequence similarity 49, member A</t>
  </si>
  <si>
    <t>ENSMUSG00000037013</t>
  </si>
  <si>
    <t>synovial sarcoma translocation, Chromosome 18</t>
  </si>
  <si>
    <t>ENSMUSG00000068036</t>
  </si>
  <si>
    <t>afadin, adherens junction formation factor</t>
  </si>
  <si>
    <t>ENSMUSG00000034118</t>
  </si>
  <si>
    <t>protein-tyrosine sulfotransferase 1</t>
  </si>
  <si>
    <t>ENSMUSG00000042978</t>
  </si>
  <si>
    <t>SH3-binding kinase 1</t>
  </si>
  <si>
    <t>ENSMUSG00000031822</t>
  </si>
  <si>
    <t>genetic suppressor element 1, coiled-coil protein</t>
  </si>
  <si>
    <t>ENSMUSG00000027698</t>
  </si>
  <si>
    <t>neutral cholesterol ester hydrolase 1</t>
  </si>
  <si>
    <t>ENSMUSG00000025451</t>
  </si>
  <si>
    <t>polyadenylate binding protein-interacting protein 1</t>
  </si>
  <si>
    <t>ENSMUSG00000025066</t>
  </si>
  <si>
    <t>SWI5 dependent recombination repair 1</t>
  </si>
  <si>
    <t>ENSMUSG00000029417</t>
  </si>
  <si>
    <t>chemokine (C-X-C motif) ligand 9</t>
  </si>
  <si>
    <t>ENSMUSG00000029106</t>
  </si>
  <si>
    <t>adducin 1 (alpha)</t>
  </si>
  <si>
    <t>ENSMUSG00000040033</t>
  </si>
  <si>
    <t>signal transducer and activator of transcription 2</t>
  </si>
  <si>
    <t>ENSMUSG00000004798</t>
  </si>
  <si>
    <t>unc-51 like kinase 2</t>
  </si>
  <si>
    <t>ENSMUSG00000030168</t>
  </si>
  <si>
    <t>adiponectin receptor 2</t>
  </si>
  <si>
    <t>ENSMUSG00000000282</t>
  </si>
  <si>
    <t>max binding protein</t>
  </si>
  <si>
    <t>ENSMUSG00000041375</t>
  </si>
  <si>
    <t>coiled-coil domain containing 9</t>
  </si>
  <si>
    <t>ENSMUSG00000022580</t>
  </si>
  <si>
    <t>rhophilin, Rho GTPase binding protein 1</t>
  </si>
  <si>
    <t>ENSMUSG00000050896</t>
  </si>
  <si>
    <t>reticulon 4 receptor-like 2</t>
  </si>
  <si>
    <t>ENSMUSG00000059602</t>
  </si>
  <si>
    <t>synapsin III</t>
  </si>
  <si>
    <t>ENSMUSG00000059273</t>
  </si>
  <si>
    <t>zinc finger CCCH-type containing 4</t>
  </si>
  <si>
    <t>ENSMUSG00000036095</t>
  </si>
  <si>
    <t>diacylglycerol kinase, beta</t>
  </si>
  <si>
    <t>ENSMUSG00000063531</t>
  </si>
  <si>
    <t>sema domain, immunoglobulin domain (Ig), short basic domain, secreted, (semaphorin) 3E</t>
  </si>
  <si>
    <t>ENSMUSG00000022112</t>
  </si>
  <si>
    <t>glypican 5</t>
  </si>
  <si>
    <t>ENSMUSG00000106379</t>
  </si>
  <si>
    <t>lipoma HMGIC fusion partner-like 3</t>
  </si>
  <si>
    <t>ENSMUSG00000020255</t>
  </si>
  <si>
    <t>DNA segment, Chr 10, Wayne State University 102, expressed</t>
  </si>
  <si>
    <t>ENSMUSG00000035891</t>
  </si>
  <si>
    <t>ceramide kinase</t>
  </si>
  <si>
    <t>ENSMUSG00000060227</t>
  </si>
  <si>
    <t>cancer susceptibility candidate 4</t>
  </si>
  <si>
    <t>ENSMUSG00000027375</t>
  </si>
  <si>
    <t>myelin and lymphocyte protein, T cell differentiation protein</t>
  </si>
  <si>
    <t>ENSMUSG00000055373</t>
  </si>
  <si>
    <t>fucosyltransferase 9</t>
  </si>
  <si>
    <t>ENSMUSG00000041515</t>
  </si>
  <si>
    <t>interferon regulatory factor 8</t>
  </si>
  <si>
    <t>ENSMUSG00000075028</t>
  </si>
  <si>
    <t>PR domain containing 11</t>
  </si>
  <si>
    <t>ENSMUSG00000040690</t>
  </si>
  <si>
    <t>collagen, type XVI, alpha 1</t>
  </si>
  <si>
    <t>ENSMUSG00000037072</t>
  </si>
  <si>
    <t>selenoprotein 15</t>
  </si>
  <si>
    <t>ENSMUSG00000027423</t>
  </si>
  <si>
    <t>sorting nexin 5</t>
  </si>
  <si>
    <t>ENSMUSG00000027639</t>
  </si>
  <si>
    <t>SAM domain and HD domain, 1</t>
  </si>
  <si>
    <t>ENSMUSG00000027478</t>
  </si>
  <si>
    <t>DNA methyltransferase 3B</t>
  </si>
  <si>
    <t>ENSMUSG00000006740</t>
  </si>
  <si>
    <t>kinesin family member 5B</t>
  </si>
  <si>
    <t>ENSMUSG00000026289</t>
  </si>
  <si>
    <t>autophagy related 16-like 1 (S. cerevisiae)</t>
  </si>
  <si>
    <t>ENSMUSG00000059674</t>
  </si>
  <si>
    <t>cadherin-like 24</t>
  </si>
  <si>
    <t>ENSMUSG00000045095</t>
  </si>
  <si>
    <t>RIKEN cDNA 4930511A08 gene</t>
  </si>
  <si>
    <t>membrane associated guanylate kinase, WW and PDZ domain containing 1</t>
  </si>
  <si>
    <t>ENSMUSG00000105504</t>
  </si>
  <si>
    <t>guanylate binding protein 5</t>
  </si>
  <si>
    <t>ENSMUSG00000022558</t>
  </si>
  <si>
    <t>maestro heat-like repeat family member 1</t>
  </si>
  <si>
    <t>ENSMUSG00000035798</t>
  </si>
  <si>
    <t>zinc finger, DHHC domain containing 17</t>
  </si>
  <si>
    <t>ENSMUSG00000020671</t>
  </si>
  <si>
    <t>RAB10, member RAS oncogene family</t>
  </si>
  <si>
    <t>ENSMUSG00000037326</t>
  </si>
  <si>
    <t>calpain 15</t>
  </si>
  <si>
    <t>ENSMUSG00000025507</t>
  </si>
  <si>
    <t>p53 induced death domain protein 1</t>
  </si>
  <si>
    <t>ENSMUSG00000030067</t>
  </si>
  <si>
    <t>forkhead box P1</t>
  </si>
  <si>
    <t>ENSMUSG00000029669</t>
  </si>
  <si>
    <t>tetraspanin 12</t>
  </si>
  <si>
    <t>ENSMUSG00000030276</t>
  </si>
  <si>
    <t>tubulin tyrosine ligase-like family, member 3</t>
  </si>
  <si>
    <t>ENSMUSG00000052459</t>
  </si>
  <si>
    <t>ATPase, H+ transporting, lysosomal V1 subunit A</t>
  </si>
  <si>
    <t>ENSMUSG00000020196</t>
  </si>
  <si>
    <t>calcineurin binding protein 1</t>
  </si>
  <si>
    <t>ENSMUSG00000027180</t>
  </si>
  <si>
    <t>F-box protein 3</t>
  </si>
  <si>
    <t>ENSMUSG00000037855</t>
  </si>
  <si>
    <t>zinc finger protein 365</t>
  </si>
  <si>
    <t>ENSMUSG00000051367</t>
  </si>
  <si>
    <t>sine oculis-related homeobox 1</t>
  </si>
  <si>
    <t>ENSMUSG00000031897</t>
  </si>
  <si>
    <t>proteasome (prosome, macropain) subunit, beta type 10</t>
  </si>
  <si>
    <t>ENSMUSG00000043013</t>
  </si>
  <si>
    <t>one cut domain, family member 1</t>
  </si>
  <si>
    <t>ENSMUSG00000001794</t>
  </si>
  <si>
    <t>calpain, small subunit 1</t>
  </si>
  <si>
    <t>ENSMUSG00000033721</t>
  </si>
  <si>
    <t>vav 3 oncogene</t>
  </si>
  <si>
    <t>ENSMUSG00000072844</t>
  </si>
  <si>
    <t>RIKEN cDNA G530011O06 gene</t>
  </si>
  <si>
    <t>ENSMUSG00000026121</t>
  </si>
  <si>
    <t>sema domain, immunoglobulin domain (Ig), transmembrane domain (TM) and short cytoplasmic domain, (semaphorin) 4C</t>
  </si>
  <si>
    <t>ENSMUSG00000032316</t>
  </si>
  <si>
    <t>CDC-like kinase 3</t>
  </si>
  <si>
    <t>ENSMUSG00000007411</t>
  </si>
  <si>
    <t>MAP/microtubule affinity regulating kinase 3</t>
  </si>
  <si>
    <t>ENSMUSG00000023800</t>
  </si>
  <si>
    <t>T cell lymphoma invasion and metastasis 2</t>
  </si>
  <si>
    <t>ENSMUSG00000047606</t>
  </si>
  <si>
    <t>ankyrin repeat domain 34C</t>
  </si>
  <si>
    <t>ENSMUSG00000024083</t>
  </si>
  <si>
    <t>praja 2, RING-H2 motif containing</t>
  </si>
  <si>
    <t>ENSMUSG00000028822</t>
  </si>
  <si>
    <t>transmembrane protein 50A</t>
  </si>
  <si>
    <t>ENSMUSG00000021244</t>
  </si>
  <si>
    <t>YLP motif containing 1</t>
  </si>
  <si>
    <t>ENSMUSG00000027165</t>
  </si>
  <si>
    <t>RIKEN cDNA B230118H07 gene</t>
  </si>
  <si>
    <t>ENSMUSG00000017119</t>
  </si>
  <si>
    <t>neighbor of Brca1 gene 1</t>
  </si>
  <si>
    <t>ENSMUSG00000008307</t>
  </si>
  <si>
    <t>RIKEN cDNA 1700109H08 gene</t>
  </si>
  <si>
    <t>ENSMUSG00000028068</t>
  </si>
  <si>
    <t>IQ motif containing GTPase activating protein 3</t>
  </si>
  <si>
    <t>ENSMUSG00000047368</t>
  </si>
  <si>
    <t>abhydrolase domain containing 17B</t>
  </si>
  <si>
    <t>ENSMUSG00000025862</t>
  </si>
  <si>
    <t>stromal antigen 2</t>
  </si>
  <si>
    <t>ENSMUSG00000020020</t>
  </si>
  <si>
    <t>ubiquitin specific peptidase 44</t>
  </si>
  <si>
    <t>ENSMUSG00000026657</t>
  </si>
  <si>
    <t>FERM domain containing 4A</t>
  </si>
  <si>
    <t>ENSMUSG00000030172</t>
  </si>
  <si>
    <t>ELKS/RAB6-interacting/CAST family member 1</t>
  </si>
  <si>
    <t>ENSMUSG00000062270</t>
  </si>
  <si>
    <t>mortality factor 4 like 1</t>
  </si>
  <si>
    <t>mortality factor 4 like 1B</t>
  </si>
  <si>
    <t>ENSMUSG00000000605</t>
  </si>
  <si>
    <t>chloride channel, voltage-sensitive 4</t>
  </si>
  <si>
    <t>ENSMUSG00000048410</t>
  </si>
  <si>
    <t>zinc finger protein 407</t>
  </si>
  <si>
    <t>ENSMUSG00000041638</t>
  </si>
  <si>
    <t>GCN1 general control of amino-acid synthesis 1-like 1 (yeast)</t>
  </si>
  <si>
    <t>ENSMUSG00000029056</t>
  </si>
  <si>
    <t>pantothenate kinase 4</t>
  </si>
  <si>
    <t>ENSMUSG00000064289</t>
  </si>
  <si>
    <t>TRAF family member-associated Nf-kappa B activator</t>
  </si>
  <si>
    <t>ENSMUSG00000068114</t>
  </si>
  <si>
    <t>coiled-coil domain containing 134</t>
  </si>
  <si>
    <t>ENSMUSG00000027665</t>
  </si>
  <si>
    <t>phosphatidylinositol 3-kinase, catalytic, alpha polypeptide</t>
  </si>
  <si>
    <t>ENSMUSG00000021577</t>
  </si>
  <si>
    <t>succinate dehydrogenase complex, subunit A, flavoprotein (Fp)</t>
  </si>
  <si>
    <t>ENSMUSG00000075394</t>
  </si>
  <si>
    <t>homeobox C4</t>
  </si>
  <si>
    <t>ENSMUSG00000032349</t>
  </si>
  <si>
    <t>ELOVL family member 5, elongation of long chain fatty acids (yeast)</t>
  </si>
  <si>
    <t>ENSMUSG00000004633</t>
  </si>
  <si>
    <t>chimerin 2</t>
  </si>
  <si>
    <t>ENSMUSG00000031816</t>
  </si>
  <si>
    <t>methenyltetrahydrofolate synthetase domain containing</t>
  </si>
  <si>
    <t>ENSMUSG00000037795</t>
  </si>
  <si>
    <t>NEDD4 binding protein 2</t>
  </si>
  <si>
    <t>ENSMUSG00000027087</t>
  </si>
  <si>
    <t>integrin alpha V</t>
  </si>
  <si>
    <t>ENSMUSG00000022451</t>
  </si>
  <si>
    <t>twinfilin actin binding protein 1</t>
  </si>
  <si>
    <t>ENSMUSG00000044934</t>
  </si>
  <si>
    <t>zinc finger protein 367</t>
  </si>
  <si>
    <t>ENSMUSG00000031610</t>
  </si>
  <si>
    <t>scrapie responsive gene 1</t>
  </si>
  <si>
    <t>ENSMUSG00000004945</t>
  </si>
  <si>
    <t>transmembrane protein 242</t>
  </si>
  <si>
    <t>ENSMUSG00000030884</t>
  </si>
  <si>
    <t>ubiquinol cytochrome c reductase core protein 2</t>
  </si>
  <si>
    <t>ENSMUSG00000023473</t>
  </si>
  <si>
    <t>cadherin, EGF LAG seven-pass G-type receptor 3</t>
  </si>
  <si>
    <t>ENSMUSG00000026211</t>
  </si>
  <si>
    <t>obscurin-like 1</t>
  </si>
  <si>
    <t>ENSMUSG00000015994</t>
  </si>
  <si>
    <t>farnesyltransferase, CAAX box, alpha</t>
  </si>
  <si>
    <t>ENSMUSG00000033578</t>
  </si>
  <si>
    <t>transmembrane protein 35A</t>
  </si>
  <si>
    <t>ENSMUSG00000099616</t>
  </si>
  <si>
    <t>RIKEN cDNA 4932413F04 gene</t>
  </si>
  <si>
    <t>ENSMUSG00000068823</t>
  </si>
  <si>
    <t>cold shock domain containing E1, RNA binding</t>
  </si>
  <si>
    <t>ENSMUSG00000033209</t>
  </si>
  <si>
    <t>tetratricopeptide repeat domain 28</t>
  </si>
  <si>
    <t>ENSMUSG00000001687</t>
  </si>
  <si>
    <t>ubiquitin-like 3</t>
  </si>
  <si>
    <t>ENSMUSG00000028333</t>
  </si>
  <si>
    <t>acidic (leucine-rich) nuclear phosphoprotein 32 family, member B</t>
  </si>
  <si>
    <t>ENSMUSG00000023572</t>
  </si>
  <si>
    <t>cyclin D-type binding-protein 1</t>
  </si>
  <si>
    <t>ENSMUSG00000073725</t>
  </si>
  <si>
    <t>LMBR1 domain containing 1</t>
  </si>
  <si>
    <t>ENSMUSG00000068206</t>
  </si>
  <si>
    <t>protein interacting with C kinase 1</t>
  </si>
  <si>
    <t>ENSMUSG00000020156</t>
  </si>
  <si>
    <t>melanoma associated antigen (mutated) 1</t>
  </si>
  <si>
    <t>ENSMUSG00000028967</t>
  </si>
  <si>
    <t>ERBB receptor feedback inhibitor 1</t>
  </si>
  <si>
    <t>ENSMUSG00000043467</t>
  </si>
  <si>
    <t>zinc finger and BTB domain containing 37</t>
  </si>
  <si>
    <t>ENSMUSG00000030319</t>
  </si>
  <si>
    <t>cullin-associated and neddylation-dissociated 2 (putative)</t>
  </si>
  <si>
    <t>ENSMUSG00000066306</t>
  </si>
  <si>
    <t>nuclear mitotic apparatus protein 1</t>
  </si>
  <si>
    <t>ENSMUSG00000039713</t>
  </si>
  <si>
    <t>pleckstrin homology domain containing, family G (with RhoGef domain) member 5</t>
  </si>
  <si>
    <t>ENSMUSG00000056004</t>
  </si>
  <si>
    <t>RIKEN cDNA 9330182L06 gene</t>
  </si>
  <si>
    <t>ENSMUSG00000037098</t>
  </si>
  <si>
    <t>RAB11 family interacting protein 3 (class II)</t>
  </si>
  <si>
    <t>ENSMUSG00000001248</t>
  </si>
  <si>
    <t>GRAM domain containing 1A</t>
  </si>
  <si>
    <t>ENSMUSG00000021065</t>
  </si>
  <si>
    <t>fucosyltransferase 8</t>
  </si>
  <si>
    <t>ENSMUSG00000012296</t>
  </si>
  <si>
    <t>tight junction associated protein 1</t>
  </si>
  <si>
    <t>ENSMUSG00000005442</t>
  </si>
  <si>
    <t>capicua transcriptional repressor</t>
  </si>
  <si>
    <t>ENSMUSG00000024259</t>
  </si>
  <si>
    <t>solute carrier family 25, member 46</t>
  </si>
  <si>
    <t>ENSMUSG00000091387</t>
  </si>
  <si>
    <t>glucosaminyl (N-acetyl) transferase 4, core 2 (beta-1,6-N-acetylglucosaminyltransferase)</t>
  </si>
  <si>
    <t>ENSMUSG00000046434</t>
  </si>
  <si>
    <t>heterogeneous nuclear ribonucleoprotein A1</t>
  </si>
  <si>
    <t>predicted gene 5803</t>
  </si>
  <si>
    <t>ENSMUSG00000041697</t>
  </si>
  <si>
    <t>cytochrome c oxidase subunit VIa polypeptide 1</t>
  </si>
  <si>
    <t>ENSMUSG00000020642</t>
  </si>
  <si>
    <t>ring finger protein 144A</t>
  </si>
  <si>
    <t>ENSMUSG00000038212</t>
  </si>
  <si>
    <t>major facilitator superfamily domain containing 14B</t>
  </si>
  <si>
    <t>ENSMUSG00000032558</t>
  </si>
  <si>
    <t>nephronophthisis 3 (adolescent)</t>
  </si>
  <si>
    <t>ENSMUSG00000078607</t>
  </si>
  <si>
    <t>RIKEN cDNA 1810010H24 gene</t>
  </si>
  <si>
    <t>ENSMUSG00000042429</t>
  </si>
  <si>
    <t>adenosine A1 receptor</t>
  </si>
  <si>
    <t>ENSMUSG00000046761</t>
  </si>
  <si>
    <t>family with sequence similarity 83, member H</t>
  </si>
  <si>
    <t>ENSMUSG00000049232</t>
  </si>
  <si>
    <t>tigger transposable element derived 2</t>
  </si>
  <si>
    <t>ENSMUSG00000042138</t>
  </si>
  <si>
    <t>Myb/SANT-like DNA-binding domain containing 2</t>
  </si>
  <si>
    <t>ENSMUSG00000052914</t>
  </si>
  <si>
    <t>cytochrome P450, family 2, subfamily j, polypeptide 6</t>
  </si>
  <si>
    <t>ENSMUSG00000073805</t>
  </si>
  <si>
    <t>family with sequence similarity 196, member A</t>
  </si>
  <si>
    <t>ENSMUSG00000040270</t>
  </si>
  <si>
    <t>BTB and CNC homology, basic leucine zipper transcription factor 2</t>
  </si>
  <si>
    <t>ENSMUSG00000026701</t>
  </si>
  <si>
    <t>peroxiredoxin 6</t>
  </si>
  <si>
    <t>ENSMUSG00000070923</t>
  </si>
  <si>
    <t>kelch-like 9</t>
  </si>
  <si>
    <t>ENSMUSG00000007041</t>
  </si>
  <si>
    <t>chloride intracellular channel 1</t>
  </si>
  <si>
    <t>ENSMUSG00000006403</t>
  </si>
  <si>
    <t>a disintegrin-like and metallopeptidase (reprolysin type) with thrombospondin type 1 motif, 4</t>
  </si>
  <si>
    <t>ENSMUSG00000033847</t>
  </si>
  <si>
    <t>phospholipase A2, group IVC (cytosolic, calcium-independent)</t>
  </si>
  <si>
    <t>ENSMUSG00000020745</t>
  </si>
  <si>
    <t>platelet-activating factor acetylhydrolase, isoform 1b, subunit 1</t>
  </si>
  <si>
    <t>ENSMUSG00000007739</t>
  </si>
  <si>
    <t>chaperonin containing Tcp1, subunit 4 (delta)</t>
  </si>
  <si>
    <t>ENSMUSG00000019370</t>
  </si>
  <si>
    <t>calmodulin 3</t>
  </si>
  <si>
    <t>ENSMUSG00000042035</t>
  </si>
  <si>
    <t>immunoglobulin superfamily, member 3</t>
  </si>
  <si>
    <t>ENSMUSG00000020483</t>
  </si>
  <si>
    <t>dynein light chain LC8-type 2</t>
  </si>
  <si>
    <t>ENSMUSG00000048388</t>
  </si>
  <si>
    <t>family with sequence similarity 171, member B</t>
  </si>
  <si>
    <t>ENSMUSG00000020564</t>
  </si>
  <si>
    <t>ataxin 7-like 1</t>
  </si>
  <si>
    <t>ENSMUSG00000005873</t>
  </si>
  <si>
    <t>receptor accessory protein 5</t>
  </si>
  <si>
    <t>ENSMUSG00000027546</t>
  </si>
  <si>
    <t>ATPase, class II, type 9A</t>
  </si>
  <si>
    <t>ENSMUSG00000093803</t>
  </si>
  <si>
    <t>protein phosphatase 2 (formerly 2A), regulatory subunit B'', delta</t>
  </si>
  <si>
    <t>ENSMUSG00000020570</t>
  </si>
  <si>
    <t>synaptophysin-like protein</t>
  </si>
  <si>
    <t>ENSMUSG00000016262</t>
  </si>
  <si>
    <t>SERTA domain containing 4</t>
  </si>
  <si>
    <t>ENSMUSG00000022564</t>
  </si>
  <si>
    <t>glutamate receptor, ionotropic, N-methyl D-aspartate-associated protein 1 (glutamate binding)</t>
  </si>
  <si>
    <t>ENSMUSG00000031299</t>
  </si>
  <si>
    <t>pyruvate dehydrogenase E1 alpha 1</t>
  </si>
  <si>
    <t>ENSMUSG00000032327</t>
  </si>
  <si>
    <t>stimulated by retinoic acid gene 6</t>
  </si>
  <si>
    <t>ENSMUSG00000029686</t>
  </si>
  <si>
    <t>cullin 1</t>
  </si>
  <si>
    <t>ENSMUSG00000043207</t>
  </si>
  <si>
    <t>zinc metallopeptidase, STE24</t>
  </si>
  <si>
    <t>ENSMUSG00000039156</t>
  </si>
  <si>
    <t>stromal interaction molecule 2</t>
  </si>
  <si>
    <t>ENSMUSG00000025777</t>
  </si>
  <si>
    <t>ganglioside-induced differentiation-associated-protein 1</t>
  </si>
  <si>
    <t>ENSMUSG00000020777</t>
  </si>
  <si>
    <t>acyl-Coenzyme A oxidase 1, palmitoyl</t>
  </si>
  <si>
    <t>ENSMUSG00000073600</t>
  </si>
  <si>
    <t>proline rich basic protein 1</t>
  </si>
  <si>
    <t>ENSMUSG00000021754</t>
  </si>
  <si>
    <t>mitogen-activated protein kinase kinase kinase 1</t>
  </si>
  <si>
    <t>ENSMUSG00000022454</t>
  </si>
  <si>
    <t>NEL-like 2</t>
  </si>
  <si>
    <t>ENSMUSG00000047454</t>
  </si>
  <si>
    <t>gephyrin</t>
  </si>
  <si>
    <t>ENSMUSG00000035696</t>
  </si>
  <si>
    <t>ring finger protein 38</t>
  </si>
  <si>
    <t>ENSMUSG00000005682</t>
  </si>
  <si>
    <t>PAN2 poly(A) specific ribonuclease subunit</t>
  </si>
  <si>
    <t>ENSMUSG00000063765</t>
  </si>
  <si>
    <t>chondroadherin-like</t>
  </si>
  <si>
    <t>ENSMUSG00000021054</t>
  </si>
  <si>
    <t>sphingosine-1-phosphate phosphatase 1</t>
  </si>
  <si>
    <t>ENSMUSG00000092341</t>
  </si>
  <si>
    <t>metastasis associated lung adenocarcinoma transcript 1 (non-coding RNA)</t>
  </si>
  <si>
    <t>ENSMUSG00000005034</t>
  </si>
  <si>
    <t>protein kinase, cAMP dependent, catalytic, beta</t>
  </si>
  <si>
    <t>ENSMUSG00000036552</t>
  </si>
  <si>
    <t>ER membrane associated RNA degradation</t>
  </si>
  <si>
    <t>predicted gene 3435</t>
  </si>
  <si>
    <t>RIKEN cDNA 9030025P20 gene</t>
  </si>
  <si>
    <t>ENSMUSG00000038463</t>
  </si>
  <si>
    <t>olfactomedin-like 2B</t>
  </si>
  <si>
    <t>ENSMUSG00000047126</t>
  </si>
  <si>
    <t>clathrin, heavy polypeptide (Hc)</t>
  </si>
  <si>
    <t>ENSMUSG00000020986</t>
  </si>
  <si>
    <t>SEC23 homolog A, COPII coat complex component</t>
  </si>
  <si>
    <t>ENSMUSG00000028249</t>
  </si>
  <si>
    <t>syndecan binding protein</t>
  </si>
  <si>
    <t>ENSMUSG00000026955</t>
  </si>
  <si>
    <t>suppressor APC domain containing 2</t>
  </si>
  <si>
    <t>ENSMUSG00000019194</t>
  </si>
  <si>
    <t>sodium channel, voltage-gated, type I, beta</t>
  </si>
  <si>
    <t>ENSMUSG00000067879</t>
  </si>
  <si>
    <t>RIKEN cDNA 3110035E14 gene</t>
  </si>
  <si>
    <t>ENSMUSG00000023009</t>
  </si>
  <si>
    <t>NCK-associated protein 5-like</t>
  </si>
  <si>
    <t>ENSMUSG00000039578</t>
  </si>
  <si>
    <t>coiled-coil serine rich 1</t>
  </si>
  <si>
    <t>ENSMUSG00000015981</t>
  </si>
  <si>
    <t>serine/threonine kinase 32C</t>
  </si>
  <si>
    <t>ENSMUSG00000029090</t>
  </si>
  <si>
    <t>adhesion G protein-coupled receptor A3</t>
  </si>
  <si>
    <t>ENSMUSG00000034801</t>
  </si>
  <si>
    <t>son of sevenless homolog 2 (Drosophila)</t>
  </si>
  <si>
    <t>ENSMUSG00000026034</t>
  </si>
  <si>
    <t>CDC-like kinase 1</t>
  </si>
  <si>
    <t>ENSMUSG00000028059</t>
  </si>
  <si>
    <t>rho/rac guanine nucleotide exchange factor (GEF) 2</t>
  </si>
  <si>
    <t>ENSMUSG00000045404</t>
  </si>
  <si>
    <t>potassium channel, subfamily K, member 13</t>
  </si>
  <si>
    <t>ENSMUSG00000039242</t>
  </si>
  <si>
    <t>UDP-GalNAc:betaGlcNAc beta 1,3-galactosaminyltransferase, polypeptide 2</t>
  </si>
  <si>
    <t>ENSMUSG00000075318</t>
  </si>
  <si>
    <t>sodium channel, voltage-gated, type II, alpha</t>
  </si>
  <si>
    <t>ENSMUSG00000052488</t>
  </si>
  <si>
    <t>calcium homeostasis endoplasmic reticulum protein</t>
  </si>
  <si>
    <t>ENSMUSG00000039850</t>
  </si>
  <si>
    <t>endonuclease V</t>
  </si>
  <si>
    <t>ENSMUSG00000014444</t>
  </si>
  <si>
    <t>piezo-type mechanosensitive ion channel component 1</t>
  </si>
  <si>
    <t>ENSMUSG00000038895</t>
  </si>
  <si>
    <t>zinc finger protein 653</t>
  </si>
  <si>
    <t>ENSMUSG00000048330</t>
  </si>
  <si>
    <t>RIC3 acetylcholine receptor chaperone</t>
  </si>
  <si>
    <t>ENSMUSG00000038517</t>
  </si>
  <si>
    <t>TBK1 binding protein 1</t>
  </si>
  <si>
    <t>ENSMUSG00000097571</t>
  </si>
  <si>
    <t>Jpx transcript, Xist activator (non-protein coding)</t>
  </si>
  <si>
    <t>ENSMUSG00000036832</t>
  </si>
  <si>
    <t>lysophosphatidic acid receptor 3</t>
  </si>
  <si>
    <t>ENSMUSG00000022265</t>
  </si>
  <si>
    <t>progressive ankylosis</t>
  </si>
  <si>
    <t>ENSMUSG00000042225</t>
  </si>
  <si>
    <t>Alport syndrome, mental retardation, midface hypoplasia and elliptocytosis chromosomal region gene 1</t>
  </si>
  <si>
    <t>ENSMUSG00000020275</t>
  </si>
  <si>
    <t>reticuloendotheliosis oncogene</t>
  </si>
  <si>
    <t>ENSMUSG00000023809</t>
  </si>
  <si>
    <t>ribosomal protein S6 kinase, polypeptide 2</t>
  </si>
  <si>
    <t>ENSMUSG00000023913</t>
  </si>
  <si>
    <t>phospholipase A2, group VII (platelet-activating factor acetylhydrolase, plasma)</t>
  </si>
  <si>
    <t>ENSMUSG00000001419</t>
  </si>
  <si>
    <t>myocyte enhancer factor 2D</t>
  </si>
  <si>
    <t>ENSMUSG00000031093</t>
  </si>
  <si>
    <t>dedicator of cytokinesis 11</t>
  </si>
  <si>
    <t>ENSMUSG00000034575</t>
  </si>
  <si>
    <t>PAP associated domain containing 7</t>
  </si>
  <si>
    <t>ENSMUSG00000037266</t>
  </si>
  <si>
    <t>arginine/serine rich protein 1</t>
  </si>
  <si>
    <t>ENSMUSG00000015656</t>
  </si>
  <si>
    <t>heat shock protein 8</t>
  </si>
  <si>
    <t>ENSMUSG00000021720</t>
  </si>
  <si>
    <t>ring finger protein 180</t>
  </si>
  <si>
    <t>ENSMUSG00000071454</t>
  </si>
  <si>
    <t>dystrobrevin, beta</t>
  </si>
  <si>
    <t>ENSMUSG00000039568</t>
  </si>
  <si>
    <t>UBA-like domain containing 1</t>
  </si>
  <si>
    <t>ENSMUSG00000047216</t>
  </si>
  <si>
    <t>cadherin 19, type 2</t>
  </si>
  <si>
    <t>ENSMUSG00000027330</t>
  </si>
  <si>
    <t>cell division cycle 25B</t>
  </si>
  <si>
    <t>ENSMUSG00000020015</t>
  </si>
  <si>
    <t>cyclin-dependent kinase 17</t>
  </si>
  <si>
    <t>ENSMUSG00000024807</t>
  </si>
  <si>
    <t>synovial apoptosis inhibitor 1, synoviolin</t>
  </si>
  <si>
    <t>ENSMUSG00000042444</t>
  </si>
  <si>
    <t>family with sequence similarity 63, member B</t>
  </si>
  <si>
    <t>ENSMUSG00000028005</t>
  </si>
  <si>
    <t>guanylate cyclase 1, soluble, beta 3</t>
  </si>
  <si>
    <t>ENSMUSG00000046179</t>
  </si>
  <si>
    <t>E2F transcription factor 8</t>
  </si>
  <si>
    <t>ENSMUSG00000020978</t>
  </si>
  <si>
    <t>kelch domain containing 2</t>
  </si>
  <si>
    <t>ENSMUSG00000031765</t>
  </si>
  <si>
    <t>metallothionein 1</t>
  </si>
  <si>
    <t>ENSMUSG00000030678</t>
  </si>
  <si>
    <t>MYC-associated zinc finger protein (purine-binding transcription factor)</t>
  </si>
  <si>
    <t>ENSMUSG00000060733</t>
  </si>
  <si>
    <t>inositol polyphosphate multikinase</t>
  </si>
  <si>
    <t>ENSMUSG00000021576</t>
  </si>
  <si>
    <t>programmed cell death 6</t>
  </si>
  <si>
    <t>ENSMUSG00000102206</t>
  </si>
  <si>
    <t>protocadherin alpha 11</t>
  </si>
  <si>
    <t>ENSMUSG00000036955</t>
  </si>
  <si>
    <t>KIF1 binding protein</t>
  </si>
  <si>
    <t>ENSMUSG00000061666</t>
  </si>
  <si>
    <t>glycerophosphodiester phosphodiesterase domain containing 1</t>
  </si>
  <si>
    <t>ENSMUSG00000048216</t>
  </si>
  <si>
    <t>G protein-coupled receptor 85</t>
  </si>
  <si>
    <t>ENSMUSG00000031673</t>
  </si>
  <si>
    <t>cadherin 11</t>
  </si>
  <si>
    <t>ENSMUSG00000027998</t>
  </si>
  <si>
    <t>pleiotropic regulator 1</t>
  </si>
  <si>
    <t>ENSMUSG00000034557</t>
  </si>
  <si>
    <t>zinc finger, FYVE domain containing 9</t>
  </si>
  <si>
    <t>ENSMUSG00000036057</t>
  </si>
  <si>
    <t>protein tyrosine phosphatase, non-receptor type 23</t>
  </si>
  <si>
    <t>ENSMUSG00000042228</t>
  </si>
  <si>
    <t>LYN proto-oncogene, Src family tyrosine kinase</t>
  </si>
  <si>
    <t>ENSMUSG00000008200</t>
  </si>
  <si>
    <t>formin binding protein 4</t>
  </si>
  <si>
    <t>ENSMUSG00000069874</t>
  </si>
  <si>
    <t>immunity-related GTPase family M member 2</t>
  </si>
  <si>
    <t>ENSMUSG00000034156</t>
  </si>
  <si>
    <t>benzodiazepine receptor associated protein 1</t>
  </si>
  <si>
    <t>ENSMUSG00000004661</t>
  </si>
  <si>
    <t>AT rich interactive domain 3B (BRIGHT-like)</t>
  </si>
  <si>
    <t>ENSMUSG00000050705</t>
  </si>
  <si>
    <t>RIKEN cDNA 2310061I04 gene</t>
  </si>
  <si>
    <t>ENSMUSG00000055692</t>
  </si>
  <si>
    <t>transmembrane protein 191C</t>
  </si>
  <si>
    <t>ENSMUSG00000033184</t>
  </si>
  <si>
    <t>transmembrane emp24 protein transport domain containing 7</t>
  </si>
  <si>
    <t>ENSMUSG00000030447</t>
  </si>
  <si>
    <t>cytoplasmic FMR1 interacting protein 1</t>
  </si>
  <si>
    <t>ENSMUSG00000068917</t>
  </si>
  <si>
    <t>CDC-like kinase 2</t>
  </si>
  <si>
    <t>ENSMUSG00000031352</t>
  </si>
  <si>
    <t>holocytochrome c synthetase</t>
  </si>
  <si>
    <t>ENSMUSG00000068220</t>
  </si>
  <si>
    <t>lectin, galactose binding, soluble 1</t>
  </si>
  <si>
    <t>ENSMUSG00000028845</t>
  </si>
  <si>
    <t>tektin 2</t>
  </si>
  <si>
    <t>ENSMUSG00000021451</t>
  </si>
  <si>
    <t>sema domain, immunoglobulin domain (Ig), transmembrane domain (TM) and short cytoplasmic domain, (semaphorin) 4D</t>
  </si>
  <si>
    <t>ENSMUSG00000072704</t>
  </si>
  <si>
    <t>small integral membrane protein 10 like 1</t>
  </si>
  <si>
    <t>ENSMUSG00000009013</t>
  </si>
  <si>
    <t>dynein light chain LC8-type 1</t>
  </si>
  <si>
    <t>ENSMUSG00000032262</t>
  </si>
  <si>
    <t>elongation of very long chain fatty acids (FEN1/Elo2, SUR4/Elo3, yeast)-like 4</t>
  </si>
  <si>
    <t>ENSMUSG00000050063</t>
  </si>
  <si>
    <t>kallikrein related-peptidase 6</t>
  </si>
  <si>
    <t>ENSMUSG00000097267</t>
  </si>
  <si>
    <t>RIKEN cDNA 1700109K24 gene</t>
  </si>
  <si>
    <t>ENSMUSG00000046985</t>
  </si>
  <si>
    <t>transmembrane anterior posterior transformation 1</t>
  </si>
  <si>
    <t>ENSMUSG00000096768</t>
  </si>
  <si>
    <t>erythroid differentiation regulator 1</t>
  </si>
  <si>
    <t>ENSMUSG00000000149</t>
  </si>
  <si>
    <t>guanine nucleotide binding protein, alpha 12</t>
  </si>
  <si>
    <t>ENSMUSG00000010453</t>
  </si>
  <si>
    <t>KAT8 regulatory NSL complex subunit 3</t>
  </si>
  <si>
    <t>ENSMUSG00000047678</t>
  </si>
  <si>
    <t>G protein-coupled receptor 82</t>
  </si>
  <si>
    <t>ENSMUSG00000027434</t>
  </si>
  <si>
    <t>NK2 homeobox 2</t>
  </si>
  <si>
    <t>ENSMUSG00000024068</t>
  </si>
  <si>
    <t>spastin</t>
  </si>
  <si>
    <t>ENSMUSG00000040310</t>
  </si>
  <si>
    <t>aristaless-like homeobox 4</t>
  </si>
  <si>
    <t>ENSMUSG00000021218</t>
  </si>
  <si>
    <t>guanosine diphosphate (GDP) dissociation inhibitor 2</t>
  </si>
  <si>
    <t>ENSMUSG00000061533</t>
  </si>
  <si>
    <t>centrosomal protein 128</t>
  </si>
  <si>
    <t>ENSMUSG00000025932</t>
  </si>
  <si>
    <t>EYA transcriptional coactivator and phosphatase 1</t>
  </si>
  <si>
    <t>ENSMUSG00000082229</t>
  </si>
  <si>
    <t>nucleosome assembly protein 1-like 2</t>
  </si>
  <si>
    <t>ENSMUSG00000000399</t>
  </si>
  <si>
    <t>NADH dehydrogenase (ubiquinone) 1 alpha subcomplex, 9</t>
  </si>
  <si>
    <t>ENSMUSG00000063888</t>
  </si>
  <si>
    <t>ribosomal protein L7-like 1</t>
  </si>
  <si>
    <t>ENSMUSG00000002379</t>
  </si>
  <si>
    <t>NADH dehydrogenase (ubiquinone) 1 alpha subcomplex 11</t>
  </si>
  <si>
    <t>ENSMUSG00000024002</t>
  </si>
  <si>
    <t>bromodomain containing 4</t>
  </si>
  <si>
    <t>ENSMUSG00000040524</t>
  </si>
  <si>
    <t>zinc finger protein 609</t>
  </si>
  <si>
    <t>ENSMUSG00000022718</t>
  </si>
  <si>
    <t>DiGeorge syndrome critical region gene 8</t>
  </si>
  <si>
    <t>ENSMUSG00000036661</t>
  </si>
  <si>
    <t>DENN/MADD domain containing 3</t>
  </si>
  <si>
    <t>ENSMUSG00000025592</t>
  </si>
  <si>
    <t>dachshund 2 (Drosophila)</t>
  </si>
  <si>
    <t>ENSMUSG00000024594</t>
  </si>
  <si>
    <t>proline-rich coiled-coil 1</t>
  </si>
  <si>
    <t>ENSMUSG00000024914</t>
  </si>
  <si>
    <t>Dr1 associated protein 1 (negative cofactor 2 alpha)</t>
  </si>
  <si>
    <t>ENSMUSG00000035235</t>
  </si>
  <si>
    <t>tripartite motif-containing 13</t>
  </si>
  <si>
    <t>ENSMUSG00000019066</t>
  </si>
  <si>
    <t>RAB3D, member RAS oncogene family</t>
  </si>
  <si>
    <t>ENSMUSG00000023175</t>
  </si>
  <si>
    <t>basigin</t>
  </si>
  <si>
    <t>ENSMUSG00000003575</t>
  </si>
  <si>
    <t>CREB regulated transcription coactivator 1</t>
  </si>
  <si>
    <t>ENSMUSG00000034055</t>
  </si>
  <si>
    <t>phosphorylase kinase alpha 1</t>
  </si>
  <si>
    <t>ENSMUSG00000051517</t>
  </si>
  <si>
    <t>Rho guanine nucleotide exchange factor (GEF) 39</t>
  </si>
  <si>
    <t>ENSMUSG00000020154</t>
  </si>
  <si>
    <t>protein tyrosine phosphatase, receptor type, B</t>
  </si>
  <si>
    <t>ENSMUSG00000000959</t>
  </si>
  <si>
    <t>oxidase assembly 1-like</t>
  </si>
  <si>
    <t>ENSMUSG00000010721</t>
  </si>
  <si>
    <t>limb region 1</t>
  </si>
  <si>
    <t>ENSMUSG00000029153</t>
  </si>
  <si>
    <t>OCIA domain containing 2</t>
  </si>
  <si>
    <t>ENSMUSG00000029167</t>
  </si>
  <si>
    <t>peroxisome proliferative activated receptor, gamma, coactivator 1 alpha</t>
  </si>
  <si>
    <t>ENSMUSG00000036381</t>
  </si>
  <si>
    <t>RIKEN cDNA F630111L10 gene</t>
  </si>
  <si>
    <t>purinergic receptor P2Y, G-protein coupled, 14</t>
  </si>
  <si>
    <t>ENSMUSG00000086370</t>
  </si>
  <si>
    <t>Ftx transcript, Xist regulator (non-protein coding)</t>
  </si>
  <si>
    <t>ENSMUSG00000022203</t>
  </si>
  <si>
    <t>embryonal Fyn-associated substrate</t>
  </si>
  <si>
    <t>ENSMUSG00000008301</t>
  </si>
  <si>
    <t>phosphorylated adaptor for RNA export</t>
  </si>
  <si>
    <t>ENSMUSG00000037946</t>
  </si>
  <si>
    <t>FYVE, RhoGEF and PH domain containing 3</t>
  </si>
  <si>
    <t>ENSMUSG00000020359</t>
  </si>
  <si>
    <t>5-phosphohydroxy-L-lysine phospholyase</t>
  </si>
  <si>
    <t>ENSMUSG00000032815</t>
  </si>
  <si>
    <t>Fanconi anemia, complementation group A</t>
  </si>
  <si>
    <t>ENSMUSG00000017707</t>
  </si>
  <si>
    <t>serine incorporator 3</t>
  </si>
  <si>
    <t>ENSMUSG00000047037</t>
  </si>
  <si>
    <t>non imprinted in Prader-Willi/Angelman syndrome 1 homolog (human)</t>
  </si>
  <si>
    <t>ENSMUSG00000026207</t>
  </si>
  <si>
    <t>SPEG complex locus</t>
  </si>
  <si>
    <t>ENSMUSG00000051469</t>
  </si>
  <si>
    <t>zinc finger protein 24</t>
  </si>
  <si>
    <t>ENSMUSG00000025016</t>
  </si>
  <si>
    <t>transmembrane 9 superfamily member 3</t>
  </si>
  <si>
    <t>ENSMUSG00000029017</t>
  </si>
  <si>
    <t>peptidase (mitochondrial processing) beta</t>
  </si>
  <si>
    <t>ENSMUSG00000022833</t>
  </si>
  <si>
    <t>coiled-coil domain containing 14</t>
  </si>
  <si>
    <t>ENSMUSG00000019087</t>
  </si>
  <si>
    <t>ATPase, H+ transporting, lysosomal accessory protein 1</t>
  </si>
  <si>
    <t>ENSMUSG00000022999</t>
  </si>
  <si>
    <t>limb region 1 like</t>
  </si>
  <si>
    <t>ENSMUSG00000042708</t>
  </si>
  <si>
    <t>Shc SH2-domain binding protein 1-like</t>
  </si>
  <si>
    <t>ENSMUSG00000034928</t>
  </si>
  <si>
    <t>ring finger protein 44</t>
  </si>
  <si>
    <t>ENSMUSG00000078853</t>
  </si>
  <si>
    <t>interferon gamma induced GTPase</t>
  </si>
  <si>
    <t>ENSMUSG00000050240</t>
  </si>
  <si>
    <t>hypermethylated in cancer 2</t>
  </si>
  <si>
    <t>ENSMUSG00000024286</t>
  </si>
  <si>
    <t>cyclin Y</t>
  </si>
  <si>
    <t>ENSMUSG00000006782</t>
  </si>
  <si>
    <t>2',3'-cyclic nucleotide 3' phosphodiesterase</t>
  </si>
  <si>
    <t>ENSMUSG00000035437</t>
  </si>
  <si>
    <t>RAB GTPase activating protein 1</t>
  </si>
  <si>
    <t>ENSMUSG00000020634</t>
  </si>
  <si>
    <t>UBX domain protein 2A</t>
  </si>
  <si>
    <t>ENSMUSG00000047155</t>
  </si>
  <si>
    <t>cytochrome P450, family 4, subfamily x, polypeptide 1</t>
  </si>
  <si>
    <t>ENSMUSG00000028820</t>
  </si>
  <si>
    <t>splicing factor proline/glutamine rich (polypyrimidine tract binding protein associated)</t>
  </si>
  <si>
    <t>ENSMUSG00000018567</t>
  </si>
  <si>
    <t>gamma-aminobutyric acid receptor associated protein</t>
  </si>
  <si>
    <t>ENSMUSG00000029999</t>
  </si>
  <si>
    <t>transforming growth factor alpha</t>
  </si>
  <si>
    <t>ENSMUSG00000025544</t>
  </si>
  <si>
    <t>transmembrane 9 superfamily member 2</t>
  </si>
  <si>
    <t>ENSMUSG00000031634</t>
  </si>
  <si>
    <t>UFM1-specific peptidase 2</t>
  </si>
  <si>
    <t>ENSMUSG00000028957</t>
  </si>
  <si>
    <t>period circadian clock 3</t>
  </si>
  <si>
    <t>ENSMUSG00000021796</t>
  </si>
  <si>
    <t>bone morphogenetic protein receptor, type 1A</t>
  </si>
  <si>
    <t>ENSMUSG00000029467</t>
  </si>
  <si>
    <t>ATPase, Ca++ transporting, cardiac muscle, slow twitch 2</t>
  </si>
  <si>
    <t>ENSMUSG00000020646</t>
  </si>
  <si>
    <t>membrane bound O-acyltransferase domain containing 2</t>
  </si>
  <si>
    <t>ENSMUSG00000102252</t>
  </si>
  <si>
    <t>small nuclear ribonucleoprotein N</t>
  </si>
  <si>
    <t>ENSMUSG00000039530</t>
  </si>
  <si>
    <t>tumor suppressor candidate 3</t>
  </si>
  <si>
    <t>ENSMUSG00000003847</t>
  </si>
  <si>
    <t>nuclear factor of activated T cells 5</t>
  </si>
  <si>
    <t>ENSMUSG00000102049</t>
  </si>
  <si>
    <t>zinc finger, BED type containing 6</t>
  </si>
  <si>
    <t>ENSMUSG00000053702</t>
  </si>
  <si>
    <t>nebulette</t>
  </si>
  <si>
    <t>ENSMUSG00000032038</t>
  </si>
  <si>
    <t>ST3 beta-galactoside alpha-2,3-sialyltransferase 4</t>
  </si>
  <si>
    <t>ENSMUSG00000037112</t>
  </si>
  <si>
    <t>salt inducible kinase 2</t>
  </si>
  <si>
    <t>ENSMUSG00000028256</t>
  </si>
  <si>
    <t>outer dense fiber of sperm tails 2-like</t>
  </si>
  <si>
    <t>ENSMUSG00000031465</t>
  </si>
  <si>
    <t>angiopoietin 2</t>
  </si>
  <si>
    <t>ENSMUSG00000021905</t>
  </si>
  <si>
    <t>diphthamine biosynthesis 3</t>
  </si>
  <si>
    <t>ENSMUSG00000027428</t>
  </si>
  <si>
    <t>retinoblastoma binding protein 9</t>
  </si>
  <si>
    <t>ENSMUSG00000022428</t>
  </si>
  <si>
    <t>chibby homolog 1 (Drosophila)</t>
  </si>
  <si>
    <t>ENSMUSG00000086330</t>
  </si>
  <si>
    <t>RIKEN cDNA 1700007J10 gene</t>
  </si>
  <si>
    <t>ENSMUSG00000004865</t>
  </si>
  <si>
    <t>serine/arginine-rich protein specific kinase 1</t>
  </si>
  <si>
    <t>ENSMUSG00000026004</t>
  </si>
  <si>
    <t>KAT8 regulatory NSL complex subunit 1-like</t>
  </si>
  <si>
    <t>ENSMUSG00000001911</t>
  </si>
  <si>
    <t>nuclear factor I/X</t>
  </si>
  <si>
    <t>ENSMUSG00000002346</t>
  </si>
  <si>
    <t>solute carrier family 25, member 42</t>
  </si>
  <si>
    <t>ENSMUSG00000022108</t>
  </si>
  <si>
    <t>integral membrane protein 2B</t>
  </si>
  <si>
    <t>ENSMUSG00000068115</t>
  </si>
  <si>
    <t>ninein-like</t>
  </si>
  <si>
    <t>ENSMUSG00000015733</t>
  </si>
  <si>
    <t>capping protein (actin filament) muscle Z-line, alpha 2</t>
  </si>
  <si>
    <t>ENSMUSG00000027351</t>
  </si>
  <si>
    <t>sprouty protein with EVH-1 domain 1, related sequence</t>
  </si>
  <si>
    <t>ENSMUSG00000040560</t>
  </si>
  <si>
    <t>WD repeat domain 7</t>
  </si>
  <si>
    <t>ENSMUSG00000031639</t>
  </si>
  <si>
    <t>toll-like receptor 3</t>
  </si>
  <si>
    <t>ENSMUSG00000006010</t>
  </si>
  <si>
    <t>cDNA sequence BC003331</t>
  </si>
  <si>
    <t>ENSMUSG00000032783</t>
  </si>
  <si>
    <t>trophinin associated protein</t>
  </si>
  <si>
    <t>ENSMUSG00000046447</t>
  </si>
  <si>
    <t>calcium/calmodulin-dependent protein kinase II inhibitor 1</t>
  </si>
  <si>
    <t>ENSMUSG00000062209</t>
  </si>
  <si>
    <t>erb-b2 receptor tyrosine kinase 4</t>
  </si>
  <si>
    <t>ENSMUSG00000033629</t>
  </si>
  <si>
    <t>3-hydroxyacyl-CoA dehydratase 3</t>
  </si>
  <si>
    <t>ENSMUSG00000048109</t>
  </si>
  <si>
    <t>RNA binding motif protein 15</t>
  </si>
  <si>
    <t>ENSMUSG00000019906</t>
  </si>
  <si>
    <t>lin-7 homolog A (C. elegans)</t>
  </si>
  <si>
    <t>ENSMUSG00000073987</t>
  </si>
  <si>
    <t>gamma-glutamyl hydrolase</t>
  </si>
  <si>
    <t>ENSMUSG00000055653</t>
  </si>
  <si>
    <t>glypican 3</t>
  </si>
  <si>
    <t>ENSMUSG00000040867</t>
  </si>
  <si>
    <t>brain-enriched guanylate kinase-associated</t>
  </si>
  <si>
    <t>ENSMUSG00000028248</t>
  </si>
  <si>
    <t>PNN interacting serine/arginine-rich</t>
  </si>
  <si>
    <t>ENSMUSG00000020326</t>
  </si>
  <si>
    <t>cyclin G1</t>
  </si>
  <si>
    <t>ENSMUSG00000031988</t>
  </si>
  <si>
    <t>VPS26 retromer complex component B</t>
  </si>
  <si>
    <t>ENSMUSG00000076433</t>
  </si>
  <si>
    <t>cDNA sequence BC100451</t>
  </si>
  <si>
    <t>ENSMUSG00000021306</t>
  </si>
  <si>
    <t>G protein-coupled receptor 137B</t>
  </si>
  <si>
    <t>ENSMUSG00000037995</t>
  </si>
  <si>
    <t>immunoglobulin superfamily, member 9</t>
  </si>
  <si>
    <t>ENSMUSG00000034460</t>
  </si>
  <si>
    <t>sine oculis-related homeobox 4</t>
  </si>
  <si>
    <t>ENSMUSG00000035199</t>
  </si>
  <si>
    <t>ADP-ribosylation factor-like 6 interacting protein 5</t>
  </si>
  <si>
    <t>ENSMUSG00000051242</t>
  </si>
  <si>
    <t>protocadherin beta 9</t>
  </si>
  <si>
    <t>ENSMUSG00000026775</t>
  </si>
  <si>
    <t>YME1-like 1 (S. cerevisiae)</t>
  </si>
  <si>
    <t>ENSMUSG00000054364</t>
  </si>
  <si>
    <t>ras homolog family member B</t>
  </si>
  <si>
    <t>ENSMUSG00000047139</t>
  </si>
  <si>
    <t>CD24a antigen</t>
  </si>
  <si>
    <t>ENSMUSG00000075702</t>
  </si>
  <si>
    <t>selenoprotein M</t>
  </si>
  <si>
    <t>ENSMUSG00000047044</t>
  </si>
  <si>
    <t>RIKEN cDNA D030056L22 gene</t>
  </si>
  <si>
    <t>ENSMUSG00000059734</t>
  </si>
  <si>
    <t>NADH dehydrogenase (ubiquinone) Fe-S protein 8</t>
  </si>
  <si>
    <t>ENSMUSG00000042942</t>
  </si>
  <si>
    <t>growth regulation by estrogen in breast cancer-like</t>
  </si>
  <si>
    <t>ENSMUSG00000028199</t>
  </si>
  <si>
    <t>crystallin, zeta</t>
  </si>
  <si>
    <t>ENSMUSG00000022762</t>
  </si>
  <si>
    <t>neural cell adhesion molecule 2</t>
  </si>
  <si>
    <t>ENSMUSG00000006304</t>
  </si>
  <si>
    <t>actin related protein 2/3 complex, subunit 2</t>
  </si>
  <si>
    <t>ENSMUSG00000002608</t>
  </si>
  <si>
    <t>coiled-coil domain containing 97</t>
  </si>
  <si>
    <t>ENSMUSG00000027642</t>
  </si>
  <si>
    <t>ribophorin II</t>
  </si>
  <si>
    <t>ENSMUSG00000033910</t>
  </si>
  <si>
    <t>guanylate cyclase 1, soluble, alpha 3</t>
  </si>
  <si>
    <t>ENSMUSG00000032458</t>
  </si>
  <si>
    <t>coatomer protein complex, subunit beta 2 (beta prime)</t>
  </si>
  <si>
    <t>ENSMUSG00000020185</t>
  </si>
  <si>
    <t>E2F transcription factor 7</t>
  </si>
  <si>
    <t>ENSMUSG00000032279</t>
  </si>
  <si>
    <t>isocitrate dehydrogenase 3 (NAD+) alpha</t>
  </si>
  <si>
    <t>ENSMUSG00000025035</t>
  </si>
  <si>
    <t>ADP-ribosylation factor-like 3</t>
  </si>
  <si>
    <t>ENSMUSG00000028556</t>
  </si>
  <si>
    <t>dedicator of cytokinesis 7</t>
  </si>
  <si>
    <t>ENSMUSG00000090053</t>
  </si>
  <si>
    <t>paralemmin 2</t>
  </si>
  <si>
    <t>ENSMUSG00000002688</t>
  </si>
  <si>
    <t>protein kinase D1</t>
  </si>
  <si>
    <t>ENSMUSG00000001175</t>
  </si>
  <si>
    <t>calmodulin 1</t>
  </si>
  <si>
    <t>ENSMUSG00000021738</t>
  </si>
  <si>
    <t>ataxin 7</t>
  </si>
  <si>
    <t>ENSMUSG00000027829</t>
  </si>
  <si>
    <t>cyclin L1</t>
  </si>
  <si>
    <t>ENSMUSG00000038607</t>
  </si>
  <si>
    <t>guanine nucleotide binding protein (G protein), gamma 10</t>
  </si>
  <si>
    <t>ENSMUSG00000079481</t>
  </si>
  <si>
    <t>NHS-like 2</t>
  </si>
  <si>
    <t>ENSMUSG00000025337</t>
  </si>
  <si>
    <t>Shwachman-Bodian-Diamond syndrome homolog (human)</t>
  </si>
  <si>
    <t>ENSMUSG00000031537</t>
  </si>
  <si>
    <t>inhibitor of kappaB kinase beta</t>
  </si>
  <si>
    <t>ENSMUSG00000037720</t>
  </si>
  <si>
    <t>transmembrane protein 33</t>
  </si>
  <si>
    <t>ENSMUSG00000001383</t>
  </si>
  <si>
    <t>zinc finger, matrin type 2</t>
  </si>
  <si>
    <t>ENSMUSG00000000325</t>
  </si>
  <si>
    <t>armadillo repeat gene deleted in velo-cardio-facial syndrome</t>
  </si>
  <si>
    <t>ENSMUSG00000026383</t>
  </si>
  <si>
    <t>erythrocyte membrane protein band 4.1 like 5</t>
  </si>
  <si>
    <t>ENSMUSG00000016624</t>
  </si>
  <si>
    <t>PHD finger protein 21B</t>
  </si>
  <si>
    <t>ENSMUSG00000055436</t>
  </si>
  <si>
    <t>serine/arginine-rich splicing factor 11</t>
  </si>
  <si>
    <t>ENSMUSG00000031357</t>
  </si>
  <si>
    <t>synapse associated protein 1</t>
  </si>
  <si>
    <t>ENSMUSG00000029607</t>
  </si>
  <si>
    <t>ankyrin repeat domain 61</t>
  </si>
  <si>
    <t>ENSMUSG00000066892</t>
  </si>
  <si>
    <t>F-box and leucine-rich repeat protein 12</t>
  </si>
  <si>
    <t>ENSMUSG00000022382</t>
  </si>
  <si>
    <t>wingless-type MMTV integration site family, member 7B</t>
  </si>
  <si>
    <t>ENSMUSG00000041164</t>
  </si>
  <si>
    <t>zinc finger, MIZ-type containing 2</t>
  </si>
  <si>
    <t>ENSMUSG00000021702</t>
  </si>
  <si>
    <t>thrombospondin 4</t>
  </si>
  <si>
    <t>ENSMUSG00000028476</t>
  </si>
  <si>
    <t>reversion-inducing-cysteine-rich protein with kazal motifs</t>
  </si>
  <si>
    <t>ENSMUSG00000037364</t>
  </si>
  <si>
    <t>serrate RNA effector molecule homolog (Arabidopsis)</t>
  </si>
  <si>
    <t>ENSMUSG00000040234</t>
  </si>
  <si>
    <t>transmembrane 7 superfamily member 3</t>
  </si>
  <si>
    <t>ENSMUSG00000053199</t>
  </si>
  <si>
    <t>Rho GTPase activating protein 20</t>
  </si>
  <si>
    <t>ENSMUSG00000003665</t>
  </si>
  <si>
    <t>hyaluronan synthase1</t>
  </si>
  <si>
    <t>ENSMUSG00000036257</t>
  </si>
  <si>
    <t>patatin-like phospholipase domain containing 8</t>
  </si>
  <si>
    <t>ENSMUSG00000039463</t>
  </si>
  <si>
    <t>solute carrier family 9 (sodium/hydrogen exchanger), member 8</t>
  </si>
  <si>
    <t>ENSMUSG00000043987</t>
  </si>
  <si>
    <t>centrosomal protein 164</t>
  </si>
  <si>
    <t>ENSMUSG00000006281</t>
  </si>
  <si>
    <t>telomerase associated protein 1</t>
  </si>
  <si>
    <t>ENSMUSG00000029406</t>
  </si>
  <si>
    <t>phosphatidylinositol transfer protein, membrane-associated 2</t>
  </si>
  <si>
    <t>ENSMUSG00000038206</t>
  </si>
  <si>
    <t>F-box protein 8</t>
  </si>
  <si>
    <t>ENSMUSG00000041130</t>
  </si>
  <si>
    <t>zinc finger protein 598</t>
  </si>
  <si>
    <t>ENSMUSG00000054823</t>
  </si>
  <si>
    <t>Wolf-Hirschhorn syndrome candidate 1-like 1 (human)</t>
  </si>
  <si>
    <t>ENSMUSG00000002981</t>
  </si>
  <si>
    <t>cleft lip and palate associated transmembrane protein 1</t>
  </si>
  <si>
    <t>ENSMUSG00000079560</t>
  </si>
  <si>
    <t>homeobox A3</t>
  </si>
  <si>
    <t>ENSMUSG00000033916</t>
  </si>
  <si>
    <t>charged multivesicular body protein 2A</t>
  </si>
  <si>
    <t>ENSMUSG00000038648</t>
  </si>
  <si>
    <t>cAMP responsive element binding protein 3-like 2</t>
  </si>
  <si>
    <t>ENSMUSG00000017007</t>
  </si>
  <si>
    <t>recombination signal binding protein for immunoglobulin kappa J region-like</t>
  </si>
  <si>
    <t>ENSMUSG00000028952</t>
  </si>
  <si>
    <t>zinc finger and BTB domain containing 48</t>
  </si>
  <si>
    <t>ENSMUSG00000031342</t>
  </si>
  <si>
    <t>glycoprotein m6b</t>
  </si>
  <si>
    <t>ENSMUSG00000000881</t>
  </si>
  <si>
    <t>discs, large homolog 3 (Drosophila)</t>
  </si>
  <si>
    <t>ENSMUSG00000041064</t>
  </si>
  <si>
    <t>PIF1 5'-to-3' DNA helicase</t>
  </si>
  <si>
    <t>ENSMUSG00000033545</t>
  </si>
  <si>
    <t>zinc and ring finger 1</t>
  </si>
  <si>
    <t>ENSMUSG00000024038</t>
  </si>
  <si>
    <t>NADH dehydrogenase (ubiquinone) flavoprotein 3</t>
  </si>
  <si>
    <t>ENSMUSG00000038538</t>
  </si>
  <si>
    <t>ubinuclein 2</t>
  </si>
  <si>
    <t>ENSMUSG00000068732</t>
  </si>
  <si>
    <t>transmembrane protein 167B</t>
  </si>
  <si>
    <t>ENSMUSG00000031028</t>
  </si>
  <si>
    <t>tubby candidate gene</t>
  </si>
  <si>
    <t>ENSMUSG00000022686</t>
  </si>
  <si>
    <t>UDP-GlcNAc:betaGal beta-1,3-N-acetylglucosaminyltransferase 5</t>
  </si>
  <si>
    <t>ENSMUSG00000045409</t>
  </si>
  <si>
    <t>tripartite motif-containing 39</t>
  </si>
  <si>
    <t>ENSMUSG00000003429</t>
  </si>
  <si>
    <t>ribosomal protein S11</t>
  </si>
  <si>
    <t>ENSMUSG00000021508</t>
  </si>
  <si>
    <t>chemokine (C-X-C motif) ligand 14</t>
  </si>
  <si>
    <t>ENSMUSG00000022336</t>
  </si>
  <si>
    <t>eukaryotic translation initiation factor 3, subunit E</t>
  </si>
  <si>
    <t>ENSMUSG00000028692</t>
  </si>
  <si>
    <t>aldo-keto reductase family 1, member A1 (aldehyde reductase)</t>
  </si>
  <si>
    <t>ENSMUSG00000070366</t>
  </si>
  <si>
    <t>phospholipid phosphatase 4</t>
  </si>
  <si>
    <t>ENSMUSG00000029053</t>
  </si>
  <si>
    <t>protein kinase C, zeta</t>
  </si>
  <si>
    <t>ENSMUSG00000009291</t>
  </si>
  <si>
    <t>pituitary tumor-transforming 1 interacting protein</t>
  </si>
  <si>
    <t>ENSMUSG00000028998</t>
  </si>
  <si>
    <t>translocase of outer mitochondrial membrane 7 homolog (yeast)</t>
  </si>
  <si>
    <t>ENSMUSG00000031555</t>
  </si>
  <si>
    <t>a disintegrin and metallopeptidase domain 9 (meltrin gamma)</t>
  </si>
  <si>
    <t>ENSMUSG00000071847</t>
  </si>
  <si>
    <t>adenomatosis polyposis coli down-regulated 1</t>
  </si>
  <si>
    <t>ENSMUSG00000023147</t>
  </si>
  <si>
    <t>tryptophan rich basic protein</t>
  </si>
  <si>
    <t>ENSMUSG00000020038</t>
  </si>
  <si>
    <t>cryptochrome 1 (photolyase-like)</t>
  </si>
  <si>
    <t>ENSMUSG00000079470</t>
  </si>
  <si>
    <t>UTP14B small subunit processome component</t>
  </si>
  <si>
    <t>ENSMUSG00000070469</t>
  </si>
  <si>
    <t>ADAMTS-like 3</t>
  </si>
  <si>
    <t>ENSMUSG00000019920</t>
  </si>
  <si>
    <t>LIM and senescent cell antigen-like domains 1</t>
  </si>
  <si>
    <t>ENSMUSG00000082315</t>
  </si>
  <si>
    <t>mitochondrial ribosomal protein L40 pseudogene</t>
  </si>
  <si>
    <t>ENSMUSG00000059182</t>
  </si>
  <si>
    <t>src family associated phosphoprotein 2</t>
  </si>
  <si>
    <t>ENSMUSG00000047539</t>
  </si>
  <si>
    <t>F-box protein 28</t>
  </si>
  <si>
    <t>ENSMUSG00000034832</t>
  </si>
  <si>
    <t>tet methylcytosine dioxygenase 3</t>
  </si>
  <si>
    <t>ENSMUSG00000043059</t>
  </si>
  <si>
    <t>zinc finger protein 513</t>
  </si>
  <si>
    <t>ENSMUSG00000064115</t>
  </si>
  <si>
    <t>cell adhesion molecule 2</t>
  </si>
  <si>
    <t>ENSMUSG00000038776</t>
  </si>
  <si>
    <t>epoxide hydrolase 1, microsomal</t>
  </si>
  <si>
    <t>ENSMUSG00000079641</t>
  </si>
  <si>
    <t>ribosomal protein L39</t>
  </si>
  <si>
    <t>ENSMUSG00000021892</t>
  </si>
  <si>
    <t>SH3-domain binding protein 5 (BTK-associated)</t>
  </si>
  <si>
    <t>ENSMUSG00000023075</t>
  </si>
  <si>
    <t>akirin 1</t>
  </si>
  <si>
    <t>ENSMUSG00000024613</t>
  </si>
  <si>
    <t>treacle ribosome biogenesis factor 1</t>
  </si>
  <si>
    <t>ENSMUSG00000016382</t>
  </si>
  <si>
    <t>plastin 3 (T-isoform)</t>
  </si>
  <si>
    <t>ENSMUSG00000022425</t>
  </si>
  <si>
    <t>ectonucleotide pyrophosphatase/phosphodiesterase 2</t>
  </si>
  <si>
    <t>ENSMUSG00000002578</t>
  </si>
  <si>
    <t>IKAROS family zinc finger 4</t>
  </si>
  <si>
    <t>ENSMUSG00000029765</t>
  </si>
  <si>
    <t>plexin A4</t>
  </si>
  <si>
    <t>ENSMUSG00000032382</t>
  </si>
  <si>
    <t>sorting nexin 1</t>
  </si>
  <si>
    <t>ENSMUSG00000085028</t>
  </si>
  <si>
    <t>Slc2a4 regulator, pseudogene</t>
  </si>
  <si>
    <t>ENSMUSG00000002365</t>
  </si>
  <si>
    <t>sorting nexin 9</t>
  </si>
  <si>
    <t>ENSMUSG00000022885</t>
  </si>
  <si>
    <t>beta galactoside alpha 2,6 sialyltransferase 1</t>
  </si>
  <si>
    <t>ENSMUSG00000032898</t>
  </si>
  <si>
    <t>F-box protein 21</t>
  </si>
  <si>
    <t>ENSMUSG00000039756</t>
  </si>
  <si>
    <t>deoxynucleotidyltransferase, terminal, interacting protein 2</t>
  </si>
  <si>
    <t>ENSMUSG00000024811</t>
  </si>
  <si>
    <t>tankyrase, TRF1-interacting ankyrin-related ADP-ribose polymerase 2</t>
  </si>
  <si>
    <t>ENSMUSG00000026510</t>
  </si>
  <si>
    <t>transformation related protein 53 binding protein 2</t>
  </si>
  <si>
    <t>ENSMUSG00000039194</t>
  </si>
  <si>
    <t>retinaldehyde binding protein 1</t>
  </si>
  <si>
    <t>ENSMUSG00000025742</t>
  </si>
  <si>
    <t>phosphoribosyl pyrophosphate synthetase 2</t>
  </si>
  <si>
    <t>ENSMUSG00000026276</t>
  </si>
  <si>
    <t>septin 2</t>
  </si>
  <si>
    <t>ENSMUSG00000035847</t>
  </si>
  <si>
    <t>iduronate 2-sulfatase</t>
  </si>
  <si>
    <t>ENSMUSG00000026718</t>
  </si>
  <si>
    <t>signal transducing adaptor molecule (SH3 domain and ITAM motif) 1</t>
  </si>
  <si>
    <t>ENSMUSG00000023191</t>
  </si>
  <si>
    <t>prolyl 3-hydroxylase 3</t>
  </si>
  <si>
    <t>ENSMUSG00000019868</t>
  </si>
  <si>
    <t>vesicle (multivesicular body) trafficking 1</t>
  </si>
  <si>
    <t>ENSMUSG00000037016</t>
  </si>
  <si>
    <t>Fras1 related extracellular matrix protein 2</t>
  </si>
  <si>
    <t>ENSMUSG00000035247</t>
  </si>
  <si>
    <t>HECT domain containing 1</t>
  </si>
  <si>
    <t>ENSMUSG00000023243</t>
  </si>
  <si>
    <t>potassium channel, subfamily K, member 5</t>
  </si>
  <si>
    <t>ENSMUSG00000026674</t>
  </si>
  <si>
    <t>discoidin domain receptor family, member 2</t>
  </si>
  <si>
    <t>ENSMUSG00000049090</t>
  </si>
  <si>
    <t>zinc binding alcohol dehydrogenase, domain containing 2</t>
  </si>
  <si>
    <t>ENSMUSG00000036959</t>
  </si>
  <si>
    <t>BCL6 co-repressor-like 1</t>
  </si>
  <si>
    <t>ENSMUSG00000038260</t>
  </si>
  <si>
    <t>transient receptor potential cation channel, subfamily M, member 4</t>
  </si>
  <si>
    <t>ENSMUSG00000085399</t>
  </si>
  <si>
    <t>forkhead box D2, opposite strand</t>
  </si>
  <si>
    <t>ENSMUSG00000024589</t>
  </si>
  <si>
    <t>neural precursor cell expressed, developmentally down-regulated gene 4-like</t>
  </si>
  <si>
    <t>ENSMUSG00000037761</t>
  </si>
  <si>
    <t>ARP5 actin-related protein 5</t>
  </si>
  <si>
    <t>ENSMUSG00000024948</t>
  </si>
  <si>
    <t>mitogen-activated protein kinase kinase kinase kinase 2</t>
  </si>
  <si>
    <t>ENSMUSG00000031833</t>
  </si>
  <si>
    <t>microtubule associated serine/threonine kinase 3</t>
  </si>
  <si>
    <t>ENSMUSG00000029298</t>
  </si>
  <si>
    <t>guanylate-binding protein 9</t>
  </si>
  <si>
    <t>ENSMUSG00000040936</t>
  </si>
  <si>
    <t>unc-51-like kinase 4</t>
  </si>
  <si>
    <t>ENSMUSG00000024949</t>
  </si>
  <si>
    <t>splicing factor 1</t>
  </si>
  <si>
    <t>ENSMUSG00000022556</t>
  </si>
  <si>
    <t>heat shock factor 1</t>
  </si>
  <si>
    <t>ENSMUSG00000002808</t>
  </si>
  <si>
    <t>ependymin related protein 1 (zebrafish)</t>
  </si>
  <si>
    <t>ENSMUSG00000027965</t>
  </si>
  <si>
    <t>olfactomedin 3</t>
  </si>
  <si>
    <t>ENSMUSG00000051378</t>
  </si>
  <si>
    <t>kinesin family member 18B</t>
  </si>
  <si>
    <t>ENSMUSG00000094936</t>
  </si>
  <si>
    <t>RNA binding motif protein 4</t>
  </si>
  <si>
    <t>ENSMUSG00000039087</t>
  </si>
  <si>
    <t>ras responsive element binding protein 1</t>
  </si>
  <si>
    <t>ENSMUSG00000017057</t>
  </si>
  <si>
    <t>interleukin 13 receptor, alpha 1</t>
  </si>
  <si>
    <t>ENSMUSG00000104713</t>
  </si>
  <si>
    <t>guanylate binding protein 6</t>
  </si>
  <si>
    <t>ENSMUSG00000104148</t>
  </si>
  <si>
    <t>protocadherin alpha 2</t>
  </si>
  <si>
    <t>ENSMUSG00000070565</t>
  </si>
  <si>
    <t>RAS protein activator like 2</t>
  </si>
  <si>
    <t>ENSMUSG00000029432</t>
  </si>
  <si>
    <t>glioblastoma amplified sequence</t>
  </si>
  <si>
    <t>ENSMUSG00000044716</t>
  </si>
  <si>
    <t>docking protein 7</t>
  </si>
  <si>
    <t>ENSMUSG00000068740</t>
  </si>
  <si>
    <t>cadherin, EGF LAG seven-pass G-type receptor 2</t>
  </si>
  <si>
    <t>ENSMUSG00000078307</t>
  </si>
  <si>
    <t>expressed sequence AI593442</t>
  </si>
  <si>
    <t>ENSMUSG00000084957</t>
  </si>
  <si>
    <t>BBSome interacting protein 1</t>
  </si>
  <si>
    <t>ENSMUSG00000026841</t>
  </si>
  <si>
    <t>fibrinogen C domain containing 1</t>
  </si>
  <si>
    <t>ENSMUSG00000032740</t>
  </si>
  <si>
    <t>coiled coil domain containing 88A</t>
  </si>
  <si>
    <t>ENSMUSG00000030786</t>
  </si>
  <si>
    <t>integrin alpha M</t>
  </si>
  <si>
    <t>ENSMUSG00000032507</t>
  </si>
  <si>
    <t>F-box and leucine-rich repeat protein 2</t>
  </si>
  <si>
    <t>ENSMUSG00000053898</t>
  </si>
  <si>
    <t>enoyl coenzyme A hydratase 1, peroxisomal</t>
  </si>
  <si>
    <t>ENSMUSG00000032470</t>
  </si>
  <si>
    <t>muscle and microspikes RAS</t>
  </si>
  <si>
    <t>ENSMUSG00000018377</t>
  </si>
  <si>
    <t>vascular endothelial zinc finger 1</t>
  </si>
  <si>
    <t>ENSMUSG00000010358</t>
  </si>
  <si>
    <t>interferon-induced protein 35</t>
  </si>
  <si>
    <t>ENSMUSG00000021697</t>
  </si>
  <si>
    <t>DEP domain containing 1B</t>
  </si>
  <si>
    <t>ENSMUSG00000021893</t>
  </si>
  <si>
    <t>calpain 7</t>
  </si>
  <si>
    <t>ENSMUSG00000018974</t>
  </si>
  <si>
    <t>squamous cell carcinoma antigen recognized by T cells 3</t>
  </si>
  <si>
    <t>ENSMUSG00000032046</t>
  </si>
  <si>
    <t>abhydrolase domain containing 12</t>
  </si>
  <si>
    <t>ENSMUSG00000014769</t>
  </si>
  <si>
    <t>proteasome (prosome, macropain) subunit, beta type 1</t>
  </si>
  <si>
    <t>ENSMUSG00000051427</t>
  </si>
  <si>
    <t>coiled-coil domain containing 157</t>
  </si>
  <si>
    <t>ENSMUSG00000003031</t>
  </si>
  <si>
    <t>cyclin-dependent kinase inhibitor 1B</t>
  </si>
  <si>
    <t>ENSMUSG00000029528</t>
  </si>
  <si>
    <t>paxillin</t>
  </si>
  <si>
    <t>ENSMUSG00000094910</t>
  </si>
  <si>
    <t>RIKEN cDNA D430019H16 gene</t>
  </si>
  <si>
    <t>ENSMUSG00000021038</t>
  </si>
  <si>
    <t>VPS33B interacting protein, apical-basolateral polarity regulator, spe-39 homolog</t>
  </si>
  <si>
    <t>ENSMUSG00000024646</t>
  </si>
  <si>
    <t>cytochrome b5 type A (microsomal)</t>
  </si>
  <si>
    <t>ENSMUSG00000001173</t>
  </si>
  <si>
    <t>oculocerebrorenal syndrome of Lowe</t>
  </si>
  <si>
    <t>ENSMUSG00000031344</t>
  </si>
  <si>
    <t>gamma-aminobutyric acid (GABA) A receptor, subunit theta</t>
  </si>
  <si>
    <t>ENSMUSG00000041498</t>
  </si>
  <si>
    <t>kinesin family member 14</t>
  </si>
  <si>
    <t>ENSMUSG00000029998</t>
  </si>
  <si>
    <t>prenylcysteine oxidase 1</t>
  </si>
  <si>
    <t>ENSMUSG00000051599</t>
  </si>
  <si>
    <t>protocadherin beta 2</t>
  </si>
  <si>
    <t>ENSMUSG00000049013</t>
  </si>
  <si>
    <t>protease, serine 48</t>
  </si>
  <si>
    <t>ENSMUSG00000078247</t>
  </si>
  <si>
    <t>antisense Igf2r RNA</t>
  </si>
  <si>
    <t>ENSMUSG00000009741</t>
  </si>
  <si>
    <t>upstream binding protein 1</t>
  </si>
  <si>
    <t>ENSMUSG00000052428</t>
  </si>
  <si>
    <t>transmembrane and coiled-coil domains 1</t>
  </si>
  <si>
    <t>ENSMUSG00000041592</t>
  </si>
  <si>
    <t>sidekick cell adhesion molecule 2</t>
  </si>
  <si>
    <t>ENSMUSG00000028799</t>
  </si>
  <si>
    <t>zinc finger protein 362</t>
  </si>
  <si>
    <t>ENSMUSG00000027276</t>
  </si>
  <si>
    <t>jagged 1</t>
  </si>
  <si>
    <t>ENSMUSG00000020088</t>
  </si>
  <si>
    <t>secretion associated Ras related GTPase 1A</t>
  </si>
  <si>
    <t>ENSMUSG00000058318</t>
  </si>
  <si>
    <t>PHD finger protein 21A</t>
  </si>
  <si>
    <t>ENSMUSG00000005161</t>
  </si>
  <si>
    <t>peroxiredoxin 2</t>
  </si>
  <si>
    <t>ENSMUSG00000031775</t>
  </si>
  <si>
    <t>plasma membrane proteolipid</t>
  </si>
  <si>
    <t>ENSMUSG00000068522</t>
  </si>
  <si>
    <t>alanine and arginine rich domain containing protein</t>
  </si>
  <si>
    <t>ENSMUSG00000031202</t>
  </si>
  <si>
    <t>RAB39B, member RAS oncogene family</t>
  </si>
  <si>
    <t>ENSMUSG00000025607</t>
  </si>
  <si>
    <t>coatomer protein complex, subunit gamma 2</t>
  </si>
  <si>
    <t>ENSMUSG00000045658</t>
  </si>
  <si>
    <t>phosphotyrosine interaction domain containing 1</t>
  </si>
  <si>
    <t>ENSMUSG00000066798</t>
  </si>
  <si>
    <t>zinc finger and BTB domain containing 6</t>
  </si>
  <si>
    <t>ENSMUSG00000037253</t>
  </si>
  <si>
    <t>mex3 RNA binding family member C</t>
  </si>
  <si>
    <t>ENSMUSG00000005947</t>
  </si>
  <si>
    <t>integrin alpha E, epithelial-associated</t>
  </si>
  <si>
    <t>ENSMUSG00000001924</t>
  </si>
  <si>
    <t>ubiquitin-like modifier activating enzyme 1</t>
  </si>
  <si>
    <t>ENSMUSG00000039699</t>
  </si>
  <si>
    <t>basic leucine zipper transcription factor, ATF-like 2</t>
  </si>
  <si>
    <t>ENSMUSG00000041225</t>
  </si>
  <si>
    <t>Rho GTPase activating protein 12</t>
  </si>
  <si>
    <t>ENSMUSG00000002997</t>
  </si>
  <si>
    <t>protein kinase, cAMP dependent regulatory, type II beta</t>
  </si>
  <si>
    <t>ENSMUSG00000034422</t>
  </si>
  <si>
    <t>poly (ADP-ribose) polymerase family, member 14</t>
  </si>
  <si>
    <t>ENSMUSG00000025868</t>
  </si>
  <si>
    <t>HIG1 domain family, member 2A</t>
  </si>
  <si>
    <t>ENSMUSG00000102742</t>
  </si>
  <si>
    <t>protocadherin gamma subfamily A, 11</t>
  </si>
  <si>
    <t>ENSMUSG00000029701</t>
  </si>
  <si>
    <t>RNA binding motif protein 28</t>
  </si>
  <si>
    <t>ENSMUSG00000047766</t>
  </si>
  <si>
    <t>leucine rich repeat containing 49</t>
  </si>
  <si>
    <t>ENSMUSG00000070509</t>
  </si>
  <si>
    <t>repulsive guidance molecule family member A</t>
  </si>
  <si>
    <t>ENSMUSG00000024269</t>
  </si>
  <si>
    <t>tubulin polyglutamylase complex subunit 2</t>
  </si>
  <si>
    <t>ENSMUSG00000005338</t>
  </si>
  <si>
    <t>cell adhesion molecule 3</t>
  </si>
  <si>
    <t>ENSMUSG00000056383</t>
  </si>
  <si>
    <t>expressed sequence AI987944</t>
  </si>
  <si>
    <t>ENSMUSG00000062908</t>
  </si>
  <si>
    <t>acyl-Coenzyme A dehydrogenase, medium chain</t>
  </si>
  <si>
    <t>ENSMUSG00000022969</t>
  </si>
  <si>
    <t>interleukin 10 receptor, beta</t>
  </si>
  <si>
    <t>ENSMUSG00000024969</t>
  </si>
  <si>
    <t>MAP/microtubule affinity regulating kinase 2</t>
  </si>
  <si>
    <t>ENSMUSG00000040479</t>
  </si>
  <si>
    <t>diacylglycerol kinase zeta</t>
  </si>
  <si>
    <t>ENSMUSG00000017776</t>
  </si>
  <si>
    <t>v-crk avian sarcoma virus CT10 oncogene homolog</t>
  </si>
  <si>
    <t>ENSMUSG00000022577</t>
  </si>
  <si>
    <t>lymphocyte antigen 6 complex, locus H</t>
  </si>
  <si>
    <t>ENSMUSG00000058254</t>
  </si>
  <si>
    <t>tetraspanin 7</t>
  </si>
  <si>
    <t>ENSMUSG00000031934</t>
  </si>
  <si>
    <t>pannexin 1</t>
  </si>
  <si>
    <t>ENSMUSG00000018585</t>
  </si>
  <si>
    <t>antioxidant 1 copper chaperone</t>
  </si>
  <si>
    <t>ENSMUSG00000045777</t>
  </si>
  <si>
    <t>interferon induced transmembrane protein 10</t>
  </si>
  <si>
    <t>ENSMUSG00000024640</t>
  </si>
  <si>
    <t>phosphoserine aminotransferase 1</t>
  </si>
  <si>
    <t>ENSMUSG00000041308</t>
  </si>
  <si>
    <t>syntrophin, basic 2</t>
  </si>
  <si>
    <t>ENSMUSG00000030423</t>
  </si>
  <si>
    <t>processing of precursor 4, ribonuclease P/MRP family, (S. cerevisiae)</t>
  </si>
  <si>
    <t>ENSMUSG00000032231</t>
  </si>
  <si>
    <t>annexin A2</t>
  </si>
  <si>
    <t>ENSMUSG00000028277</t>
  </si>
  <si>
    <t>ubiquitin-conjugating enzyme E2J 1</t>
  </si>
  <si>
    <t>ENSMUSG00000023232</t>
  </si>
  <si>
    <t>serine incorporator 2</t>
  </si>
  <si>
    <t>ENSMUSG00000051413</t>
  </si>
  <si>
    <t>pleiomorphic adenoma gene-like 2</t>
  </si>
  <si>
    <t>ENSMUSG00000042763</t>
  </si>
  <si>
    <t>mannosidase, endo-alpha-like</t>
  </si>
  <si>
    <t>ENSMUSG00000045180</t>
  </si>
  <si>
    <t>shroom family member 2</t>
  </si>
  <si>
    <t>ENSMUSG00000032011</t>
  </si>
  <si>
    <t>thymus cell antigen 1, theta</t>
  </si>
  <si>
    <t>ENSMUSG00000049556</t>
  </si>
  <si>
    <t>leucine rich repeat and Ig domain containing 1</t>
  </si>
  <si>
    <t>ENSMUSG00000070808</t>
  </si>
  <si>
    <t>glioma tumor suppressor candidate region gene 1</t>
  </si>
  <si>
    <t>ENSMUSG00000031007</t>
  </si>
  <si>
    <t>ATPase, H+ transporting, lysosomal accessory protein 2</t>
  </si>
  <si>
    <t>ENSMUSG00000063450</t>
  </si>
  <si>
    <t>spectrin repeat containing, nuclear envelope 2</t>
  </si>
  <si>
    <t>ENSMUSG00000030249</t>
  </si>
  <si>
    <t>ATP-binding cassette, sub-family C (CFTR/MRP), member 9</t>
  </si>
  <si>
    <t>ENSMUSG00000022848</t>
  </si>
  <si>
    <t>disrupted in renal carcinoma 2 (human)</t>
  </si>
  <si>
    <t>ENSMUSG00000025912</t>
  </si>
  <si>
    <t>myeloblastosis oncogene-like 1</t>
  </si>
  <si>
    <t>ENSMUSG00000031799</t>
  </si>
  <si>
    <t>tropomyosin 4</t>
  </si>
  <si>
    <t>ENSMUSG00000004896</t>
  </si>
  <si>
    <t>ribosomal RNA adenine dimethylase domain containing 1</t>
  </si>
  <si>
    <t>ENSMUSG00000024220</t>
  </si>
  <si>
    <t>zinc finger protein 523</t>
  </si>
  <si>
    <t>ENSMUSG00000025266</t>
  </si>
  <si>
    <t>guanine nucleotide binding protein-like 3 (nucleolar)-like</t>
  </si>
  <si>
    <t>ENSMUSG00000037742</t>
  </si>
  <si>
    <t>eukaryotic translation elongation factor 1 alpha 1</t>
  </si>
  <si>
    <t>ENSMUSG00000022623</t>
  </si>
  <si>
    <t>SH3/ankyrin domain gene 3</t>
  </si>
  <si>
    <t>ENSMUSG00000025786</t>
  </si>
  <si>
    <t>zinc finger, DHHC domain containing 3</t>
  </si>
  <si>
    <t>ENSMUSG00000002847</t>
  </si>
  <si>
    <t>phospholipase A1 member A</t>
  </si>
  <si>
    <t>ENSMUSG00000078676</t>
  </si>
  <si>
    <t>cancer susceptibility candidate 3</t>
  </si>
  <si>
    <t>ENSMUSG00000029621</t>
  </si>
  <si>
    <t>actin related protein 2/3 complex, subunit 1A</t>
  </si>
  <si>
    <t>ENSMUSG00000019843</t>
  </si>
  <si>
    <t>Fyn proto-oncogene</t>
  </si>
  <si>
    <t>ENSMUSG00000040462</t>
  </si>
  <si>
    <t>amplified in osteosarcoma</t>
  </si>
  <si>
    <t>ENSMUSG00000031149</t>
  </si>
  <si>
    <t>PRA1 domain family 2</t>
  </si>
  <si>
    <t>ENSMUSG00000015879</t>
  </si>
  <si>
    <t>family with sequence similarity 184, member B</t>
  </si>
  <si>
    <t>ENSMUSG00000021701</t>
  </si>
  <si>
    <t>polo-like kinase 2</t>
  </si>
  <si>
    <t>ENSMUSG00000024976</t>
  </si>
  <si>
    <t>soc-2 (suppressor of clear) homolog (C. elegans)</t>
  </si>
  <si>
    <t>ENSMUSG00000060450</t>
  </si>
  <si>
    <t>ring finger protein 14</t>
  </si>
  <si>
    <t>ENSMUSG00000042751</t>
  </si>
  <si>
    <t>nicotinamide nucleotide adenylyltransferase 2</t>
  </si>
  <si>
    <t>ENSMUSG00000022364</t>
  </si>
  <si>
    <t>TBC1 domain family, member 31</t>
  </si>
  <si>
    <t>ENSMUSG00000037805</t>
  </si>
  <si>
    <t>ribosomal protein L10A</t>
  </si>
  <si>
    <t>ENSMUSG00000068966</t>
  </si>
  <si>
    <t>zinc finger and BTB domain containing 34</t>
  </si>
  <si>
    <t>ENSMUSG00000034187</t>
  </si>
  <si>
    <t>N-ethylmaleimide sensitive fusion protein</t>
  </si>
  <si>
    <t>ENSMUSG00000021711</t>
  </si>
  <si>
    <t>trafficking protein particle complex 13</t>
  </si>
  <si>
    <t>ENSMUSG00000066571</t>
  </si>
  <si>
    <t>RIKEN cDNA 4931406P16 gene</t>
  </si>
  <si>
    <t>ENSMUSG00000040037</t>
  </si>
  <si>
    <t>neuronal growth regulator 1</t>
  </si>
  <si>
    <t>ENSMUSG00000021109</t>
  </si>
  <si>
    <t>hypoxia inducible factor 1, alpha subunit</t>
  </si>
  <si>
    <t>ENSMUSG00000038546</t>
  </si>
  <si>
    <t>RAN binding protein 9</t>
  </si>
  <si>
    <t>ENSMUSG00000027581</t>
  </si>
  <si>
    <t>stathmin-like 3</t>
  </si>
  <si>
    <t>ENSMUSG00000045691</t>
  </si>
  <si>
    <t>thiamine triphosphatase</t>
  </si>
  <si>
    <t>ENSMUSG00000030207</t>
  </si>
  <si>
    <t>family with sequence similarity 234, member B</t>
  </si>
  <si>
    <t>ENSMUSG00000040163</t>
  </si>
  <si>
    <t>RIKEN cDNA 1700034J05 gene</t>
  </si>
  <si>
    <t>ENSMUSG00000036698</t>
  </si>
  <si>
    <t>argonaute RISC catalytic subunit 2</t>
  </si>
  <si>
    <t>ENSMUSG00000026921</t>
  </si>
  <si>
    <t>EGF-like domain 7</t>
  </si>
  <si>
    <t>ENSMUSG00000057554</t>
  </si>
  <si>
    <t>lectin, galactose binding, soluble 8</t>
  </si>
  <si>
    <t>ENSMUSG00000034636</t>
  </si>
  <si>
    <t>zyg-ll family member B, cell cycle regulator</t>
  </si>
  <si>
    <t>ENSMUSG00000045932</t>
  </si>
  <si>
    <t>interferon-induced protein with tetratricopeptide repeats 2</t>
  </si>
  <si>
    <t>ENSMUSG00000032745</t>
  </si>
  <si>
    <t>GC-rich promoter binding protein 1</t>
  </si>
  <si>
    <t>ENSMUSG00000036106</t>
  </si>
  <si>
    <t>proline rich 5 (renal)</t>
  </si>
  <si>
    <t>ENSMUSG00000019809</t>
  </si>
  <si>
    <t>peroxisomal biogenesis factor 3</t>
  </si>
  <si>
    <t>ENSMUSG00000032249</t>
  </si>
  <si>
    <t>acidic (leucine-rich) nuclear phosphoprotein 32 family, member A</t>
  </si>
  <si>
    <t>ENSMUSG00000027185</t>
  </si>
  <si>
    <t>N-acetyltransferase 10</t>
  </si>
  <si>
    <t>ENSMUSG00000097397</t>
  </si>
  <si>
    <t>predicted gene, 16861</t>
  </si>
  <si>
    <t>ENSMUSG00000030772</t>
  </si>
  <si>
    <t>dickkopf WNT signaling pathway inhibitor 3</t>
  </si>
  <si>
    <t>ENSMUSG00000021824</t>
  </si>
  <si>
    <t>adaptor-related protein complex 3, mu 1 subunit</t>
  </si>
  <si>
    <t>ENSMUSG00000017715</t>
  </si>
  <si>
    <t>phosphatidylglycerophosphate synthase 1</t>
  </si>
  <si>
    <t>ENSMUSG00000020409</t>
  </si>
  <si>
    <t>SLU7 splicing factor homolog (S. cerevisiae)</t>
  </si>
  <si>
    <t>ENSMUSG00000028969</t>
  </si>
  <si>
    <t>cyclin-dependent kinase 5</t>
  </si>
  <si>
    <t>ENSMUSG00000041236</t>
  </si>
  <si>
    <t>VPS41 HOPS complex subunit</t>
  </si>
  <si>
    <t>ENSMUSG00000028433</t>
  </si>
  <si>
    <t>ubiquitin-associated protein 2</t>
  </si>
  <si>
    <t>ENSMUSG00000049336</t>
  </si>
  <si>
    <t>teneurin transmembrane protein 2</t>
  </si>
  <si>
    <t>ENSMUSG00000052557</t>
  </si>
  <si>
    <t>giant axonal neuropathy</t>
  </si>
  <si>
    <t>ENSMUSG00000003068</t>
  </si>
  <si>
    <t>serine/threonine kinase 11</t>
  </si>
  <si>
    <t>ENSMUSG00000047407</t>
  </si>
  <si>
    <t>TGFB-induced factor homeobox 1</t>
  </si>
  <si>
    <t>ENSMUSG00000052105</t>
  </si>
  <si>
    <t>microtubule crosslinking factor 1</t>
  </si>
  <si>
    <t>ENSMUSG00000024231</t>
  </si>
  <si>
    <t>cullin 2</t>
  </si>
  <si>
    <t>ENSMUSG00000026987</t>
  </si>
  <si>
    <t>bromodomain adjacent to zinc finger domain, 2B</t>
  </si>
  <si>
    <t>ENSMUSG00000040714</t>
  </si>
  <si>
    <t>kinesin light chain 3</t>
  </si>
  <si>
    <t>ENSMUSG00000027849</t>
  </si>
  <si>
    <t>synaptotagmin VI</t>
  </si>
  <si>
    <t>ENSMUSG00000029030</t>
  </si>
  <si>
    <t>transformation related protein 63 regulated like</t>
  </si>
  <si>
    <t>ENSMUSG00000054256</t>
  </si>
  <si>
    <t>musashi RNA-binding protein 1</t>
  </si>
  <si>
    <t>ENSMUSG00000032254</t>
  </si>
  <si>
    <t>kinesin family member 23</t>
  </si>
  <si>
    <t>ENSMUSG00000022747</t>
  </si>
  <si>
    <t>ST3 beta-galactoside alpha-2,3-sialyltransferase 6</t>
  </si>
  <si>
    <t>ENSMUSG00000085795</t>
  </si>
  <si>
    <t>zinc finger protein 703</t>
  </si>
  <si>
    <t>ENSMUSG00000008734</t>
  </si>
  <si>
    <t>G protein-coupled receptor, family C, group 5, member B</t>
  </si>
  <si>
    <t>ENSMUSG00000018572</t>
  </si>
  <si>
    <t>PHD finger protein 23</t>
  </si>
  <si>
    <t>ENSMUSG00000053931</t>
  </si>
  <si>
    <t>calponin 3, acidic</t>
  </si>
  <si>
    <t>ENSMUSG00000084941</t>
  </si>
  <si>
    <t>predicted gene 11944</t>
  </si>
  <si>
    <t>ENSMUSG00000036990</t>
  </si>
  <si>
    <t>OTU domain containing 4</t>
  </si>
  <si>
    <t>ENSMUSG00000022965</t>
  </si>
  <si>
    <t>interferon gamma receptor 2</t>
  </si>
  <si>
    <t>ENSMUSG00000078921</t>
  </si>
  <si>
    <t>T cell specific GTPase 2</t>
  </si>
  <si>
    <t>ENSMUSG00000045991</t>
  </si>
  <si>
    <t>one cut domain, family member 2</t>
  </si>
  <si>
    <t>ENSMUSG00000030830</t>
  </si>
  <si>
    <t>integrin alpha L</t>
  </si>
  <si>
    <t>ENSMUSG00000044533</t>
  </si>
  <si>
    <t>ribosomal protein S2</t>
  </si>
  <si>
    <t>ENSMUSG00000022553</t>
  </si>
  <si>
    <t>MAF1 homolog, negative regulator of RNA polymerase III</t>
  </si>
  <si>
    <t>ENSMUSG00000025137</t>
  </si>
  <si>
    <t>phosphate cytidylyltransferase 2, ethanolamine</t>
  </si>
  <si>
    <t>ENSMUSG00000028328</t>
  </si>
  <si>
    <t>tropomodulin 1</t>
  </si>
  <si>
    <t>ENSMUSG00000006527</t>
  </si>
  <si>
    <t>Scm-like with four mbt domains 1</t>
  </si>
  <si>
    <t>ENSMUSG00000022024</t>
  </si>
  <si>
    <t>SGT1, suppressor of G2 allele of SKP1 (S. cerevisiae)</t>
  </si>
  <si>
    <t>ENSMUSG00000041762</t>
  </si>
  <si>
    <t>G protein-coupled receptor 155</t>
  </si>
  <si>
    <t>ENSMUSG00000054072</t>
  </si>
  <si>
    <t>interferon inducible GTPase 1</t>
  </si>
  <si>
    <t>ENSMUSG00000028757</t>
  </si>
  <si>
    <t>dolichyl-di-phosphooligosaccharide-protein glycotransferase</t>
  </si>
  <si>
    <t>ENSMUSG00000031902</t>
  </si>
  <si>
    <t>nuclear factor of activated T cells, cytoplasmic, calcineurin dependent 3</t>
  </si>
  <si>
    <t>ENSMUSG00000043668</t>
  </si>
  <si>
    <t>TOX high mobility group box family member 3</t>
  </si>
  <si>
    <t>ENSMUSG00000027242</t>
  </si>
  <si>
    <t>WD repeat domain 76</t>
  </si>
  <si>
    <t>ENSMUSG00000027162</t>
  </si>
  <si>
    <t>lin-7 homolog C (C. elegans)</t>
  </si>
  <si>
    <t>ENSMUSG00000073434</t>
  </si>
  <si>
    <t>WD repeat domain 90</t>
  </si>
  <si>
    <t>ENSMUSG00000102976</t>
  </si>
  <si>
    <t>zinc finger CCCH type containing 11A</t>
  </si>
  <si>
    <t>ENSMUSG00000031913</t>
  </si>
  <si>
    <t>vacuolar protein sorting 4A</t>
  </si>
  <si>
    <t>ENSMUSG00000038467</t>
  </si>
  <si>
    <t>charged multivesicular body protein 4B</t>
  </si>
  <si>
    <t>ENSMUSG00000062127</t>
  </si>
  <si>
    <t>CTTNBP2 N-terminal like</t>
  </si>
  <si>
    <t>ENSMUSG00000098488</t>
  </si>
  <si>
    <t>phospholipase A2, group IVB (cytosolic)</t>
  </si>
  <si>
    <t>ENSMUSG00000041995</t>
  </si>
  <si>
    <t>zinc finger, BED type containing 3</t>
  </si>
  <si>
    <t>ENSMUSG00000031841</t>
  </si>
  <si>
    <t>cadherin 13</t>
  </si>
  <si>
    <t>ENSMUSG00000031157</t>
  </si>
  <si>
    <t>polyglutamine binding protein 1</t>
  </si>
  <si>
    <t>ENSMUSG00000028821</t>
  </si>
  <si>
    <t>SYF2 homolog, RNA splicing factor (S. cerevisiae)</t>
  </si>
  <si>
    <t>ENSMUSG00000020538</t>
  </si>
  <si>
    <t>sterol regulatory element binding transcription factor 1</t>
  </si>
  <si>
    <t>ENSMUSG00000032280</t>
  </si>
  <si>
    <t>transducin-like enhancer of split 3</t>
  </si>
  <si>
    <t>ENSMUSG00000038145</t>
  </si>
  <si>
    <t>SNF related kinase</t>
  </si>
  <si>
    <t>ENSMUSG00000020463</t>
  </si>
  <si>
    <t>SMEK homolog 2, suppressor of mek1 (Dictyostelium)</t>
  </si>
  <si>
    <t>ENSMUSG00000040818</t>
  </si>
  <si>
    <t>DENN/MADD domain containing 6A</t>
  </si>
  <si>
    <t>ENSMUSG00000049764</t>
  </si>
  <si>
    <t>zinc finger protein 280B</t>
  </si>
  <si>
    <t>ENSMUSG00000007670</t>
  </si>
  <si>
    <t>KH-type splicing regulatory protein</t>
  </si>
  <si>
    <t>ENSMUSG00000027206</t>
  </si>
  <si>
    <t>COP9 signalosome subunit 2</t>
  </si>
  <si>
    <t>ENSMUSG00000012114</t>
  </si>
  <si>
    <t>mediator complex subunit 15</t>
  </si>
  <si>
    <t>ENSMUSG00000107283</t>
  </si>
  <si>
    <t>MpV17 mitochondrial inner membrane protein</t>
  </si>
  <si>
    <t>ENSMUSG00000019461</t>
  </si>
  <si>
    <t>phospholipid scramblase 3</t>
  </si>
  <si>
    <t>ENSMUSG00000054999</t>
  </si>
  <si>
    <t>N-acetylated alpha-linked acidic dipeptidase-like 1</t>
  </si>
  <si>
    <t>ENSMUSG00000037705</t>
  </si>
  <si>
    <t>tectorin alpha</t>
  </si>
  <si>
    <t>ENSMUSG00000042742</t>
  </si>
  <si>
    <t>base methyltransferase of 25S rRNA 2</t>
  </si>
  <si>
    <t>ENSMUSG00000019817</t>
  </si>
  <si>
    <t>pleiomorphic adenoma gene-like 1</t>
  </si>
  <si>
    <t>ENSMUSG00000042121</t>
  </si>
  <si>
    <t>slingshot homolog 1 (Drosophila)</t>
  </si>
  <si>
    <t>ENSMUSG00000048915</t>
  </si>
  <si>
    <t>ephrin A5</t>
  </si>
  <si>
    <t>ENSMUSG00000025809</t>
  </si>
  <si>
    <t>integrin beta 1 (fibronectin receptor beta)</t>
  </si>
  <si>
    <t>ENSMUSG00000033065</t>
  </si>
  <si>
    <t>phosphofructokinase, muscle</t>
  </si>
  <si>
    <t>ENSMUSG00000036503</t>
  </si>
  <si>
    <t>ring finger protein 13</t>
  </si>
  <si>
    <t>ENSMUSG00000043323</t>
  </si>
  <si>
    <t>fibrosin-like 1</t>
  </si>
  <si>
    <t>ENSMUSG00000038515</t>
  </si>
  <si>
    <t>GH regulated TBC protein 1</t>
  </si>
  <si>
    <t>ENSMUSG00000042104</t>
  </si>
  <si>
    <t>UDP-glucose glycoprotein glucosyltransferase 2</t>
  </si>
  <si>
    <t>ENSMUSG00000032328</t>
  </si>
  <si>
    <t>transmembrane protein 30A</t>
  </si>
  <si>
    <t>ENSMUSG00000026511</t>
  </si>
  <si>
    <t>signal recognition particle 9</t>
  </si>
  <si>
    <t>ENSMUSG00000025173</t>
  </si>
  <si>
    <t>WD repeat domain 45B</t>
  </si>
  <si>
    <t>ENSMUSG00000039485</t>
  </si>
  <si>
    <t>TSPY-like 4</t>
  </si>
  <si>
    <t>ENSMUSG00000039887</t>
  </si>
  <si>
    <t>asparagine-linked glycosylation 14</t>
  </si>
  <si>
    <t>ENSMUSG00000056121</t>
  </si>
  <si>
    <t>fasciculation and elongation protein zeta 2 (zygin II)</t>
  </si>
  <si>
    <t>ENSMUSG00000043881</t>
  </si>
  <si>
    <t>kelch repeat and BTB (POZ) domain containing 7</t>
  </si>
  <si>
    <t>ENSMUSG00000021270</t>
  </si>
  <si>
    <t>heat shock protein 90, alpha (cytosolic), class A member 1</t>
  </si>
  <si>
    <t>ENSMUSG00000013033</t>
  </si>
  <si>
    <t>adhesion G protein-coupled receptor L1</t>
  </si>
  <si>
    <t>ENSMUSG00000000804</t>
  </si>
  <si>
    <t>ubiquitin specific peptidase 32</t>
  </si>
  <si>
    <t>ENSMUSG00000021559</t>
  </si>
  <si>
    <t>death associated protein kinase 1</t>
  </si>
  <si>
    <t>ENSMUSG00000056201</t>
  </si>
  <si>
    <t>cofilin 1, non-muscle</t>
  </si>
  <si>
    <t>ENSMUSG00000020585</t>
  </si>
  <si>
    <t>lysosomal-associated protein transmembrane 4A</t>
  </si>
  <si>
    <t>ENSMUSG00000053552</t>
  </si>
  <si>
    <t>early B cell factor 4</t>
  </si>
  <si>
    <t>ENSMUSG00000058152</t>
  </si>
  <si>
    <t>chondroitin sulfate synthase 3</t>
  </si>
  <si>
    <t>ENSMUSG00000036036</t>
  </si>
  <si>
    <t>zinc finger protein 57</t>
  </si>
  <si>
    <t>ENSMUSG00000058672</t>
  </si>
  <si>
    <t>tubulin, beta 2A class IIA</t>
  </si>
  <si>
    <t>ENSMUSG00000045934</t>
  </si>
  <si>
    <t>myotubularin related protein 11</t>
  </si>
  <si>
    <t>ENSMUSG00000050668</t>
  </si>
  <si>
    <t>G patch domain containing 11</t>
  </si>
  <si>
    <t>ENSMUSG00000026447</t>
  </si>
  <si>
    <t>phosphoinositide-3-kinase, class 2, beta polypeptide</t>
  </si>
  <si>
    <t>ENSMUSG00000031982</t>
  </si>
  <si>
    <t>ARV1 homolog, fatty acid homeostasis modulator</t>
  </si>
  <si>
    <t>ENSMUSG00000024747</t>
  </si>
  <si>
    <t>aldehyde dehydrogenase family 1, subfamily A7</t>
  </si>
  <si>
    <t>ENSMUSG00000101481</t>
  </si>
  <si>
    <t>RIKEN cDNA 1700123O21 gene</t>
  </si>
  <si>
    <t>ENSMUSG00000026409</t>
  </si>
  <si>
    <t>6-phosphofructo-2-kinase/fructose-2,6-biphosphatase 2</t>
  </si>
  <si>
    <t>ENSMUSG00000046865</t>
  </si>
  <si>
    <t>fibrillarin</t>
  </si>
  <si>
    <t>ENSMUSG00000074093</t>
  </si>
  <si>
    <t>small VCP/p97-interacting protein</t>
  </si>
  <si>
    <t>ENSMUSG00000035575</t>
  </si>
  <si>
    <t>UTP6 small subunit processome component</t>
  </si>
  <si>
    <t>ENSMUSG00000041444</t>
  </si>
  <si>
    <t>Rho GTPase activating protein 32</t>
  </si>
  <si>
    <t>ENSMUSG00000006673</t>
  </si>
  <si>
    <t>glutamine-rich 1</t>
  </si>
  <si>
    <t>ENSMUSG00000038704</t>
  </si>
  <si>
    <t>aspartate dehydrogenase domain containing</t>
  </si>
  <si>
    <t>ENSMUSG00000033453</t>
  </si>
  <si>
    <t>a disintegrin-like and metallopeptidase (reprolysin type) with thrombospondin type 1 motif, 15</t>
  </si>
  <si>
    <t>ENSMUSG00000051510</t>
  </si>
  <si>
    <t>v-maf musculoaponeurotic fibrosarcoma oncogene family, protein G (avian)</t>
  </si>
  <si>
    <t>ENSMUSG00000024937</t>
  </si>
  <si>
    <t>EH domain binding protein 1-like 1</t>
  </si>
  <si>
    <t>ENSMUSG00000028221</t>
  </si>
  <si>
    <t>transmembrane protein 55A</t>
  </si>
  <si>
    <t>ENSMUSG00000036256</t>
  </si>
  <si>
    <t>insulin-like growth factor binding protein 7</t>
  </si>
  <si>
    <t>ENSMUSG00000032410</t>
  </si>
  <si>
    <t>5'-3' exoribonuclease 1</t>
  </si>
  <si>
    <t>ENSMUSG00000018848</t>
  </si>
  <si>
    <t>arginyl-tRNA synthetase</t>
  </si>
  <si>
    <t>ENSMUSG00000001833</t>
  </si>
  <si>
    <t>septin 7</t>
  </si>
  <si>
    <t>ENSMUSG00000063142</t>
  </si>
  <si>
    <t>potassium large conductance calcium-activated channel, subfamily M, alpha member 1</t>
  </si>
  <si>
    <t>ENSMUSG00000005609</t>
  </si>
  <si>
    <t>CTR9 homolog, Paf1/RNA polymerase II complex component</t>
  </si>
  <si>
    <t>ENSMUSG00000021792</t>
  </si>
  <si>
    <t>family with sequence similarity 213, member A</t>
  </si>
  <si>
    <t>ENSMUSG00000039396</t>
  </si>
  <si>
    <t>nei like 3 (E. coli)</t>
  </si>
  <si>
    <t>ENSMUSG00000021969</t>
  </si>
  <si>
    <t>zinc finger, DHHC domain containing 20</t>
  </si>
  <si>
    <t>ENSMUSG00000041957</t>
  </si>
  <si>
    <t>plakophilin 2</t>
  </si>
  <si>
    <t>ENSMUSG00000079487</t>
  </si>
  <si>
    <t>mediator complex subunit 12</t>
  </si>
  <si>
    <t>ENSMUSG00000032932</t>
  </si>
  <si>
    <t>heat shock protein 70 family, member 13</t>
  </si>
  <si>
    <t>ENSMUSG00000020034</t>
  </si>
  <si>
    <t>t-complex 11 (mouse) like 2</t>
  </si>
  <si>
    <t>ENSMUSG00000060240</t>
  </si>
  <si>
    <t>cell cycle exit and neuronal differentiation 1</t>
  </si>
  <si>
    <t>ENSMUSG00000008496</t>
  </si>
  <si>
    <t>POU domain, class 2, transcription factor 2</t>
  </si>
  <si>
    <t>ENSMUSG00000038690</t>
  </si>
  <si>
    <t>ATP synthase, H+ transporting, mitochondrial F0 complex, subunit F2</t>
  </si>
  <si>
    <t>ENSMUSG00000034263</t>
  </si>
  <si>
    <t>von Willebrand factor A domain containing 9</t>
  </si>
  <si>
    <t>ENSMUSG00000040712</t>
  </si>
  <si>
    <t>calmodulin binding transcription activator 2</t>
  </si>
  <si>
    <t>ENSMUSG00000024800</t>
  </si>
  <si>
    <t>ribonuclease P/MRP 30 subunit</t>
  </si>
  <si>
    <t>ENSMUSG00000021061</t>
  </si>
  <si>
    <t>spectrin beta, erythrocytic</t>
  </si>
  <si>
    <t>ENSMUSG00000019718</t>
  </si>
  <si>
    <t>L-3-hydroxyproline dehydratase (trans-)</t>
  </si>
  <si>
    <t>ENSMUSG00000044258</t>
  </si>
  <si>
    <t>cytotoxic T lymphocyte-associated protein 2 alpha</t>
  </si>
  <si>
    <t>ENSMUSG00000054920</t>
  </si>
  <si>
    <t>kelch-like 5</t>
  </si>
  <si>
    <t>ENSMUSG00000026781</t>
  </si>
  <si>
    <t>acyl-Coenzyme A binding domain containing 5</t>
  </si>
  <si>
    <t>ENSMUSG00000021703</t>
  </si>
  <si>
    <t>serine incorporator 5</t>
  </si>
  <si>
    <t>ENSMUSG00000031939</t>
  </si>
  <si>
    <t>TATA-box binding protein associated factor, RNA polymerase I, D</t>
  </si>
  <si>
    <t>ENSMUSG00000066043</t>
  </si>
  <si>
    <t>phosphatase and actin regulator 4</t>
  </si>
  <si>
    <t>ENSMUSG00000034591</t>
  </si>
  <si>
    <t>solute carrier family 41, member 2</t>
  </si>
  <si>
    <t>ENSMUSG00000048040</t>
  </si>
  <si>
    <t>adipocyte-related X-chromosome expressed sequence 2</t>
  </si>
  <si>
    <t>ENSMUSG00000096929</t>
  </si>
  <si>
    <t>RIKEN cDNA A330023F24 gene</t>
  </si>
  <si>
    <t>ENSMUSG00000033257</t>
  </si>
  <si>
    <t>tubulin tyrosine ligase-like family, member 4</t>
  </si>
  <si>
    <t>ENSMUSG00000000711</t>
  </si>
  <si>
    <t>RAB5B, member RAS oncogene family</t>
  </si>
  <si>
    <t>ENSMUSG00000034157</t>
  </si>
  <si>
    <t>CLOCK interacting protein, circadian</t>
  </si>
  <si>
    <t>ENSMUSG00000004364</t>
  </si>
  <si>
    <t>cullin 3</t>
  </si>
  <si>
    <t>ENSMUSG00000038602</t>
  </si>
  <si>
    <t>solute carrier family 35, member F1</t>
  </si>
  <si>
    <t>ENSMUSG00000034616</t>
  </si>
  <si>
    <t>slingshot homolog 3 (Drosophila)</t>
  </si>
  <si>
    <t>ENSMUSG00000018820</t>
  </si>
  <si>
    <t>zinc finger, FYVE domain containing 27</t>
  </si>
  <si>
    <t>ENSMUSG00000051223</t>
  </si>
  <si>
    <t>basic leucine zipper and W2 domains 1</t>
  </si>
  <si>
    <t>ENSMUSG00000049409</t>
  </si>
  <si>
    <t>prokineticin receptor 1</t>
  </si>
  <si>
    <t>ENSMUSG00000022263</t>
  </si>
  <si>
    <t>triple functional domain (PTPRF interacting)</t>
  </si>
  <si>
    <t>ENSMUSG00000052512</t>
  </si>
  <si>
    <t>neuron navigator 2</t>
  </si>
  <si>
    <t>ENSMUSG00000034098</t>
  </si>
  <si>
    <t>follistatin-like 5</t>
  </si>
  <si>
    <t>ENSMUSG00000047777</t>
  </si>
  <si>
    <t>PHD finger protein 13</t>
  </si>
  <si>
    <t>ENSMUSG00000032253</t>
  </si>
  <si>
    <t>pleckstrin homology domain interacting protein</t>
  </si>
  <si>
    <t>ENSMUSG00000043998</t>
  </si>
  <si>
    <t>mannoside acetylglucosaminyltransferase 2</t>
  </si>
  <si>
    <t>ENSMUSG00000044912</t>
  </si>
  <si>
    <t>synaptotagmin XVI</t>
  </si>
  <si>
    <t>ENSMUSG00000031467</t>
  </si>
  <si>
    <t>1-acylglycerol-3-phosphate O-acyltransferase 5 (lysophosphatidic acid acyltransferase, epsilon)</t>
  </si>
  <si>
    <t>ENSMUSG00000031505</t>
  </si>
  <si>
    <t>NAD(P)HX dehydratase</t>
  </si>
  <si>
    <t>ENSMUSG00000040584</t>
  </si>
  <si>
    <t>ATP-binding cassette, sub-family B (MDR/TAP), member 1A</t>
  </si>
  <si>
    <t>ENSMUSG00000063652</t>
  </si>
  <si>
    <t>solute carrier family 22 (organic cation transporter), member 21</t>
  </si>
  <si>
    <t>ENSMUSG00000039191</t>
  </si>
  <si>
    <t>recombination signal binding protein for immunoglobulin kappa J region</t>
  </si>
  <si>
    <t>ENSMUSG00000001143</t>
  </si>
  <si>
    <t>lectin, mannose-binding 2-like</t>
  </si>
  <si>
    <t>ENSMUSG00000021461</t>
  </si>
  <si>
    <t>Fanconi anemia, complementation group C</t>
  </si>
  <si>
    <t>ENSMUSG00000028800</t>
  </si>
  <si>
    <t>histone deacetylase 1</t>
  </si>
  <si>
    <t>ENSMUSG00000025577</t>
  </si>
  <si>
    <t>chromobox 2</t>
  </si>
  <si>
    <t>ENSMUSG00000043895</t>
  </si>
  <si>
    <t>sphingosine-1-phosphate receptor 2</t>
  </si>
  <si>
    <t>ENSMUSG00000023235</t>
  </si>
  <si>
    <t>chemokine (C-C motif) ligand 25</t>
  </si>
  <si>
    <t>ENSMUSG00000030237</t>
  </si>
  <si>
    <t>solute carrier organic anion transporter family, member 1a4</t>
  </si>
  <si>
    <t>ENSMUSG00000032300</t>
  </si>
  <si>
    <t>RIKEN cDNA 1700017B05 gene</t>
  </si>
  <si>
    <t>ENSMUSG00000053062</t>
  </si>
  <si>
    <t>junction adhesion molecule 2</t>
  </si>
  <si>
    <t>ENSMUSG00000000340</t>
  </si>
  <si>
    <t>dihydrolipoamide branched chain transacylase E2</t>
  </si>
  <si>
    <t>ENSMUSG00000037706</t>
  </si>
  <si>
    <t>CD81 antigen</t>
  </si>
  <si>
    <t>ENSMUSG00000024099</t>
  </si>
  <si>
    <t>NADH dehydrogenase (ubiquinone) flavoprotein 2</t>
  </si>
  <si>
    <t>ENSMUSG00000032511</t>
  </si>
  <si>
    <t>sodium channel, voltage-gated, type V, alpha</t>
  </si>
  <si>
    <t>ENSMUSG00000020486</t>
  </si>
  <si>
    <t>septin 4</t>
  </si>
  <si>
    <t>ENSMUSG00000006599</t>
  </si>
  <si>
    <t>general transcription factor II H, polypeptide 1</t>
  </si>
  <si>
    <t>ENSMUSG00000020590</t>
  </si>
  <si>
    <t>sorting nexin 13</t>
  </si>
  <si>
    <t>ENSMUSG00000024283</t>
  </si>
  <si>
    <t>WW domain containing adaptor with coiled-coil</t>
  </si>
  <si>
    <t>ENSMUSG00000070427</t>
  </si>
  <si>
    <t>interleukin 18 binding protein</t>
  </si>
  <si>
    <t>ENSMUSG00000022283</t>
  </si>
  <si>
    <t>poly(A) binding protein, cytoplasmic 1</t>
  </si>
  <si>
    <t>ENSMUSG00000037260</t>
  </si>
  <si>
    <t>heparan-alpha-glucosaminide N-acetyltransferase</t>
  </si>
  <si>
    <t>ENSMUSG00000026353</t>
  </si>
  <si>
    <t>UBX domain protein 4</t>
  </si>
  <si>
    <t>ENSMUSG00000053536</t>
  </si>
  <si>
    <t>cleavage stimulation factor, 3' pre-RNA subunit 2, tau</t>
  </si>
  <si>
    <t>ENSMUSG00000063063</t>
  </si>
  <si>
    <t>catenin (cadherin associated protein), alpha 2</t>
  </si>
  <si>
    <t>ENSMUSG00000042750</t>
  </si>
  <si>
    <t>brain expressed X-linked 2</t>
  </si>
  <si>
    <t>ENSMUSG00000030754</t>
  </si>
  <si>
    <t>coatomer protein complex, subunit beta 1</t>
  </si>
  <si>
    <t>ENSMUSG00000028517</t>
  </si>
  <si>
    <t>phospholipid phosphatase 3</t>
  </si>
  <si>
    <t>ENSMUSG00000024054</t>
  </si>
  <si>
    <t>SMC hinge domain containing 1</t>
  </si>
  <si>
    <t>ENSMUSG00000037466</t>
  </si>
  <si>
    <t>RIKEN cDNA 4930427A07 gene</t>
  </si>
  <si>
    <t>ENSMUSG00000016319</t>
  </si>
  <si>
    <t>solute carrier family 25 (mitochondrial carrier, adenine nucleotide translocator), member 5</t>
  </si>
  <si>
    <t>ENSMUSG00000040451</t>
  </si>
  <si>
    <t>sphingomyelin synthase 1</t>
  </si>
  <si>
    <t>ENSMUSG00000000346</t>
  </si>
  <si>
    <t>DAZ associated protein 2</t>
  </si>
  <si>
    <t>ENSMUSG00000024659</t>
  </si>
  <si>
    <t>annexin A1</t>
  </si>
  <si>
    <t>ENSMUSG00000029861</t>
  </si>
  <si>
    <t>family with sequence similarity 131, member B</t>
  </si>
  <si>
    <t>ENSMUSG00000034640</t>
  </si>
  <si>
    <t>TCDD-inducible poly(ADP-ribose) polymerase</t>
  </si>
  <si>
    <t>ENSMUSG00000040035</t>
  </si>
  <si>
    <t>dispatched homolog 2 (Drosophila)</t>
  </si>
  <si>
    <t>ENSMUSG00000036281</t>
  </si>
  <si>
    <t>small nuclear RNA activating complex, polypeptide 4</t>
  </si>
  <si>
    <t>ENSMUSG00000043411</t>
  </si>
  <si>
    <t>ubiquitin specific peptidase 48</t>
  </si>
  <si>
    <t>ENSMUSG00000072647</t>
  </si>
  <si>
    <t>a disintegrin and metallopeptidase domain 1a</t>
  </si>
  <si>
    <t>ENSMUSG00000024301</t>
  </si>
  <si>
    <t>kinesin family member C5B</t>
  </si>
  <si>
    <t>ENSMUSG00000022914</t>
  </si>
  <si>
    <t>bromodomain and WD repeat domain containing 1</t>
  </si>
  <si>
    <t>ENSMUSG00000090942</t>
  </si>
  <si>
    <t>RIKEN cDNA F830016B08 gene</t>
  </si>
  <si>
    <t>ENSMUSG00000035131</t>
  </si>
  <si>
    <t>bone morphogenetic protein/retinoic acid inducible neural specific 3</t>
  </si>
  <si>
    <t>ENSMUSG00000020926</t>
  </si>
  <si>
    <t>a disintegrin and metallopeptidase domain 11</t>
  </si>
  <si>
    <t>ENSMUSG00000036339</t>
  </si>
  <si>
    <t>transmembrane protein 260</t>
  </si>
  <si>
    <t>ENSMUSG00000027669</t>
  </si>
  <si>
    <t>guanine nucleotide binding protein (G protein), beta 4</t>
  </si>
  <si>
    <t>ENSMUSG00000051506</t>
  </si>
  <si>
    <t>WD repeat and FYVE domain containing 4</t>
  </si>
  <si>
    <t>ENSMUSG00000042581</t>
  </si>
  <si>
    <t>thrombospondin, type I, domain containing 7B</t>
  </si>
  <si>
    <t>ENSMUSG00000071862</t>
  </si>
  <si>
    <t>leucine rich repeat transmembrane neuronal 2</t>
  </si>
  <si>
    <t>ENSMUSG00000038576</t>
  </si>
  <si>
    <t>sushi domain containing 4</t>
  </si>
  <si>
    <t>ENSMUSG00000063406</t>
  </si>
  <si>
    <t>transmembrane emp24 protein transport domain containing 5</t>
  </si>
  <si>
    <t>ENSMUSG00000020321</t>
  </si>
  <si>
    <t>malate dehydrogenase 1, NAD (soluble)</t>
  </si>
  <si>
    <t>ENSMUSG00000024830</t>
  </si>
  <si>
    <t>ENSMUSG00000037553</t>
  </si>
  <si>
    <t>zinc finger, DHHC domain containing 18</t>
  </si>
  <si>
    <t>ENSMUSG00000015671</t>
  </si>
  <si>
    <t>proteasome (prosome, macropain) subunit, alpha type 2</t>
  </si>
  <si>
    <t>ENSMUSG00000007603</t>
  </si>
  <si>
    <t>dihydrouridine synthase 3-like (S. cerevisiae)</t>
  </si>
  <si>
    <t>ENSMUSG00000027381</t>
  </si>
  <si>
    <t>BCL2-like 11 (apoptosis facilitator)</t>
  </si>
  <si>
    <t>ENSMUSG00000037415</t>
  </si>
  <si>
    <t>RAN binding protein 10</t>
  </si>
  <si>
    <t>ENSMUSG00000034282</t>
  </si>
  <si>
    <t>envoplakin</t>
  </si>
  <si>
    <t>ENSMUSG00000027193</t>
  </si>
  <si>
    <t>apoptosis inhibitor 5</t>
  </si>
  <si>
    <t>ENSMUSG00000020647</t>
  </si>
  <si>
    <t>nuclear receptor coactivator 1</t>
  </si>
  <si>
    <t>ENSMUSG00000026922</t>
  </si>
  <si>
    <t>1-acylglycerol-3-phosphate O-acyltransferase 2 (lysophosphatidic acid acyltransferase, beta)</t>
  </si>
  <si>
    <t>ENSMUSG00000029434</t>
  </si>
  <si>
    <t>VPS33A CORVET/HOPS core subunit</t>
  </si>
  <si>
    <t>ENSMUSG00000039735</t>
  </si>
  <si>
    <t>formin binding protein 1-like</t>
  </si>
  <si>
    <t>ENSMUSG00000032265</t>
  </si>
  <si>
    <t>family with sequence similarity 46, member A</t>
  </si>
  <si>
    <t>ENSMUSG00000028161</t>
  </si>
  <si>
    <t>protein phosphatase 3, catalytic subunit, alpha isoform</t>
  </si>
  <si>
    <t>ENSMUSG00000015714</t>
  </si>
  <si>
    <t>ceramide synthase 2</t>
  </si>
  <si>
    <t>ENSMUSG00000053279</t>
  </si>
  <si>
    <t>aldehyde dehydrogenase family 1, subfamily A1</t>
  </si>
  <si>
    <t>ENSMUSG00000009621</t>
  </si>
  <si>
    <t>vav 2 oncogene</t>
  </si>
  <si>
    <t>ENSMUSG00000020676</t>
  </si>
  <si>
    <t>chemokine (C-C motif) ligand 11</t>
  </si>
  <si>
    <t>ENSMUSG00000061536</t>
  </si>
  <si>
    <t>SEC22 homolog C, vesicle trafficking protein</t>
  </si>
  <si>
    <t>ENSMUSG00000029787</t>
  </si>
  <si>
    <t>AVL9 homolog (S. cerevisiase)</t>
  </si>
  <si>
    <t>ENSMUSG00000043635</t>
  </si>
  <si>
    <t>a disintegrin-like and metallopeptidase (reprolysin type) with thrombospondin type 1 motif, 3</t>
  </si>
  <si>
    <t>ENSMUSG00000028567</t>
  </si>
  <si>
    <t>thioredoxin domain containing 12 (endoplasmic reticulum)</t>
  </si>
  <si>
    <t>ENSMUSG00000038002</t>
  </si>
  <si>
    <t>Crm, cramped-like (Drosophila)</t>
  </si>
  <si>
    <t>ENSMUSG00000025586</t>
  </si>
  <si>
    <t>cytoplasmic polyadenylation element binding protein 1</t>
  </si>
  <si>
    <t>ENSMUSG00000026421</t>
  </si>
  <si>
    <t>cysteine and glycine-rich protein 1</t>
  </si>
  <si>
    <t>ENSMUSG00000070056</t>
  </si>
  <si>
    <t>malignant fibrous histiocytoma amplified sequence 1</t>
  </si>
  <si>
    <t>ENSMUSG00000035208</t>
  </si>
  <si>
    <t>schlafen 8</t>
  </si>
  <si>
    <t>ENSMUSG00000026014</t>
  </si>
  <si>
    <t>Ras association (RalGDS/AF-6) and pleckstrin homology domains 1</t>
  </si>
  <si>
    <t>ENSMUSG00000036948</t>
  </si>
  <si>
    <t>cDNA sequence BC037034</t>
  </si>
  <si>
    <t>ENSMUSG00000026608</t>
  </si>
  <si>
    <t>potassium channel tetramerisation domain containing 3</t>
  </si>
  <si>
    <t>ENSMUSG00000042810</t>
  </si>
  <si>
    <t>KRAB-A domain containing 1</t>
  </si>
  <si>
    <t>ENSMUSG00000073481</t>
  </si>
  <si>
    <t>mitochondrial amidoxime reducing component 2</t>
  </si>
  <si>
    <t>ENSMUSG00000022983</t>
  </si>
  <si>
    <t>SR-related CTD-associated factor 4</t>
  </si>
  <si>
    <t>ENSMUSG00000034820</t>
  </si>
  <si>
    <t>cleavage and polyadenylation specific factor 7</t>
  </si>
  <si>
    <t>ENSMUSG00000063687</t>
  </si>
  <si>
    <t>protocadherin beta 5</t>
  </si>
  <si>
    <t>ENSMUSG00000047767</t>
  </si>
  <si>
    <t>autophagy related 16-like 2 (S. cerevisiae)</t>
  </si>
  <si>
    <t>ENSMUSG00000037788</t>
  </si>
  <si>
    <t>vesicular, overexpressed in cancer, prosurvival protein 1</t>
  </si>
  <si>
    <t>ENSMUSG00000039323</t>
  </si>
  <si>
    <t>insulin-like growth factor binding protein 2</t>
  </si>
  <si>
    <t>ENSMUSG00000029165</t>
  </si>
  <si>
    <t>ATP/GTP binding protein-like 5</t>
  </si>
  <si>
    <t>ENSMUSG00000040612</t>
  </si>
  <si>
    <t>immunoglobulin-like domain containing receptor 2</t>
  </si>
  <si>
    <t>ENSMUSG00000066441</t>
  </si>
  <si>
    <t>retinol dehydrogenase 11</t>
  </si>
  <si>
    <t>ENSMUSG00000022641</t>
  </si>
  <si>
    <t>bobby sox homolog (Drosophila)</t>
  </si>
  <si>
    <t>ENSMUSG00000054387</t>
  </si>
  <si>
    <t>transformed mouse 3T3 cell double minute 4</t>
  </si>
  <si>
    <t>ENSMUSG00000039646</t>
  </si>
  <si>
    <t>vasorin</t>
  </si>
  <si>
    <t>ENSMUSG00000020458</t>
  </si>
  <si>
    <t>reticulon 4</t>
  </si>
  <si>
    <t>ENSMUSG00000027230</t>
  </si>
  <si>
    <t>cAMP responsive element binding protein 3-like 1</t>
  </si>
  <si>
    <t>ENSMUSG00000024065</t>
  </si>
  <si>
    <t>EH-domain containing 3</t>
  </si>
  <si>
    <t>ENSMUSG00000020715</t>
  </si>
  <si>
    <t>endoplasmic reticulum (ER) to nucleus signalling 1</t>
  </si>
  <si>
    <t>ENSMUSG00000041528</t>
  </si>
  <si>
    <t>ring finger protein 123</t>
  </si>
  <si>
    <t>ENSMUSG00000030868</t>
  </si>
  <si>
    <t>dynactin 5</t>
  </si>
  <si>
    <t>ENSMUSG00000030591</t>
  </si>
  <si>
    <t>proteasome (prosome, macropain) 26S subunit, non-ATPase, 8</t>
  </si>
  <si>
    <t>ENSMUSG00000106847</t>
  </si>
  <si>
    <t>paternally expressed 13</t>
  </si>
  <si>
    <t>ENSMUSG00000031433</t>
  </si>
  <si>
    <t>RNA binding motif protein 41</t>
  </si>
  <si>
    <t>ENSMUSG00000060586</t>
  </si>
  <si>
    <t>histocompatibility 2, class II antigen E beta</t>
  </si>
  <si>
    <t>ENSMUSG00000032360</t>
  </si>
  <si>
    <t>hypocretin (orexin) receptor 2</t>
  </si>
  <si>
    <t>ENSMUSG00000041215</t>
  </si>
  <si>
    <t>YEATS domain containing 2</t>
  </si>
  <si>
    <t>ENSMUSG00000038552</t>
  </si>
  <si>
    <t>fibronectin type III domain containing 4</t>
  </si>
  <si>
    <t>ENSMUSG00000022353</t>
  </si>
  <si>
    <t>metastasis suppressor 1</t>
  </si>
  <si>
    <t>ENSMUSG00000049288</t>
  </si>
  <si>
    <t>Lix1-like</t>
  </si>
  <si>
    <t>ENSMUSG00000079316</t>
  </si>
  <si>
    <t>RAB9, member RAS oncogene family</t>
  </si>
  <si>
    <t>ENSMUSG00000029166</t>
  </si>
  <si>
    <t>microtubule-associated protein, RP/EB family, member 3</t>
  </si>
  <si>
    <t>ENSMUSG00000020807</t>
  </si>
  <si>
    <t>RIKEN cDNA 4933427D14 gene</t>
  </si>
  <si>
    <t>ENSMUSG00000078937</t>
  </si>
  <si>
    <t>carnitine palmitoyltransferase 1b, muscle</t>
  </si>
  <si>
    <t>ENSMUSG00000028911</t>
  </si>
  <si>
    <t>serine/arginine-rich splicing factor 4</t>
  </si>
  <si>
    <t>ENSMUSG00000025571</t>
  </si>
  <si>
    <t>trinucleotide repeat containing 6C</t>
  </si>
  <si>
    <t>ENSMUSG00000071265</t>
  </si>
  <si>
    <t>RIKEN cDNA 1700086L19 gene</t>
  </si>
  <si>
    <t>ENSMUSG00000020681</t>
  </si>
  <si>
    <t>angiotensin I converting enzyme (peptidyl-dipeptidase A) 1</t>
  </si>
  <si>
    <t>ENSMUSG00000020888</t>
  </si>
  <si>
    <t>dishevelled segment polarity protein 2</t>
  </si>
  <si>
    <t>ENSMUSG00000044948</t>
  </si>
  <si>
    <t>cilia and flagella associated protein 43</t>
  </si>
  <si>
    <t>inositol 1,4,5-triphosphate receptor interacting protein</t>
  </si>
  <si>
    <t>ENSMUSG00000059939</t>
  </si>
  <si>
    <t>RIKEN cDNA 9430015G10 gene</t>
  </si>
  <si>
    <t>ENSMUSG00000030924</t>
  </si>
  <si>
    <t>RIKEN cDNA 2610020H08 gene</t>
  </si>
  <si>
    <t>ENSMUSG00000033417</t>
  </si>
  <si>
    <t>CDK2 associated, cullin domain 1</t>
  </si>
  <si>
    <t>ENSMUSG00000047694</t>
  </si>
  <si>
    <t>Yip1 domain family, member 6</t>
  </si>
  <si>
    <t>ENSMUSG00000044149</t>
  </si>
  <si>
    <t>NF-kappaB repressing factor</t>
  </si>
  <si>
    <t>ENSMUSG00000026196</t>
  </si>
  <si>
    <t>BRCA1 associated RING domain 1</t>
  </si>
  <si>
    <t>ENSMUSG00000059970</t>
  </si>
  <si>
    <t>heat shock protein 2</t>
  </si>
  <si>
    <t>ENSMUSG00000029076</t>
  </si>
  <si>
    <t>stromal cell derived factor 4</t>
  </si>
  <si>
    <t>ENSMUSG00000042766</t>
  </si>
  <si>
    <t>tripartite motif-containing 46</t>
  </si>
  <si>
    <t>ENSMUSG00000021945</t>
  </si>
  <si>
    <t>zinc finger, MYM-type 2</t>
  </si>
  <si>
    <t>ENSMUSG00000092837</t>
  </si>
  <si>
    <t>ribonuclease P RNA component H1</t>
  </si>
  <si>
    <t>ENSMUSG00000020733</t>
  </si>
  <si>
    <t>solute carrier family 9 (sodium/hydrogen exchanger), member 3 regulator 1</t>
  </si>
  <si>
    <t>ENSMUSG00000034252</t>
  </si>
  <si>
    <t>SUMO/sentrin specific peptidase 6</t>
  </si>
  <si>
    <t>ENSMUSG00000008348</t>
  </si>
  <si>
    <t>ubiquitin C</t>
  </si>
  <si>
    <t>ENSMUSG00000035941</t>
  </si>
  <si>
    <t>inhibitor of Bruton agammaglobulinemia tyrosine kinase</t>
  </si>
  <si>
    <t>ENSMUSG00000040865</t>
  </si>
  <si>
    <t>INO80 complex subunit D</t>
  </si>
  <si>
    <t>ENSMUSG00000032582</t>
  </si>
  <si>
    <t>RNA binding motif protein 6</t>
  </si>
  <si>
    <t>ENSMUSG00000002393</t>
  </si>
  <si>
    <t>nuclear receptor subfamily 2, group F, member 6</t>
  </si>
  <si>
    <t>ENSMUSG00000029103</t>
  </si>
  <si>
    <t>low density lipoprotein receptor-related protein associated protein 1</t>
  </si>
  <si>
    <t>ENSMUSG00000099083</t>
  </si>
  <si>
    <t>activating transcription factor 7</t>
  </si>
  <si>
    <t>ENSMUSG00000036368</t>
  </si>
  <si>
    <t>regulator of microtubule dynamics 2</t>
  </si>
  <si>
    <t>ENSMUSG00000022791</t>
  </si>
  <si>
    <t>tyrosine kinase, non-receptor, 2</t>
  </si>
  <si>
    <t>ENSMUSG00000033161</t>
  </si>
  <si>
    <t>ATPase, Na+/K+ transporting, alpha 1 polypeptide</t>
  </si>
  <si>
    <t>ENSMUSG00000006941</t>
  </si>
  <si>
    <t>eukaryotic translation initiation factor 1B</t>
  </si>
  <si>
    <t>ENSMUSG00000028252</t>
  </si>
  <si>
    <t>cyclin C</t>
  </si>
  <si>
    <t>ENSMUSG00000067279</t>
  </si>
  <si>
    <t>protein phosphatase 1, regulatory (inhibitor) subunit 3C</t>
  </si>
  <si>
    <t>ENSMUSG00000048721</t>
  </si>
  <si>
    <t>fibronectin type III domain containing 9</t>
  </si>
  <si>
    <t>ENSMUSG00000079165</t>
  </si>
  <si>
    <t>sin3 associated polypeptide</t>
  </si>
  <si>
    <t>ENSMUSG00000022550</t>
  </si>
  <si>
    <t>aarF domain containing kinase 5</t>
  </si>
  <si>
    <t>ENSMUSG00000086859</t>
  </si>
  <si>
    <t>small nucleolar RNA host gene 20</t>
  </si>
  <si>
    <t>ENSMUSG00000036299</t>
  </si>
  <si>
    <t>cDNA sequence BC031181</t>
  </si>
  <si>
    <t>ENSMUSG00000052609</t>
  </si>
  <si>
    <t>pleckstrin homology domain containing, family G (with RhoGef domain) member 3</t>
  </si>
  <si>
    <t>ENSMUSG00000027966</t>
  </si>
  <si>
    <t>collagen, type XI, alpha 1</t>
  </si>
  <si>
    <t>ENSMUSG00000006522</t>
  </si>
  <si>
    <t>inter-alpha trypsin inhibitor, heavy chain 3</t>
  </si>
  <si>
    <t>ENSMUSG00000030257</t>
  </si>
  <si>
    <t>SLIT-ROBO Rho GTPase activating protein 3</t>
  </si>
  <si>
    <t>ENSMUSG00000051339</t>
  </si>
  <si>
    <t>RIKEN cDNA 2900026A02 gene</t>
  </si>
  <si>
    <t>ENSMUSG00000033047</t>
  </si>
  <si>
    <t>eukaryotic translation initiation factor 3, subunit L</t>
  </si>
  <si>
    <t>ENSMUSG00000022159</t>
  </si>
  <si>
    <t>RAB2B, member RAS oncogene family</t>
  </si>
  <si>
    <t>ENSMUSG00000035232</t>
  </si>
  <si>
    <t>pyruvate dehydrogenase kinase, isoenzyme 3</t>
  </si>
  <si>
    <t>ENSMUSG00000048285</t>
  </si>
  <si>
    <t>FERM domain containing 6</t>
  </si>
  <si>
    <t>ENSMUSG00000041633</t>
  </si>
  <si>
    <t>potassium channel tetramerisation domain containing 12b</t>
  </si>
  <si>
    <t>ENSMUSG00000039809</t>
  </si>
  <si>
    <t>gamma-aminobutyric acid (GABA) B receptor, 2</t>
  </si>
  <si>
    <t>ENSMUSG00000046844</t>
  </si>
  <si>
    <t>vesicle amine transport protein 1 like</t>
  </si>
  <si>
    <t>ENSMUSG00000038406</t>
  </si>
  <si>
    <t>SR-related CTD-associated factor 1</t>
  </si>
  <si>
    <t>ENSMUSG00000029084</t>
  </si>
  <si>
    <t>CD38 antigen</t>
  </si>
  <si>
    <t>ENSMUSG00000023452</t>
  </si>
  <si>
    <t>phosphatidylserine decarboxylase</t>
  </si>
  <si>
    <t>ENSMUSG00000034438</t>
  </si>
  <si>
    <t>guanylate-binding protein 8</t>
  </si>
  <si>
    <t>ENSMUSG00000049076</t>
  </si>
  <si>
    <t>ArfGAP with coiled-coil, ankyrin repeat and PH domains 2</t>
  </si>
  <si>
    <t>ENSMUSG00000035885</t>
  </si>
  <si>
    <t>cytochrome c oxidase subunit VIIIa</t>
  </si>
  <si>
    <t>ENSMUSG00000024940</t>
  </si>
  <si>
    <t>latent transforming growth factor beta binding protein 3</t>
  </si>
  <si>
    <t>ENSMUSG00000032047</t>
  </si>
  <si>
    <t>acetyl-Coenzyme A acetyltransferase 1</t>
  </si>
  <si>
    <t>ENSMUSG00000022206</t>
  </si>
  <si>
    <t>natriuretic peptide receptor 3</t>
  </si>
  <si>
    <t>ENSMUSG00000020333</t>
  </si>
  <si>
    <t>acyl-CoA synthetase long-chain family member 6</t>
  </si>
  <si>
    <t>ENSMUSG00000035227</t>
  </si>
  <si>
    <t>signal peptidase complex subunit 2 homolog (S. cerevisiae)</t>
  </si>
  <si>
    <t>ENSMUSG00000058594</t>
  </si>
  <si>
    <t>F-box protein 18</t>
  </si>
  <si>
    <t>ENSMUSG00000024238</t>
  </si>
  <si>
    <t>zinc finger E-box binding homeobox 1</t>
  </si>
  <si>
    <t>ENSMUSG00000009549</t>
  </si>
  <si>
    <t>signal recognition particle 14</t>
  </si>
  <si>
    <t>ENSMUSG00000027435</t>
  </si>
  <si>
    <t>CD93 antigen</t>
  </si>
  <si>
    <t>ENSMUSG00000042292</t>
  </si>
  <si>
    <t>MKL (megakaryoblastic leukemia)/myocardin-like 1</t>
  </si>
  <si>
    <t>ENSMUSG00000032606</t>
  </si>
  <si>
    <t>nicolin 1</t>
  </si>
  <si>
    <t>ENSMUSG00000014837</t>
  </si>
  <si>
    <t>RIKEN cDNA 4931428F04 gene</t>
  </si>
  <si>
    <t>ENSMUSG00000037519</t>
  </si>
  <si>
    <t>protein tyrosine phosphatase, receptor type, f polypeptide (PTPRF), interacting protein (liprin), alpha 1</t>
  </si>
  <si>
    <t>ENSMUSG00000031292</t>
  </si>
  <si>
    <t>cyclin-dependent kinase-like 5</t>
  </si>
  <si>
    <t>ENSMUSG00000074457</t>
  </si>
  <si>
    <t>S100 calcium binding protein A16</t>
  </si>
  <si>
    <t>ENSMUSG00000031751</t>
  </si>
  <si>
    <t>autocrine motility factor receptor</t>
  </si>
  <si>
    <t>ENSMUSG00000021567</t>
  </si>
  <si>
    <t>naked cuticle 2 homolog (Drosophila)</t>
  </si>
  <si>
    <t>ENSMUSG00000002475</t>
  </si>
  <si>
    <t>abhydrolase domain containing 3</t>
  </si>
  <si>
    <t>ENSMUSG00000051379</t>
  </si>
  <si>
    <t>fibronectin leucine rich transmembrane protein 3</t>
  </si>
  <si>
    <t>ENSMUSG00000029148</t>
  </si>
  <si>
    <t>nuclear receptor binding protein 1</t>
  </si>
  <si>
    <t>ENSMUSG00000037337</t>
  </si>
  <si>
    <t>mitogen-activated protein kinase kinase kinase kinase 1</t>
  </si>
  <si>
    <t>ENSMUSG00000038535</t>
  </si>
  <si>
    <t>zinc finger protein 280D</t>
  </si>
  <si>
    <t>ENSMUSG00000028613</t>
  </si>
  <si>
    <t>low density lipoprotein receptor-related protein 8, apolipoprotein e receptor</t>
  </si>
  <si>
    <t>ENSMUSG00000070462</t>
  </si>
  <si>
    <t>mesoderm development candidate 1</t>
  </si>
  <si>
    <t>ENSMUSG00000035711</t>
  </si>
  <si>
    <t>docking protein 3</t>
  </si>
  <si>
    <t>ENSMUSG00000040272</t>
  </si>
  <si>
    <t>1-aminocyclopropane-1-carboxylate synthase (non-functional)</t>
  </si>
  <si>
    <t>ENSMUSG00000044702</t>
  </si>
  <si>
    <t>partner and localizer of BRCA2</t>
  </si>
  <si>
    <t>ENSMUSG00000005360</t>
  </si>
  <si>
    <t>solute carrier family 1 (glial high affinity glutamate transporter), member 3</t>
  </si>
  <si>
    <t>ENSMUSG00000038346</t>
  </si>
  <si>
    <t>zinc finger protein 384</t>
  </si>
  <si>
    <t>ENSMUSG00000009075</t>
  </si>
  <si>
    <t>calcium binding protein 7</t>
  </si>
  <si>
    <t>ENSMUSG00000057738</t>
  </si>
  <si>
    <t>spectrin alpha, non-erythrocytic 1</t>
  </si>
  <si>
    <t>ENSMUSG00000005802</t>
  </si>
  <si>
    <t>solute carrier family 30 (zinc transporter), member 4</t>
  </si>
  <si>
    <t>ENSMUSG00000056394</t>
  </si>
  <si>
    <t>ligase I, DNA, ATP-dependent</t>
  </si>
  <si>
    <t>ENSMUSG00000029283</t>
  </si>
  <si>
    <t>cell division cycle 7 (S. cerevisiae)</t>
  </si>
  <si>
    <t>ENSMUSG00000032290</t>
  </si>
  <si>
    <t>protein tyrosine phosphatase, non-receptor type 9</t>
  </si>
  <si>
    <t>ENSMUSG00000054400</t>
  </si>
  <si>
    <t>chemokine-like factor</t>
  </si>
  <si>
    <t>ENSMUSG00000009995</t>
  </si>
  <si>
    <t>tafazzin</t>
  </si>
  <si>
    <t>ENSMUSG00000022475</t>
  </si>
  <si>
    <t>histone deacetylase 7</t>
  </si>
  <si>
    <t>ENSMUSG00000017781</t>
  </si>
  <si>
    <t>phosphatidylinositol transfer protein, alpha</t>
  </si>
  <si>
    <t>ENSMUSG00000054863</t>
  </si>
  <si>
    <t>family with sequence similarity 19, member A5</t>
  </si>
  <si>
    <t>ENSMUSG00000021287</t>
  </si>
  <si>
    <t>X-ray repair complementing defective repair in Chinese hamster cells 3</t>
  </si>
  <si>
    <t>ENSMUSG00000030095</t>
  </si>
  <si>
    <t>transmembrane protein 43</t>
  </si>
  <si>
    <t>ENSMUSG00000037210</t>
  </si>
  <si>
    <t>family with sequence similarity 193, member A</t>
  </si>
  <si>
    <t>ENSMUSG00000039989</t>
  </si>
  <si>
    <t>chromobox 4</t>
  </si>
  <si>
    <t>ENSMUSG00000032540</t>
  </si>
  <si>
    <t>abhydrolase domain containing 5</t>
  </si>
  <si>
    <t>ENSMUSG00000002897</t>
  </si>
  <si>
    <t>interleukin 17 receptor A</t>
  </si>
  <si>
    <t>ENSMUSG00000020621</t>
  </si>
  <si>
    <t>retinol dehydrogenase 14 (all-trans and 9-cis)</t>
  </si>
  <si>
    <t>ENSMUSG00000040855</t>
  </si>
  <si>
    <t>RALBP1 associated Eps domain containing protein 2</t>
  </si>
  <si>
    <t>ENSMUSG00000032816</t>
  </si>
  <si>
    <t>immunoglobulin superfamily, DCC subclass, member 4</t>
  </si>
  <si>
    <t>ENSMUSG00000017286</t>
  </si>
  <si>
    <t>glyoxalase domain containing 4</t>
  </si>
  <si>
    <t>ENSMUSG00000038677</t>
  </si>
  <si>
    <t>signal peptide, CUB domain, EGF-like 3</t>
  </si>
  <si>
    <t>ENSMUSG00000026411</t>
  </si>
  <si>
    <t>transmembrane protein 9</t>
  </si>
  <si>
    <t>ENSMUSG00000024740</t>
  </si>
  <si>
    <t>damage specific DNA binding protein 1</t>
  </si>
  <si>
    <t>ENSMUSG00000027900</t>
  </si>
  <si>
    <t>DNA-damage regulated autophagy modulator 2</t>
  </si>
  <si>
    <t>ENSMUSG00000028439</t>
  </si>
  <si>
    <t>family with sequence similarity 219, member A</t>
  </si>
  <si>
    <t>ENSMUSG00000022661</t>
  </si>
  <si>
    <t>CD200 antigen</t>
  </si>
  <si>
    <t>ENSMUSG00000084885</t>
  </si>
  <si>
    <t>RIKEN cDNA 3010001F23 gene</t>
  </si>
  <si>
    <t>ENSMUSG00000031627</t>
  </si>
  <si>
    <t>interferon regulatory factor 2</t>
  </si>
  <si>
    <t>ENSMUSG00000039473</t>
  </si>
  <si>
    <t>ubinuclein 1</t>
  </si>
  <si>
    <t>ENSMUSG00000005103</t>
  </si>
  <si>
    <t>WD repeat domain 1</t>
  </si>
  <si>
    <t>ENSMUSG00000023951</t>
  </si>
  <si>
    <t>vascular endothelial growth factor A</t>
  </si>
  <si>
    <t>ENSMUSG00000022575</t>
  </si>
  <si>
    <t>gasdermin D</t>
  </si>
  <si>
    <t>ENSMUSG00000041014</t>
  </si>
  <si>
    <t>neuregulin 3</t>
  </si>
  <si>
    <t>ENSMUSG00000060373</t>
  </si>
  <si>
    <t>heterogeneous nuclear ribonucleoprotein C</t>
  </si>
  <si>
    <t>ENSMUSG00000040327</t>
  </si>
  <si>
    <t>cullin 9</t>
  </si>
  <si>
    <t>ENSMUSG00000026313</t>
  </si>
  <si>
    <t>histone deacetylase 4</t>
  </si>
  <si>
    <t>ENSMUSG00000030766</t>
  </si>
  <si>
    <t>Rho GTPase activating protein 17</t>
  </si>
  <si>
    <t>ENSMUSG00000039205</t>
  </si>
  <si>
    <t>CDKN1A interacting zinc finger protein 1</t>
  </si>
  <si>
    <t>ENSMUSG00000024913</t>
  </si>
  <si>
    <t>low density lipoprotein receptor-related protein 5</t>
  </si>
  <si>
    <t>ENSMUSG00000032050</t>
  </si>
  <si>
    <t>radixin</t>
  </si>
  <si>
    <t>ENSMUSG00000027284</t>
  </si>
  <si>
    <t>congenital dyserythropoietic anemia, type I (human)</t>
  </si>
  <si>
    <t>ENSMUSG00000020368</t>
  </si>
  <si>
    <t>calnexin</t>
  </si>
  <si>
    <t>ENSMUSG00000024425</t>
  </si>
  <si>
    <t>Nedd4 family interacting protein 1</t>
  </si>
  <si>
    <t>ENSMUSG00000059588</t>
  </si>
  <si>
    <t>calcitonin receptor-like</t>
  </si>
  <si>
    <t>ENSMUSG00000046240</t>
  </si>
  <si>
    <t>hepatocyte cell adhesion molecule</t>
  </si>
  <si>
    <t>ENSMUSG00000040734</t>
  </si>
  <si>
    <t>protein phosphatase 1, regulatory (inhibitor) subunit 13 like</t>
  </si>
  <si>
    <t>ENSMUSG00000030084</t>
  </si>
  <si>
    <t>plexin A1</t>
  </si>
  <si>
    <t>ENSMUSG00000047379</t>
  </si>
  <si>
    <t>beta-1,4-glucuronyltransferase 1</t>
  </si>
  <si>
    <t>ENSMUSG00000107499</t>
  </si>
  <si>
    <t>coiled-coil domain containing 142</t>
  </si>
  <si>
    <t>ENSMUSG00000021262</t>
  </si>
  <si>
    <t>Ena-vasodilator stimulated phosphoprotein</t>
  </si>
  <si>
    <t>ENSMUSG00000027782</t>
  </si>
  <si>
    <t>karyopherin (importin) alpha 4</t>
  </si>
  <si>
    <t>ENSMUSG00000040146</t>
  </si>
  <si>
    <t>ral guanine nucleotide dissociation stimulator-like 3</t>
  </si>
  <si>
    <t>ENSMUSG00000008845</t>
  </si>
  <si>
    <t>CD163 antigen</t>
  </si>
  <si>
    <t>ENSMUSG00000027598</t>
  </si>
  <si>
    <t>itchy, E3 ubiquitin protein ligase</t>
  </si>
  <si>
    <t>ENSMUSG00000030035</t>
  </si>
  <si>
    <t>WW domain binding protein 1</t>
  </si>
  <si>
    <t>ENSMUSG00000020661</t>
  </si>
  <si>
    <t>DNA methyltransferase 3A</t>
  </si>
  <si>
    <t>ENSMUSG00000021367</t>
  </si>
  <si>
    <t>endothelin 1</t>
  </si>
  <si>
    <t>ENSMUSG00000021830</t>
  </si>
  <si>
    <t>thioredoxin domain containing 16</t>
  </si>
  <si>
    <t>ENSMUSG00000034560</t>
  </si>
  <si>
    <t>RIKEN cDNA A230046K03 gene</t>
  </si>
  <si>
    <t>ENSMUSG00000029613</t>
  </si>
  <si>
    <t>eukaryotic translation initiation factor 2 alpha kinase 1</t>
  </si>
  <si>
    <t>ENSMUSG00000038583</t>
  </si>
  <si>
    <t>phospholamban</t>
  </si>
  <si>
    <t>ENSMUSG00000067653</t>
  </si>
  <si>
    <t>ankyrin repeat domain 23</t>
  </si>
  <si>
    <t>ENSMUSG00000022479</t>
  </si>
  <si>
    <t>vitamin D receptor</t>
  </si>
  <si>
    <t>ENSMUSG00000025393</t>
  </si>
  <si>
    <t>ATP synthase, H+ transporting mitochondrial F1 complex, beta subunit</t>
  </si>
  <si>
    <t>ENSMUSG00000026782</t>
  </si>
  <si>
    <t>abl-interactor 2</t>
  </si>
  <si>
    <t>ENSMUSG00000096351</t>
  </si>
  <si>
    <t>sterile alpha motif domain containing 11</t>
  </si>
  <si>
    <t>ENSMUSG00000027893</t>
  </si>
  <si>
    <t>S-adenosylhomocysteine hydrolase-like 1</t>
  </si>
  <si>
    <t>ENSMUSG00000058706</t>
  </si>
  <si>
    <t>RIKEN cDNA 0610030E20 gene</t>
  </si>
  <si>
    <t>ENSMUSG00000007891</t>
  </si>
  <si>
    <t>cathepsin D</t>
  </si>
  <si>
    <t>ENSMUSG00000031425</t>
  </si>
  <si>
    <t>proteolipid protein (myelin) 1</t>
  </si>
  <si>
    <t>ENSMUSG00000026586</t>
  </si>
  <si>
    <t>paired related homeobox 1</t>
  </si>
  <si>
    <t>ENSMUSG00000023915</t>
  </si>
  <si>
    <t>tumor necrosis factor receptor superfamily, member 21</t>
  </si>
  <si>
    <t>ENSMUSG00000004032</t>
  </si>
  <si>
    <t>glutathione S-transferase, mu 5</t>
  </si>
  <si>
    <t>ENSMUSG00000023909</t>
  </si>
  <si>
    <t>progestin and adipoQ receptor family member IV</t>
  </si>
  <si>
    <t>ENSMUSG00000004319</t>
  </si>
  <si>
    <t>chloride channel, voltage-sensitive 3</t>
  </si>
  <si>
    <t>ENSMUSG00000021009</t>
  </si>
  <si>
    <t>protein tyrosine phosphatase, non-receptor type 21</t>
  </si>
  <si>
    <t>ENSMUSG00000037242</t>
  </si>
  <si>
    <t>chloride intracellular channel 4 (mitochondrial)</t>
  </si>
  <si>
    <t>ENSMUSG00000027430</t>
  </si>
  <si>
    <t>D-tyrosyl-tRNA deacylase 1</t>
  </si>
  <si>
    <t>ENSMUSG00000002625</t>
  </si>
  <si>
    <t>A kinase (PRKA) anchor protein 8-like</t>
  </si>
  <si>
    <t>ENSMUSG00000022665</t>
  </si>
  <si>
    <t>coiled-coil domain containing 80</t>
  </si>
  <si>
    <t>ENSMUSG00000020653</t>
  </si>
  <si>
    <t>Kruppel-like factor 11</t>
  </si>
  <si>
    <t>ENSMUSG00000000317</t>
  </si>
  <si>
    <t>B cell CLL/lymphoma 6, member B</t>
  </si>
  <si>
    <t>ENSMUSG00000001260</t>
  </si>
  <si>
    <t>gamma-aminobutyric acid (GABA) A receptor, subunit gamma 1</t>
  </si>
  <si>
    <t>ENSMUSG00000023050</t>
  </si>
  <si>
    <t>mitogen-activated protein kinase kinase kinase 12</t>
  </si>
  <si>
    <t>ENSMUSG00000057182</t>
  </si>
  <si>
    <t>sodium channel, voltage-gated, type III, alpha</t>
  </si>
  <si>
    <t>ENSMUSG00000035297</t>
  </si>
  <si>
    <t>COP9 signalosome subunit 4</t>
  </si>
  <si>
    <t>ENSMUSG00000063065</t>
  </si>
  <si>
    <t>mitogen-activated protein kinase 3</t>
  </si>
  <si>
    <t>ENSMUSG00000040282</t>
  </si>
  <si>
    <t>cDNA sequence BC052040</t>
  </si>
  <si>
    <t>ENSMUSG00000021832</t>
  </si>
  <si>
    <t>proteasome (prosome, macropain) 26S subunit, ATPase, 6</t>
  </si>
  <si>
    <t>ENSMUSG00000030177</t>
  </si>
  <si>
    <t>coiled-coil domain containing 77</t>
  </si>
  <si>
    <t>ENSMUSG00000026600</t>
  </si>
  <si>
    <t>sterol O-acyltransferase 1</t>
  </si>
  <si>
    <t>ENSMUSG00000056612</t>
  </si>
  <si>
    <t>protein phosphatase 1, regulatory (inhibitor) subunit 14B</t>
  </si>
  <si>
    <t>ENSMUSG00000058835</t>
  </si>
  <si>
    <t>abl-interactor 1</t>
  </si>
  <si>
    <t>ENSMUSG00000023908</t>
  </si>
  <si>
    <t>protein kinase, membrane associated tyrosine/threonine 1</t>
  </si>
  <si>
    <t>ENSMUSG00000095930</t>
  </si>
  <si>
    <t>NIM1 serine/threonine protein kinase</t>
  </si>
  <si>
    <t>ENSMUSG00000035649</t>
  </si>
  <si>
    <t>zinc finger, CCHC domain containing 7</t>
  </si>
  <si>
    <t>ENSMUSG00000022438</t>
  </si>
  <si>
    <t>parvin, beta</t>
  </si>
  <si>
    <t>ENSMUSG00000053453</t>
  </si>
  <si>
    <t>THO complex 7</t>
  </si>
  <si>
    <t>ENSMUSG00000047238</t>
  </si>
  <si>
    <t>melanoma antigen, family H, 1</t>
  </si>
  <si>
    <t>ENSMUSG00000021712</t>
  </si>
  <si>
    <t>tripartite motif-containing 23</t>
  </si>
  <si>
    <t>ENSMUSG00000026615</t>
  </si>
  <si>
    <t>glutamyl-prolyl-tRNA synthetase</t>
  </si>
  <si>
    <t>ENSMUSG00000038250</t>
  </si>
  <si>
    <t>ubiquitin specific peptidase 38</t>
  </si>
  <si>
    <t>ENSMUSG00000036398</t>
  </si>
  <si>
    <t>protein phosphatase 1, regulatory (inhibitor) subunit 11</t>
  </si>
  <si>
    <t>ENSMUSG00000021268</t>
  </si>
  <si>
    <t>maternally expressed 3</t>
  </si>
  <si>
    <t>ENSMUSG00000003038</t>
  </si>
  <si>
    <t>high mobility group nucleosomal binding domain 2</t>
  </si>
  <si>
    <t>ENSMUSG00000021990</t>
  </si>
  <si>
    <t>spermatogenesis associated 13</t>
  </si>
  <si>
    <t>ENSMUSG00000000326</t>
  </si>
  <si>
    <t>catechol-O-methyltransferase</t>
  </si>
  <si>
    <t>ENSMUSG00000026260</t>
  </si>
  <si>
    <t>NADH dehydrogenase (ubiquinone) 1 alpha subcomplex 10</t>
  </si>
  <si>
    <t>ENSMUSG00000017724</t>
  </si>
  <si>
    <t>ets variant 4</t>
  </si>
  <si>
    <t>ENSMUSG00000007880</t>
  </si>
  <si>
    <t>AT rich interactive domain 1A (SWI-like)</t>
  </si>
  <si>
    <t>ENSMUSG00000031762</t>
  </si>
  <si>
    <t>metallothionein 2</t>
  </si>
  <si>
    <t>ENSMUSG00000026942</t>
  </si>
  <si>
    <t>TNF receptor-associated factor 2</t>
  </si>
  <si>
    <t>ENSMUSG00000020680</t>
  </si>
  <si>
    <t>TATA-box binding protein associated factor 15</t>
  </si>
  <si>
    <t>ENSMUSG00000032855</t>
  </si>
  <si>
    <t>polycystic kidney disease 1 homolog</t>
  </si>
  <si>
    <t>ENSMUSG00000035493</t>
  </si>
  <si>
    <t>transforming growth factor, beta induced</t>
  </si>
  <si>
    <t>ENSMUSG00000021939</t>
  </si>
  <si>
    <t>cathepsin B</t>
  </si>
  <si>
    <t>ENSMUSG00000036523</t>
  </si>
  <si>
    <t>gene regulated by estrogen in breast cancer protein</t>
  </si>
  <si>
    <t>ENSMUSG00000001517</t>
  </si>
  <si>
    <t>forkhead box M1</t>
  </si>
  <si>
    <t>ENSMUSG00000003814</t>
  </si>
  <si>
    <t>calreticulin</t>
  </si>
  <si>
    <t>ENSMUSG00000025875</t>
  </si>
  <si>
    <t>tetraspanin 17</t>
  </si>
  <si>
    <t>ENSMUSG00000064373</t>
  </si>
  <si>
    <t>selenoprotein P, plasma, 1</t>
  </si>
  <si>
    <t>ENSMUSG00000021629</t>
  </si>
  <si>
    <t>solute carrier family 30 (zinc transporter), member 5</t>
  </si>
  <si>
    <t>ENSMUSG00000002771</t>
  </si>
  <si>
    <t>glutamate receptor, ionotropic, NMDA2D (epsilon 4)</t>
  </si>
  <si>
    <t>ENSMUSG00000028149</t>
  </si>
  <si>
    <t>RAP1, GTP-GDP dissociation stimulator 1</t>
  </si>
  <si>
    <t>ENSMUSG00000052566</t>
  </si>
  <si>
    <t>hook microtubule tethering protein 2</t>
  </si>
  <si>
    <t>ENSMUSG00000027339</t>
  </si>
  <si>
    <t>Ras association (RalGDS/AF-6) domain family member 2</t>
  </si>
  <si>
    <t>ENSMUSG00000031578</t>
  </si>
  <si>
    <t>MAK16 homolog</t>
  </si>
  <si>
    <t>ENSMUSG00000048445</t>
  </si>
  <si>
    <t>coiled-coil domain containing 57</t>
  </si>
  <si>
    <t>ENSMUSG00000030539</t>
  </si>
  <si>
    <t>sema domain, immunoglobulin domain (Ig), transmembrane domain (TM) and short cytoplasmic domain, (semaphorin) 4B</t>
  </si>
  <si>
    <t>ENSMUSG00000046449</t>
  </si>
  <si>
    <t>expressed sequence C77370</t>
  </si>
  <si>
    <t>ENSMUSG00000006651</t>
  </si>
  <si>
    <t>amyloid beta (A4) precursor-like protein 1</t>
  </si>
  <si>
    <t>ENSMUSG00000054199</t>
  </si>
  <si>
    <t>gon-4-like (C.elegans)</t>
  </si>
  <si>
    <t>ENSMUSG00000055065</t>
  </si>
  <si>
    <t>DEAD (Asp-Glu-Ala-Asp) box polypeptide 17</t>
  </si>
  <si>
    <t>ENSMUSG00000028278</t>
  </si>
  <si>
    <t>Ras-related GTP binding D</t>
  </si>
  <si>
    <t>ENSMUSG00000034730</t>
  </si>
  <si>
    <t>adhesion G protein-coupled receptor B1</t>
  </si>
  <si>
    <t>ENSMUSG00000030342</t>
  </si>
  <si>
    <t>CD9 antigen</t>
  </si>
  <si>
    <t>ENSMUSG00000047996</t>
  </si>
  <si>
    <t>proline rich Gla (G-carboxyglutamic acid) 1</t>
  </si>
  <si>
    <t>ENSMUSG00000039521</t>
  </si>
  <si>
    <t>forkhead box P3</t>
  </si>
  <si>
    <t>ENSMUSG00000043243</t>
  </si>
  <si>
    <t>family with sequence similarity 129, member C</t>
  </si>
  <si>
    <t>ENSMUSG00000038037</t>
  </si>
  <si>
    <t>suppressor of cytokine signaling 1</t>
  </si>
  <si>
    <t>ENSMUSG00000008035</t>
  </si>
  <si>
    <t>Mid1 interacting protein 1 (gastrulation specific G12-like (zebrafish))</t>
  </si>
  <si>
    <t>ENSMUSG00000028553</t>
  </si>
  <si>
    <t>angiopoietin-like 3</t>
  </si>
  <si>
    <t>ENSMUSG00000001334</t>
  </si>
  <si>
    <t>fibronectin type III domain containing 5</t>
  </si>
  <si>
    <t>ENSMUSG00000086537</t>
  </si>
  <si>
    <t>neuroendocrine secretory protein antisense</t>
  </si>
  <si>
    <t>ENSMUSG00000021981</t>
  </si>
  <si>
    <t>calcium binding protein 39-like</t>
  </si>
  <si>
    <t>ENSMUSG00000027312</t>
  </si>
  <si>
    <t>attractin</t>
  </si>
  <si>
    <t>ENSMUSG00000031438</t>
  </si>
  <si>
    <t>ring finger protein 128</t>
  </si>
  <si>
    <t>ENSMUSG00000021903</t>
  </si>
  <si>
    <t>UDP-N-acetyl-alpha-D-galactosamine:polypeptide N-acetylgalactosaminyltransferase 15</t>
  </si>
  <si>
    <t>ENSMUSG00000030268</t>
  </si>
  <si>
    <t>branched chain aminotransferase 1, cytosolic</t>
  </si>
  <si>
    <t>ENSMUSG00000062488</t>
  </si>
  <si>
    <t>interferon-induced protein with tetratricopeptide repeats 3B</t>
  </si>
  <si>
    <t>ENSMUSG00000039706</t>
  </si>
  <si>
    <t>LIM domain binding 2</t>
  </si>
  <si>
    <t>ENSMUSG00000039853</t>
  </si>
  <si>
    <t>tripartite motif-containing 14</t>
  </si>
  <si>
    <t>ENSMUSG00000040373</t>
  </si>
  <si>
    <t>calcium channel, voltage-dependent, gamma subunit 5</t>
  </si>
  <si>
    <t>ENSMUSG00000022020</t>
  </si>
  <si>
    <t>N(alpha)-acetyltransferase 16, NatA auxiliary subunit</t>
  </si>
  <si>
    <t>ENSMUSG00000026930</t>
  </si>
  <si>
    <t>G-protein signalling modulator 1 (AGS3-like, C. elegans)</t>
  </si>
  <si>
    <t>ENSMUSG00000053012</t>
  </si>
  <si>
    <t>lysine-rich coiled-coil 1</t>
  </si>
  <si>
    <t>ENSMUSG00000039105</t>
  </si>
  <si>
    <t>ATPase, H+ transporting, lysosomal V1 subunit G1</t>
  </si>
  <si>
    <t>ENSMUSG00000018363</t>
  </si>
  <si>
    <t>SMAD specific E3 ubiquitin protein ligase 2</t>
  </si>
  <si>
    <t>ENSMUSG00000031197</t>
  </si>
  <si>
    <t>von Hippel-Lindau binding protein 1</t>
  </si>
  <si>
    <t>ENSMUSG00000021610</t>
  </si>
  <si>
    <t>CLPTM1-like</t>
  </si>
  <si>
    <t>ENSMUSG00000078671</t>
  </si>
  <si>
    <t>chromodomain helicase DNA binding protein 2</t>
  </si>
  <si>
    <t>ENSMUSG00000022346</t>
  </si>
  <si>
    <t>myelocytomatosis oncogene</t>
  </si>
  <si>
    <t>ENSMUSG00000060860</t>
  </si>
  <si>
    <t>ubiquitin-conjugating enzyme E2S</t>
  </si>
  <si>
    <t>ENSMUSG00000036555</t>
  </si>
  <si>
    <t>IQ motif containing E</t>
  </si>
  <si>
    <t>ENSMUSG00000039252</t>
  </si>
  <si>
    <t>leucine-rich repeat LGI family, member 2</t>
  </si>
  <si>
    <t>ENSMUSG00000054874</t>
  </si>
  <si>
    <t>pecanex homolog 3</t>
  </si>
  <si>
    <t>ENSMUSG00000005089</t>
  </si>
  <si>
    <t>solute carrier family 1 (glial high affinity glutamate transporter), member 2</t>
  </si>
  <si>
    <t>ENSMUSG00000043300</t>
  </si>
  <si>
    <t>UDP-GalNAc:betaGlcNAc beta 1,3-galactosaminyltransferase, polypeptide 1</t>
  </si>
  <si>
    <t>ENSMUSG00000028268</t>
  </si>
  <si>
    <t>guanylate binding protein 3</t>
  </si>
  <si>
    <t>ENSMUSG00000042757</t>
  </si>
  <si>
    <t>transmembrane protein 108</t>
  </si>
  <si>
    <t>ENSMUSG00000023764</t>
  </si>
  <si>
    <t>Sfi1 homolog, spindle assembly associated (yeast)</t>
  </si>
  <si>
    <t>ENSMUSG00000019232</t>
  </si>
  <si>
    <t>ethanolamine phosphate phospholyase</t>
  </si>
  <si>
    <t>ENSMUSG00000066440</t>
  </si>
  <si>
    <t>zinc finger, FYVE domain containing 26</t>
  </si>
  <si>
    <t>ENSMUSG00000019796</t>
  </si>
  <si>
    <t>low density lipoprotein receptor-related protein 11</t>
  </si>
  <si>
    <t>ENSMUSG00000024966</t>
  </si>
  <si>
    <t>stress-induced phosphoprotein 1</t>
  </si>
  <si>
    <t>ENSMUSG00000020687</t>
  </si>
  <si>
    <t>cell division cycle 27</t>
  </si>
  <si>
    <t>ENSMUSG00000022201</t>
  </si>
  <si>
    <t>zinc finger RNA binding protein</t>
  </si>
  <si>
    <t>ENSMUSG00000023991</t>
  </si>
  <si>
    <t>forkhead box P4</t>
  </si>
  <si>
    <t>ENSMUSG00000078773</t>
  </si>
  <si>
    <t>RAD54 homolog B (S. cerevisiae)</t>
  </si>
  <si>
    <t>ENSMUSG00000029231</t>
  </si>
  <si>
    <t>platelet derived growth factor receptor, alpha polypeptide</t>
  </si>
  <si>
    <t>ENSMUSG00000014601</t>
  </si>
  <si>
    <t>striatin interacting protein 1</t>
  </si>
  <si>
    <t>ENSMUSG00000047547</t>
  </si>
  <si>
    <t>clathrin, light polypeptide (Lcb)</t>
  </si>
  <si>
    <t>ENSMUSG00000009733</t>
  </si>
  <si>
    <t>transcription factor CP2</t>
  </si>
  <si>
    <t>ENSMUSG00000078144</t>
  </si>
  <si>
    <t>calpain, small subunit 2</t>
  </si>
  <si>
    <t>ENSMUSG00000033965</t>
  </si>
  <si>
    <t>solute carrier family 16 (monocarboxylic acid transporters), member 2</t>
  </si>
  <si>
    <t>ENSMUSG00000032393</t>
  </si>
  <si>
    <t>dipeptidylpeptidase 8</t>
  </si>
  <si>
    <t>ENSMUSG00000019986</t>
  </si>
  <si>
    <t>Abelson helper integration site 1</t>
  </si>
  <si>
    <t>ENSMUSG00000053870</t>
  </si>
  <si>
    <t>fucose-1-phosphate guanylyltransferase</t>
  </si>
  <si>
    <t>ENSMUSG00000006699</t>
  </si>
  <si>
    <t>cell division cycle 42</t>
  </si>
  <si>
    <t>ENSMUSG00000005575</t>
  </si>
  <si>
    <t>ubiquitin-conjugating enzyme E2M</t>
  </si>
  <si>
    <t>ENSMUSG00000032370</t>
  </si>
  <si>
    <t>lactamase, beta</t>
  </si>
  <si>
    <t>ENSMUSG00000022816</t>
  </si>
  <si>
    <t>follistatin-like 1</t>
  </si>
  <si>
    <t>ENSMUSG00000037400</t>
  </si>
  <si>
    <t>ATPase, class VI, type 11B</t>
  </si>
  <si>
    <t>ENSMUSG00000024935</t>
  </si>
  <si>
    <t>solute carrier family 1 (neuronal/epithelial high affinity glutamate transporter, system Xag), member 1</t>
  </si>
  <si>
    <t>ENSMUSG00000031788</t>
  </si>
  <si>
    <t>kinesin family member C3</t>
  </si>
  <si>
    <t>ENSMUSG00000078486</t>
  </si>
  <si>
    <t>PPARGC1 and ESRR induced regulator, muscle 1</t>
  </si>
  <si>
    <t>ENSMUSG00000022680</t>
  </si>
  <si>
    <t>pyridoxal-dependent decarboxylase domain containing 1</t>
  </si>
  <si>
    <t>ENSMUSG00000063015</t>
  </si>
  <si>
    <t>cyclin I</t>
  </si>
  <si>
    <t>ENSMUSG00000026610</t>
  </si>
  <si>
    <t>estrogen-related receptor gamma</t>
  </si>
  <si>
    <t>ENSMUSG00000036667</t>
  </si>
  <si>
    <t>TRPM8 channel-associated factor 1</t>
  </si>
  <si>
    <t>ENSMUSG00000084786</t>
  </si>
  <si>
    <t>ubiquitin-like 5</t>
  </si>
  <si>
    <t>ENSMUSG00000034327</t>
  </si>
  <si>
    <t>potassium channel tetramerisation domain containing 9</t>
  </si>
  <si>
    <t>ENSMUSG00000021556</t>
  </si>
  <si>
    <t>golgi membrane protein 1</t>
  </si>
  <si>
    <t>ENSMUSG00000038644</t>
  </si>
  <si>
    <t>polymerase (DNA directed), delta 1, catalytic subunit</t>
  </si>
  <si>
    <t>ENSMUSG00000079429</t>
  </si>
  <si>
    <t>maestro heat-like repeat family member 2A</t>
  </si>
  <si>
    <t>ENSMUSG00000041773</t>
  </si>
  <si>
    <t>ectodermal-neural cortex 1</t>
  </si>
  <si>
    <t>ENSMUSG00000019777</t>
  </si>
  <si>
    <t>histone deacetylase 2</t>
  </si>
  <si>
    <t>ENSMUSG00000033439</t>
  </si>
  <si>
    <t>tRNA methyltransferase 13</t>
  </si>
  <si>
    <t>ENSMUSG00000033628</t>
  </si>
  <si>
    <t>phosphoinositide-3-kinase, class 3</t>
  </si>
  <si>
    <t>ENSMUSG00000033128</t>
  </si>
  <si>
    <t>golgi associated, gamma adaptin ear containing, ARF binding protein 1</t>
  </si>
  <si>
    <t>ENSMUSG00000030327</t>
  </si>
  <si>
    <t>NECAP endocytosis associated 1</t>
  </si>
  <si>
    <t>ENSMUSG00000021076</t>
  </si>
  <si>
    <t>ARP10 actin-related protein 10</t>
  </si>
  <si>
    <t>ENSMUSG00000019845</t>
  </si>
  <si>
    <t>epsilon-tubulin 1</t>
  </si>
  <si>
    <t>ENSMUSG00000028646</t>
  </si>
  <si>
    <t>Ras-related GTP binding C</t>
  </si>
  <si>
    <t>ENSMUSG00000038244</t>
  </si>
  <si>
    <t>microtubule associated monooxygenase, calponin and LIM domain containing 2</t>
  </si>
  <si>
    <t>ENSMUSG00000025439</t>
  </si>
  <si>
    <t>chloride channel, nucleotide-sensitive, 1A</t>
  </si>
  <si>
    <t>ENSMUSG00000029462</t>
  </si>
  <si>
    <t>VPS29 retromer complex component</t>
  </si>
  <si>
    <t>ENSMUSG00000002504</t>
  </si>
  <si>
    <t>solute carrier family 9 (sodium/hydrogen exchanger), member 3 regulator 2</t>
  </si>
  <si>
    <t>ENSMUSG00000031343</t>
  </si>
  <si>
    <t>gamma-aminobutyric acid (GABA) A receptor, subunit alpha 3</t>
  </si>
  <si>
    <t>ENSMUSG00000062312</t>
  </si>
  <si>
    <t>erb-b2 receptor tyrosine kinase 2</t>
  </si>
  <si>
    <t>ENSMUSG00000037628</t>
  </si>
  <si>
    <t>cyclin-dependent kinase inhibitor 3</t>
  </si>
  <si>
    <t>ENSMUSG00000049823</t>
  </si>
  <si>
    <t>zinc finger and BTB domain containing 12</t>
  </si>
  <si>
    <t>ENSMUSG00000052712</t>
  </si>
  <si>
    <t>cDNA sequence BC004004</t>
  </si>
  <si>
    <t>ENSMUSG00000055333</t>
  </si>
  <si>
    <t>FAT atypical cadherin 2</t>
  </si>
  <si>
    <t>ENSMUSG00000026594</t>
  </si>
  <si>
    <t>Ral GEF with PH domain and SH3 binding motif 2</t>
  </si>
  <si>
    <t>ENSMUSG00000032812</t>
  </si>
  <si>
    <t>ArfGAP with RhoGAP domain, ankyrin repeat and PH domain 1</t>
  </si>
  <si>
    <t>ENSMUSG00000068394</t>
  </si>
  <si>
    <t>centrosomal protein 152</t>
  </si>
  <si>
    <t>ENSMUSG00000053646</t>
  </si>
  <si>
    <t>plexin B1</t>
  </si>
  <si>
    <t>ENSMUSG00000037997</t>
  </si>
  <si>
    <t>poly (ADP-ribose) polymerase family, member 11</t>
  </si>
  <si>
    <t>ENSMUSG00000020941</t>
  </si>
  <si>
    <t>mitogen-activated protein kinase kinase kinase 14</t>
  </si>
  <si>
    <t>ENSMUSG00000025907</t>
  </si>
  <si>
    <t>RB1-inducible coiled-coil 1</t>
  </si>
  <si>
    <t>ENSMUSG00000018481</t>
  </si>
  <si>
    <t>amyloid beta precursor protein (cytoplasmic tail) binding protein 2</t>
  </si>
  <si>
    <t>ENSMUSG00000053007</t>
  </si>
  <si>
    <t>cAMP responsive element binding protein 5</t>
  </si>
  <si>
    <t>ENSMUSG00000053965</t>
  </si>
  <si>
    <t>phosphodiesterase 5A, cGMP-specific</t>
  </si>
  <si>
    <t>ENSMUSG00000061689</t>
  </si>
  <si>
    <t>discs, large homolog-associated protein 4 (Drosophila)</t>
  </si>
  <si>
    <t>ENSMUSG00000035597</t>
  </si>
  <si>
    <t>pre-mRNA processing factor 39</t>
  </si>
  <si>
    <t>ENSMUSG00000038604</t>
  </si>
  <si>
    <t>family with sequence similarity 65, member A</t>
  </si>
  <si>
    <t>ENSMUSG00000020189</t>
  </si>
  <si>
    <t>oxysterol binding protein-like 8</t>
  </si>
  <si>
    <t>ENSMUSG00000000552</t>
  </si>
  <si>
    <t>zinc finger protein 385A</t>
  </si>
  <si>
    <t>ENSMUSG00000031221</t>
  </si>
  <si>
    <t>immunoglobulin (CD79A) binding protein 1</t>
  </si>
  <si>
    <t>ENSMUSG00000052889</t>
  </si>
  <si>
    <t>protein kinase C, beta</t>
  </si>
  <si>
    <t>ENSMUSG00000075576</t>
  </si>
  <si>
    <t>predicted gene 12359</t>
  </si>
  <si>
    <t>ENSMUSG00000022956</t>
  </si>
  <si>
    <t>ATP synthase, H+ transporting, mitochondrial F1 complex, O subunit</t>
  </si>
  <si>
    <t>ENSMUSG00000024308</t>
  </si>
  <si>
    <t>TAP binding protein</t>
  </si>
  <si>
    <t>ENSMUSG00000027525</t>
  </si>
  <si>
    <t>phosphatase and actin regulator 3</t>
  </si>
  <si>
    <t>ENSMUSG00000053253</t>
  </si>
  <si>
    <t>Nedd4 family interacting protein 2</t>
  </si>
  <si>
    <t>ENSMUSG00000028906</t>
  </si>
  <si>
    <t>erythrocyte membrane protein band 4.1</t>
  </si>
  <si>
    <t>ENSMUSG00000032842</t>
  </si>
  <si>
    <t>ATP-binding cassette, sub-family C (CFTR/MRP), member 10</t>
  </si>
  <si>
    <t>ENSMUSG00000039959</t>
  </si>
  <si>
    <t>huntingtin interacting protein 1</t>
  </si>
  <si>
    <t>ENSMUSG00000046721</t>
  </si>
  <si>
    <t>ribosomal protein L14, pseudogene 1</t>
  </si>
  <si>
    <t>ENSMUSG00000022789</t>
  </si>
  <si>
    <t>dynamin 1-like</t>
  </si>
  <si>
    <t>ENSMUSG00000070880</t>
  </si>
  <si>
    <t>glutamate decarboxylase 1</t>
  </si>
  <si>
    <t>ENSMUSG00000031561</t>
  </si>
  <si>
    <t>teneurin transmembrane protein 3</t>
  </si>
  <si>
    <t>ENSMUSG00000037149</t>
  </si>
  <si>
    <t>DEAD (Asp-Glu-Ala-Asp) box polypeptide 1</t>
  </si>
  <si>
    <t>ENSMUSG00000005371</t>
  </si>
  <si>
    <t>F-box protein 11</t>
  </si>
  <si>
    <t>ENSMUSG00000015120</t>
  </si>
  <si>
    <t>ubiquitin-conjugating enzyme E2I</t>
  </si>
  <si>
    <t>ENSMUSG00000007207</t>
  </si>
  <si>
    <t>syntaxin 1A (brain)</t>
  </si>
  <si>
    <t>ENSMUSG00000023079</t>
  </si>
  <si>
    <t>general transcription factor II I repeat domain-containing 1</t>
  </si>
  <si>
    <t>ENSMUSG00000038332</t>
  </si>
  <si>
    <t>sestrin 1</t>
  </si>
  <si>
    <t>ENSMUSG00000026424</t>
  </si>
  <si>
    <t>G protein-coupled receptor 37-like 1</t>
  </si>
  <si>
    <t>ENSMUSG00000019810</t>
  </si>
  <si>
    <t>fucosidase, alpha-L- 2, plasma</t>
  </si>
  <si>
    <t>ENSMUSG00000043019</t>
  </si>
  <si>
    <t>ER degradation enhancer, mannosidase alpha-like 3</t>
  </si>
  <si>
    <t>ENSMUSG00000024251</t>
  </si>
  <si>
    <t>thyroid adenoma associated</t>
  </si>
  <si>
    <t>ENSMUSG00000029617</t>
  </si>
  <si>
    <t>CCZ1 vacuolar protein trafficking and biogenesis associated</t>
  </si>
  <si>
    <t>ENSMUSG00000034413</t>
  </si>
  <si>
    <t>neuralized E3 ubiquitin protein ligase 1B</t>
  </si>
  <si>
    <t>ENSMUSG00000050840</t>
  </si>
  <si>
    <t>cadherin 20</t>
  </si>
  <si>
    <t>ENSMUSG00000074886</t>
  </si>
  <si>
    <t>G protein-coupled receptor kinase 6</t>
  </si>
  <si>
    <t>ENSMUSG00000002279</t>
  </si>
  <si>
    <t>lipase maturation factor 1</t>
  </si>
  <si>
    <t>ENSMUSG00000036790</t>
  </si>
  <si>
    <t>SLIT and NTRK-like family, member 2</t>
  </si>
  <si>
    <t>ENSMUSG00000038497</t>
  </si>
  <si>
    <t>transmembrane and coiled-coil domains 3</t>
  </si>
  <si>
    <t>ENSMUSG00000034656</t>
  </si>
  <si>
    <t>calcium channel, voltage-dependent, P/Q type, alpha 1A subunit</t>
  </si>
  <si>
    <t>ENSMUSG00000097393</t>
  </si>
  <si>
    <t>RIKEN cDNA D030068K23 gene</t>
  </si>
  <si>
    <t>ENSMUSG00000045282</t>
  </si>
  <si>
    <t>transmembrane protein 86B</t>
  </si>
  <si>
    <t>ENSMUSG00000030064</t>
  </si>
  <si>
    <t>FERM domain containing 4B</t>
  </si>
  <si>
    <t>ENSMUSG00000024474</t>
  </si>
  <si>
    <t>IK cytokine</t>
  </si>
  <si>
    <t>ENSMUSG00000067818</t>
  </si>
  <si>
    <t>myosin, light polypeptide 9, regulatory</t>
  </si>
  <si>
    <t>ENSMUSG00000021114</t>
  </si>
  <si>
    <t>ATPase, H+ transporting, lysosomal V1 subunit D</t>
  </si>
  <si>
    <t>ENSMUSG00000006288</t>
  </si>
  <si>
    <t>tetratricopeptide repeat domain 5</t>
  </si>
  <si>
    <t>ENSMUSG00000026626</t>
  </si>
  <si>
    <t>protein phosphatase 2, regulatory subunit B', alpha</t>
  </si>
  <si>
    <t>ENSMUSG00000046613</t>
  </si>
  <si>
    <t>von Willebrand factor A domain containing 5B2</t>
  </si>
  <si>
    <t>ENSMUSG00000020163</t>
  </si>
  <si>
    <t>ubiquinol-cytochrome c reductase, complex III subunit XI</t>
  </si>
  <si>
    <t>ENSMUSG00000021866</t>
  </si>
  <si>
    <t>annexin A11</t>
  </si>
  <si>
    <t>ENSMUSG00000041120</t>
  </si>
  <si>
    <t>neuroblastoma, suppression of tumorigenicity 1</t>
  </si>
  <si>
    <t>ENSMUSG00000038215</t>
  </si>
  <si>
    <t>centrosomal protein 44</t>
  </si>
  <si>
    <t>ENSMUSG00000031256</t>
  </si>
  <si>
    <t>cleavage stimulation factor, 3' pre-RNA subunit 2</t>
  </si>
  <si>
    <t>ENSMUSG00000020282</t>
  </si>
  <si>
    <t>rhomboid 5 homolog 1</t>
  </si>
  <si>
    <t>ENSMUSG00000045838</t>
  </si>
  <si>
    <t>RIKEN cDNA A430105I19 gene</t>
  </si>
  <si>
    <t>ENSMUSG00000059409</t>
  </si>
  <si>
    <t>protein phosphatase 2, regulatory subunit B', delta</t>
  </si>
  <si>
    <t>ENSMUSG00000020271</t>
  </si>
  <si>
    <t>F-box and WD-40 domain protein 11</t>
  </si>
  <si>
    <t>ENSMUSG00000040669</t>
  </si>
  <si>
    <t>polyhomeotic-like 1 (Drosophila)</t>
  </si>
  <si>
    <t>ENSMUSG00000028597</t>
  </si>
  <si>
    <t>glutathione peroxidase 7</t>
  </si>
  <si>
    <t>ENSMUSG00000001773</t>
  </si>
  <si>
    <t>folate hydrolase 1</t>
  </si>
  <si>
    <t>ENSMUSG00000008153</t>
  </si>
  <si>
    <t>calsyntenin 3</t>
  </si>
  <si>
    <t>ENSMUSG00000023571</t>
  </si>
  <si>
    <t>family with sequence similarity 132, member A</t>
  </si>
  <si>
    <t>ENSMUSG00000023963</t>
  </si>
  <si>
    <t>cytochrome P450, family 39, subfamily a, polypeptide 1</t>
  </si>
  <si>
    <t>ENSMUSG00000009356</t>
  </si>
  <si>
    <t>lactoperoxidase</t>
  </si>
  <si>
    <t>ENSMUSG00000041741</t>
  </si>
  <si>
    <t>phosphodiesterase 3A, cGMP inhibited</t>
  </si>
  <si>
    <t>ENSMUSG00000024350</t>
  </si>
  <si>
    <t>DnaJ heat shock protein family (Hsp40) member C18</t>
  </si>
  <si>
    <t>ENSMUSG00000028798</t>
  </si>
  <si>
    <t>eukaryotic translation initiation factor 3, subunit I</t>
  </si>
  <si>
    <t>ENSMUSG00000015766</t>
  </si>
  <si>
    <t>epidermal growth factor receptor pathway substrate 8</t>
  </si>
  <si>
    <t>ENSMUSG00000021413</t>
  </si>
  <si>
    <t>pre-mRNA processing factor 4B</t>
  </si>
  <si>
    <t>ENSMUSG00000044477</t>
  </si>
  <si>
    <t>zinc finger, AN1-type domain 3</t>
  </si>
  <si>
    <t>ENSMUSG00000032998</t>
  </si>
  <si>
    <t>forkhead box J3</t>
  </si>
  <si>
    <t>ENSMUSG00000024683</t>
  </si>
  <si>
    <t>mitochondrial ribosomal protein L16</t>
  </si>
  <si>
    <t>ENSMUSG00000055897</t>
  </si>
  <si>
    <t>protein phosphatase 4, regulatory subunit 1-like, pseudogene</t>
  </si>
  <si>
    <t>ENSMUSG00000027775</t>
  </si>
  <si>
    <t>major facilitator superfamily domain containing 1</t>
  </si>
  <si>
    <t>ENSMUSG00000000531</t>
  </si>
  <si>
    <t>GRP1 (general receptor for phosphoinositides 1)-associated scaffold protein</t>
  </si>
  <si>
    <t>ENSMUSG00000010205</t>
  </si>
  <si>
    <t>ribonucleoprotein, PTB-binding 1</t>
  </si>
  <si>
    <t>ENSMUSG00000031802</t>
  </si>
  <si>
    <t>per-hexamer repeat gene 4</t>
  </si>
  <si>
    <t>ENSMUSG00000034206</t>
  </si>
  <si>
    <t>polymerase (DNA directed), theta</t>
  </si>
  <si>
    <t>ENSMUSG00000031453</t>
  </si>
  <si>
    <t>RAS p21 protein activator 3</t>
  </si>
  <si>
    <t>ENSMUSG00000026159</t>
  </si>
  <si>
    <t>ArfGAP with FG repeats 1</t>
  </si>
  <si>
    <t>ENSMUSG00000002944</t>
  </si>
  <si>
    <t>CD36 antigen</t>
  </si>
  <si>
    <t>ENSMUSG00000029570</t>
  </si>
  <si>
    <t>LFNG O-fucosylpeptide 3-beta-N-acetylglucosaminyltransferase</t>
  </si>
  <si>
    <t>ENSMUSG00000006386</t>
  </si>
  <si>
    <t>endothelial-specific receptor tyrosine kinase</t>
  </si>
  <si>
    <t>ENSMUSG00000054428</t>
  </si>
  <si>
    <t>ATPase inhibitory factor 1</t>
  </si>
  <si>
    <t>ENSMUSG00000034484</t>
  </si>
  <si>
    <t>sorting nexin 2</t>
  </si>
  <si>
    <t>ENSMUSG00000052852</t>
  </si>
  <si>
    <t>receptor accessory protein 1</t>
  </si>
  <si>
    <t>ENSMUSG00000044337</t>
  </si>
  <si>
    <t>atypical chemokine receptor 3</t>
  </si>
  <si>
    <t>ENSMUSG00000027770</t>
  </si>
  <si>
    <t>DEAH (Asp-Glu-Ala-His) box polypeptide 36</t>
  </si>
  <si>
    <t>ENSMUSG00000054309</t>
  </si>
  <si>
    <t>cleavage and polyadenylation specificity factor 3</t>
  </si>
  <si>
    <t>ENSMUSG00000031879</t>
  </si>
  <si>
    <t>family with sequence similarity 96, member B</t>
  </si>
  <si>
    <t>ENSMUSG00000034487</t>
  </si>
  <si>
    <t>KDEL (Lys-Asp-Glu-Leu) containing 2</t>
  </si>
  <si>
    <t>ENSMUSG00000027009</t>
  </si>
  <si>
    <t>integrin alpha 4</t>
  </si>
  <si>
    <t>ENSMUSG00000021613</t>
  </si>
  <si>
    <t>hyaluronan and proteoglycan link protein 1</t>
  </si>
  <si>
    <t>ENSMUSG00000026150</t>
  </si>
  <si>
    <t>mitochondrial fission factor</t>
  </si>
  <si>
    <t>ENSMUSG00000074748</t>
  </si>
  <si>
    <t>ataxin 7-like 3B</t>
  </si>
  <si>
    <t>ENSMUSG00000020946</t>
  </si>
  <si>
    <t>golgi SNAP receptor complex member 2</t>
  </si>
  <si>
    <t>ENSMUSG00000026837</t>
  </si>
  <si>
    <t>collagen, type V, alpha 1</t>
  </si>
  <si>
    <t>ENSMUSG00000028668</t>
  </si>
  <si>
    <t>transcription elongation factor B (SIII), polypeptide 3</t>
  </si>
  <si>
    <t>ENSMUSG00000027828</t>
  </si>
  <si>
    <t>signal sequence receptor, gamma</t>
  </si>
  <si>
    <t>ENSMUSG00000064451</t>
  </si>
  <si>
    <t>small nucleolar RNA, H/ACA box 23</t>
  </si>
  <si>
    <t>ENSMUSG00000040859</t>
  </si>
  <si>
    <t>BSD domain containing 1</t>
  </si>
  <si>
    <t>ENSMUSG00000044676</t>
  </si>
  <si>
    <t>zinc finger protein 612</t>
  </si>
  <si>
    <t>ENSMUSG00000035401</t>
  </si>
  <si>
    <t>EMSY, BRCA2-interacting transcriptional repressor</t>
  </si>
  <si>
    <t>ENSMUSG00000030739</t>
  </si>
  <si>
    <t>myosin, heavy polypeptide 14</t>
  </si>
  <si>
    <t>ENSMUSG00000031980</t>
  </si>
  <si>
    <t>angiotensinogen (serpin peptidase inhibitor, clade A, member 8)</t>
  </si>
  <si>
    <t>ENSMUSG00000005881</t>
  </si>
  <si>
    <t>ERGIC and golgi 3</t>
  </si>
  <si>
    <t>ENSMUSG00000037791</t>
  </si>
  <si>
    <t>PHD finger protein 12</t>
  </si>
  <si>
    <t>ENSMUSG00000002010</t>
  </si>
  <si>
    <t>isocitrate dehydrogenase 3 (NAD+), gamma</t>
  </si>
  <si>
    <t>ENSMUSG00000071659</t>
  </si>
  <si>
    <t>heterogeneous nuclear ribonucleoprotein U-like 2</t>
  </si>
  <si>
    <t>ENSMUSG00000063810</t>
  </si>
  <si>
    <t>Alstrom syndrome 1</t>
  </si>
  <si>
    <t>ENSMUSG00000020211</t>
  </si>
  <si>
    <t>splicing factor 3a, subunit 2</t>
  </si>
  <si>
    <t>ENSMUSG00000022321</t>
  </si>
  <si>
    <t>cadherin 10</t>
  </si>
  <si>
    <t>ENSMUSG00000021661</t>
  </si>
  <si>
    <t>ankyrin repeat, family A (RFXANK-like), 2</t>
  </si>
  <si>
    <t>ENSMUSG00000028986</t>
  </si>
  <si>
    <t>kelch-like 7</t>
  </si>
  <si>
    <t>ENSMUSG00000097333</t>
  </si>
  <si>
    <t>zinc finger protein 87</t>
  </si>
  <si>
    <t>ENSMUSG00000047459</t>
  </si>
  <si>
    <t>dynein light chain roadblock-type 1</t>
  </si>
  <si>
    <t>ENSMUSG00000060802</t>
  </si>
  <si>
    <t>beta-2 microglobulin</t>
  </si>
  <si>
    <t>ENSMUSG00000021178</t>
  </si>
  <si>
    <t>protease (prosome, macropain) 26S subunit, ATPase 1</t>
  </si>
  <si>
    <t>ENSMUSG00000003518</t>
  </si>
  <si>
    <t>dual specificity phosphatase 3 (vaccinia virus phosphatase VH1-related)</t>
  </si>
  <si>
    <t>ENSMUSG00000021771</t>
  </si>
  <si>
    <t>voltage-dependent anion channel 2</t>
  </si>
  <si>
    <t>ENSMUSG00000060090</t>
  </si>
  <si>
    <t>retinitis pigmentosa 2 homolog</t>
  </si>
  <si>
    <t>ENSMUSG00000039199</t>
  </si>
  <si>
    <t>zinc finger, DHHC domain containing 1</t>
  </si>
  <si>
    <t>ENSMUSG00000055254</t>
  </si>
  <si>
    <t>neurotrophic tyrosine kinase, receptor, type 2</t>
  </si>
  <si>
    <t>ENSMUSG00000063358</t>
  </si>
  <si>
    <t>mitogen-activated protein kinase 1</t>
  </si>
  <si>
    <t>ENSMUSG00000043999</t>
  </si>
  <si>
    <t>G protein-coupled receptor 75</t>
  </si>
  <si>
    <t>ENSMUSG00000029510</t>
  </si>
  <si>
    <t>glypican 2 (cerebroglycan)</t>
  </si>
  <si>
    <t>ENSMUSG00000031010</t>
  </si>
  <si>
    <t>ubiquitin specific peptidase 9, X chromosome</t>
  </si>
  <si>
    <t>ENSMUSG00000005078</t>
  </si>
  <si>
    <t>JNK1/MAPK8-associated membrane protein</t>
  </si>
  <si>
    <t>ENSMUSG00000034175</t>
  </si>
  <si>
    <t>rhomboid domain containing 3</t>
  </si>
  <si>
    <t>ENSMUSG00000033075</t>
  </si>
  <si>
    <t>SUMO1/sentrin specific peptidase 1</t>
  </si>
  <si>
    <t>ENSMUSG00000018761</t>
  </si>
  <si>
    <t>mannose-P-dolichol utilization defect 1</t>
  </si>
  <si>
    <t>ENSMUSG00000029427</t>
  </si>
  <si>
    <t>zinc finger, CCHC domain containing 8</t>
  </si>
  <si>
    <t>ENSMUSG00000001418</t>
  </si>
  <si>
    <t>glycosylated lysosomal membrane protein</t>
  </si>
  <si>
    <t>ENSMUSG00000026904</t>
  </si>
  <si>
    <t>solute carrier family 4, sodium bicarbonate cotransporter-like, member 10</t>
  </si>
  <si>
    <t>ENSMUSG00000040428</t>
  </si>
  <si>
    <t>pleckstrin homology domain containing, family A (phosphoinositide binding specific) member 4</t>
  </si>
  <si>
    <t>ENSMUSG00000000753</t>
  </si>
  <si>
    <t>serine (or cysteine) peptidase inhibitor, clade F, member 1</t>
  </si>
  <si>
    <t>ENSMUSG00000047810</t>
  </si>
  <si>
    <t>coiled-coil domain containing 88B</t>
  </si>
  <si>
    <t>ENSMUSG00000019820</t>
  </si>
  <si>
    <t>utrophin</t>
  </si>
  <si>
    <t>ENSMUSG00000047215</t>
  </si>
  <si>
    <t>ribosomal protein L9</t>
  </si>
  <si>
    <t>ENSMUSG00000020218</t>
  </si>
  <si>
    <t>Wnt inhibitory factor 1</t>
  </si>
  <si>
    <t>ENSMUSG00000002845</t>
  </si>
  <si>
    <t>transmembrane protein 39a</t>
  </si>
  <si>
    <t>ENSMUSG00000021815</t>
  </si>
  <si>
    <t>MSS51 mitochondrial translational activator</t>
  </si>
  <si>
    <t>ENSMUSG00000086199</t>
  </si>
  <si>
    <t>breast carcinoma amplified sequence 3, opposite strand 1</t>
  </si>
  <si>
    <t>ENSMUSG00000030982</t>
  </si>
  <si>
    <t>RIKEN cDNA 9030624J02 gene</t>
  </si>
  <si>
    <t>ENSMUSG00000022555</t>
  </si>
  <si>
    <t>diacylglycerol O-acyltransferase 1</t>
  </si>
  <si>
    <t>ENSMUSG00000020122</t>
  </si>
  <si>
    <t>epidermal growth factor receptor</t>
  </si>
  <si>
    <t>ENSMUSG00000034949</t>
  </si>
  <si>
    <t>zinc finger RNA binding protein 2</t>
  </si>
  <si>
    <t>ENSMUSG00000036323</t>
  </si>
  <si>
    <t>signal recognition particle 72</t>
  </si>
  <si>
    <t>ENSMUSG00000024044</t>
  </si>
  <si>
    <t>erythrocyte membrane protein band 4.1 like 3</t>
  </si>
  <si>
    <t>ENSMUSG00000036469</t>
  </si>
  <si>
    <t>membrane-associated ring finger (C3HC4) 1</t>
  </si>
  <si>
    <t>ENSMUSG00000021411</t>
  </si>
  <si>
    <t>PX domain containing 1</t>
  </si>
  <si>
    <t>ENSMUSG00000014498</t>
  </si>
  <si>
    <t>ankyrin repeat domain 52</t>
  </si>
  <si>
    <t>ENSMUSG00000020770</t>
  </si>
  <si>
    <t>unkempt family zinc finger</t>
  </si>
  <si>
    <t>ENSMUSG00000033998</t>
  </si>
  <si>
    <t>potassium channel, subfamily K, member 1</t>
  </si>
  <si>
    <t>ENSMUSG00000056508</t>
  </si>
  <si>
    <t>RIKEN cDNA 1700001K19 gene</t>
  </si>
  <si>
    <t>ENSMUSG00000042507</t>
  </si>
  <si>
    <t>ELM2 and Myb/SANT-like domain containing 1</t>
  </si>
  <si>
    <t>ENSMUSG00000073678</t>
  </si>
  <si>
    <t>post-GPI attachment to proteins 1</t>
  </si>
  <si>
    <t>ENSMUSG00000052133</t>
  </si>
  <si>
    <t>sema domain, seven thrombospondin repeats (type 1 and type 1-like), transmembrane domain (TM) and short cytoplasmic domain, (semaphorin) 5B</t>
  </si>
  <si>
    <t>ENSMUSG00000027889</t>
  </si>
  <si>
    <t>adenosine monophosphate deaminase 2</t>
  </si>
  <si>
    <t>ENSMUSG00000036918</t>
  </si>
  <si>
    <t>tetratricopeptide repeat domain 7</t>
  </si>
  <si>
    <t>ENSMUSG00000034109</t>
  </si>
  <si>
    <t>golgi integral membrane protein 4</t>
  </si>
  <si>
    <t>ENSMUSG00000097180</t>
  </si>
  <si>
    <t>RIKEN cDNA 2700038G22 gene</t>
  </si>
  <si>
    <t>ENSMUSG00000002603</t>
  </si>
  <si>
    <t>transforming growth factor, beta 1</t>
  </si>
  <si>
    <t>ENSMUSG00000025925</t>
  </si>
  <si>
    <t>telomeric repeat binding factor 1</t>
  </si>
  <si>
    <t>ENSMUSG00000061577</t>
  </si>
  <si>
    <t>adhesion G protein-coupled receptor G5</t>
  </si>
  <si>
    <t>ENSMUSG00000090290</t>
  </si>
  <si>
    <t>TAR RNA binding protein 1</t>
  </si>
  <si>
    <t>ENSMUSG00000001158</t>
  </si>
  <si>
    <t>small nuclear ribonucleoprotein 27 (U4/U6.U5)</t>
  </si>
  <si>
    <t>ENSMUSG00000000568</t>
  </si>
  <si>
    <t>heterogeneous nuclear ribonucleoprotein D</t>
  </si>
  <si>
    <t>ENSMUSG00000034796</t>
  </si>
  <si>
    <t>copine VII</t>
  </si>
  <si>
    <t>ENSMUSG00000031949</t>
  </si>
  <si>
    <t>adenosine deaminase, tRNA-specific 1</t>
  </si>
  <si>
    <t>ENSMUSG00000099481</t>
  </si>
  <si>
    <t>Xrcc1 N-terminal domain containing 1</t>
  </si>
  <si>
    <t>ENSMUSG00000020432</t>
  </si>
  <si>
    <t>transcobalamin 2</t>
  </si>
  <si>
    <t>ENSMUSG00000015452</t>
  </si>
  <si>
    <t>advanced glycosylation end product-specific receptor</t>
  </si>
  <si>
    <t>ENSMUSG00000035901</t>
  </si>
  <si>
    <t>DENN/MADD domain containing 5A</t>
  </si>
  <si>
    <t>ENSMUSG00000049939</t>
  </si>
  <si>
    <t>leucine rich repeat containing 4</t>
  </si>
  <si>
    <t>ENSMUSG00000002812</t>
  </si>
  <si>
    <t>flightless I actin binding protein</t>
  </si>
  <si>
    <t>ENSMUSG00000042694</t>
  </si>
  <si>
    <t>oligonucleotide/oligosaccharide-binding fold containing 1</t>
  </si>
  <si>
    <t>ENSMUSG00000027429</t>
  </si>
  <si>
    <t>SEC23 homolog B, COPII coat complex component</t>
  </si>
  <si>
    <t>ENSMUSG00000041459</t>
  </si>
  <si>
    <t>TAR DNA binding protein</t>
  </si>
  <si>
    <t>ENSMUSG00000030120</t>
  </si>
  <si>
    <t>myeloid leukemia factor 2</t>
  </si>
  <si>
    <t>ENSMUSG00000000934</t>
  </si>
  <si>
    <t>DNA topoisomerase 1, mitochondrial</t>
  </si>
  <si>
    <t>ENSMUSG00000022175</t>
  </si>
  <si>
    <t>low-density lipoprotein receptor-related protein 10</t>
  </si>
  <si>
    <t>ENSMUSG00000017144</t>
  </si>
  <si>
    <t>Rho family GTPase 3</t>
  </si>
  <si>
    <t>ENSMUSG00000013973</t>
  </si>
  <si>
    <t>death effector domain-containing</t>
  </si>
  <si>
    <t>ENSMUSG00000051579</t>
  </si>
  <si>
    <t>transcription elongation factor A (SII)-like 8</t>
  </si>
  <si>
    <t>ENSMUSG00000004535</t>
  </si>
  <si>
    <t>Tax1 (human T cell leukemia virus type I) binding protein 1</t>
  </si>
  <si>
    <t>ENSMUSG00000006005</t>
  </si>
  <si>
    <t>translocated promoter region, nuclear basket protein</t>
  </si>
  <si>
    <t>ENSMUSG00000006456</t>
  </si>
  <si>
    <t>RNA binding motif protein 14</t>
  </si>
  <si>
    <t>ENSMUSG00000031497</t>
  </si>
  <si>
    <t>tumor necrosis factor (ligand) superfamily, member 13b</t>
  </si>
  <si>
    <t>ENSMUSG00000028763</t>
  </si>
  <si>
    <t>perlecan (heparan sulfate proteoglycan 2)</t>
  </si>
  <si>
    <t>ENSMUSG00000034275</t>
  </si>
  <si>
    <t>immunoglobulin superfamily, member 9B</t>
  </si>
  <si>
    <t>ENSMUSG00000032085</t>
  </si>
  <si>
    <t>transgelin</t>
  </si>
  <si>
    <t>ENSMUSG00000026739</t>
  </si>
  <si>
    <t>Bmi1 polycomb ring finger oncogene</t>
  </si>
  <si>
    <t>ENSMUSG00000005615</t>
  </si>
  <si>
    <t>phosphate cytidylyltransferase 1, choline, alpha isoform</t>
  </si>
  <si>
    <t>ENSMUSG00000023022</t>
  </si>
  <si>
    <t>LIM domain and actin binding 1</t>
  </si>
  <si>
    <t>ENSMUSG00000024378</t>
  </si>
  <si>
    <t>StAR-related lipid transfer (START) domain containing 4</t>
  </si>
  <si>
    <t>ENSMUSG00000053293</t>
  </si>
  <si>
    <t>nuclear pore membrane protein 121</t>
  </si>
  <si>
    <t>ENSMUSG00000027406</t>
  </si>
  <si>
    <t>isocitrate dehydrogenase 3 (NAD+) beta</t>
  </si>
  <si>
    <t>ENSMUSG00000005640</t>
  </si>
  <si>
    <t>insulin receptor-related receptor</t>
  </si>
  <si>
    <t>ENSMUSG00000030061</t>
  </si>
  <si>
    <t>ubiquitin-like modifier activating enzyme 3</t>
  </si>
  <si>
    <t>ENSMUSG00000049421</t>
  </si>
  <si>
    <t>zinc finger protein 260</t>
  </si>
  <si>
    <t>ENSMUSG00000055026</t>
  </si>
  <si>
    <t>gamma-aminobutyric acid (GABA) A receptor, subunit gamma 3</t>
  </si>
  <si>
    <t>ENSMUSG00000007777</t>
  </si>
  <si>
    <t>RIKEN cDNA 0610009B22 gene</t>
  </si>
  <si>
    <t>ENSMUSG00000039634</t>
  </si>
  <si>
    <t>zinc finger protein 189</t>
  </si>
  <si>
    <t>ENSMUSG00000050144</t>
  </si>
  <si>
    <t>solute carrier family 25, member 44</t>
  </si>
  <si>
    <t>ENSMUSG00000044092</t>
  </si>
  <si>
    <t>RIKEN cDNA C130050O18 gene</t>
  </si>
  <si>
    <t>ENSMUSG00000053119</t>
  </si>
  <si>
    <t>charged multivesicular body protein 3</t>
  </si>
  <si>
    <t>ENSMUSG00000020876</t>
  </si>
  <si>
    <t>sorting nexin 11</t>
  </si>
  <si>
    <t>ENSMUSG00000025138</t>
  </si>
  <si>
    <t>sirtuin 7</t>
  </si>
  <si>
    <t>ENSMUSG00000022095</t>
  </si>
  <si>
    <t>family with sequence similarity 160, member B2</t>
  </si>
  <si>
    <t>ENSMUSG00000001750</t>
  </si>
  <si>
    <t>T cell, immune regulator 1, ATPase, H+ transporting, lysosomal V0 protein A3</t>
  </si>
  <si>
    <t>ENSMUSG00000026627</t>
  </si>
  <si>
    <t>transmembrane protein 206</t>
  </si>
  <si>
    <t>ENSMUSG00000036473</t>
  </si>
  <si>
    <t>TBC1 domain family, member 24</t>
  </si>
  <si>
    <t>netrin 3</t>
  </si>
  <si>
    <t>ENSMUSG00000074802</t>
  </si>
  <si>
    <t>growth arrest-specific 2 like 3</t>
  </si>
  <si>
    <t>ENSMUSG00000062393</t>
  </si>
  <si>
    <t>diacylglycerol kinase kappa</t>
  </si>
  <si>
    <t>ENSMUSG00000026923</t>
  </si>
  <si>
    <t>notch 1</t>
  </si>
  <si>
    <t>ENSMUSG00000038900</t>
  </si>
  <si>
    <t>ribosomal protein L12</t>
  </si>
  <si>
    <t>ENSMUSG00000030733</t>
  </si>
  <si>
    <t>SH2B adaptor protein 1</t>
  </si>
  <si>
    <t>ENSMUSG00000026986</t>
  </si>
  <si>
    <t>histamine N-methyltransferase</t>
  </si>
  <si>
    <t>ENSMUSG00000035781</t>
  </si>
  <si>
    <t>R3H domain containing 4</t>
  </si>
  <si>
    <t>ENSMUSG00000044700</t>
  </si>
  <si>
    <t>transmembrane protein 201</t>
  </si>
  <si>
    <t>ENSMUSG00000028708</t>
  </si>
  <si>
    <t>MAP kinase-interacting serine/threonine kinase 1</t>
  </si>
  <si>
    <t>ENSMUSG00000026970</t>
  </si>
  <si>
    <t>RNA binding motif, single stranded interacting protein 1</t>
  </si>
  <si>
    <t>ENSMUSG00000079363</t>
  </si>
  <si>
    <t>guanylate binding protein 4</t>
  </si>
  <si>
    <t>ENSMUSG00000038587</t>
  </si>
  <si>
    <t>A kinase (PRKA) anchor protein (gravin) 12</t>
  </si>
  <si>
    <t>ENSMUSG00000026617</t>
  </si>
  <si>
    <t>bisphosphate 3'-nucleotidase 1</t>
  </si>
  <si>
    <t>ENSMUSG00000047098</t>
  </si>
  <si>
    <t>ring finger protein 31</t>
  </si>
  <si>
    <t>ENSMUSG00000040029</t>
  </si>
  <si>
    <t>importin 8</t>
  </si>
  <si>
    <t>ENSMUSG00000042632</t>
  </si>
  <si>
    <t>phospholipase A2, group VI</t>
  </si>
  <si>
    <t>ENSMUSG00000027808</t>
  </si>
  <si>
    <t>stress-associated endoplasmic reticulum protein 1</t>
  </si>
  <si>
    <t>ENSMUSG00000019785</t>
  </si>
  <si>
    <t>clavesin 2</t>
  </si>
  <si>
    <t>ENSMUSG00000038013</t>
  </si>
  <si>
    <t>WAS/WASL interacting protein family, member 2</t>
  </si>
  <si>
    <t>ENSMUSG00000038174</t>
  </si>
  <si>
    <t>family with sequence similarity 126, member B</t>
  </si>
  <si>
    <t>ENSMUSG00000033400</t>
  </si>
  <si>
    <t>amylo-1,6-glucosidase, 4-alpha-glucanotransferase</t>
  </si>
  <si>
    <t>ENSMUSG00000024726</t>
  </si>
  <si>
    <t>carnosine N-methyltransferase 1</t>
  </si>
  <si>
    <t>ENSMUSG00000022339</t>
  </si>
  <si>
    <t>estrogen receptor-binding fragment-associated gene 9</t>
  </si>
  <si>
    <t>ENSMUSG00000027677</t>
  </si>
  <si>
    <t>tetratricopeptide repeat domain 14</t>
  </si>
  <si>
    <t>ENSMUSG00000058290</t>
  </si>
  <si>
    <t>extra spindle pole bodies 1, separase</t>
  </si>
  <si>
    <t>ENSMUSG00000071647</t>
  </si>
  <si>
    <t>echinoderm microtubule associated protein like 3</t>
  </si>
  <si>
    <t>ENSMUSG00000022889</t>
  </si>
  <si>
    <t>mitochondrial ribosomal protein L39</t>
  </si>
  <si>
    <t>ENSMUSG00000020078</t>
  </si>
  <si>
    <t>VPS26 retromer complex component A</t>
  </si>
  <si>
    <t>ENSMUSG00000053175</t>
  </si>
  <si>
    <t>B cell leukemia/lymphoma 3</t>
  </si>
  <si>
    <t>ENSMUSG00000026596</t>
  </si>
  <si>
    <t>v-abl Abelson murine leukemia viral oncogene 2 (arg, Abelson-related gene)</t>
  </si>
  <si>
    <t>ENSMUSG00000040455</t>
  </si>
  <si>
    <t>ubiquitin specific petidase 45</t>
  </si>
  <si>
    <t>ENSMUSG00000086155</t>
  </si>
  <si>
    <t>RIKEN cDNA 9430041J12 gene</t>
  </si>
  <si>
    <t>ENSMUSG00000031337</t>
  </si>
  <si>
    <t>X-linked myotubular myopathy gene 1</t>
  </si>
  <si>
    <t>ENSMUSG00000002020</t>
  </si>
  <si>
    <t>latent transforming growth factor beta binding protein 2</t>
  </si>
  <si>
    <t>ENSMUSG00000030102</t>
  </si>
  <si>
    <t>inositol 1,4,5-trisphosphate receptor 1</t>
  </si>
  <si>
    <t>ENSMUSG00000002496</t>
  </si>
  <si>
    <t>tuberous sclerosis 2</t>
  </si>
  <si>
    <t>ENSMUSG00000045776</t>
  </si>
  <si>
    <t>leucine-rich repeats and transmembrane domains 1</t>
  </si>
  <si>
    <t>ENSMUSG00000024072</t>
  </si>
  <si>
    <t>Yip1 domain family, member 4</t>
  </si>
  <si>
    <t>ENSMUSG00000037221</t>
  </si>
  <si>
    <t>motile sperm domain containing 3</t>
  </si>
  <si>
    <t>ENSMUSG00000024533</t>
  </si>
  <si>
    <t>spire homolog 1 (Drosophila)</t>
  </si>
  <si>
    <t>ENSMUSG00000041313</t>
  </si>
  <si>
    <t>solute carrier family 7 (cationic amino acid transporter, y+ system), member 1</t>
  </si>
  <si>
    <t>ENSMUSG00000023960</t>
  </si>
  <si>
    <t>ectonucleotide pyrophosphatase/phosphodiesterase 5</t>
  </si>
  <si>
    <t>ENSMUSG00000027630</t>
  </si>
  <si>
    <t>transducin (beta)-like 1X-linked receptor 1</t>
  </si>
  <si>
    <t>ENSMUSG00000069743</t>
  </si>
  <si>
    <t>zinc finger protein 820</t>
  </si>
  <si>
    <t>ENSMUSG00000053110</t>
  </si>
  <si>
    <t>yes-associated protein 1</t>
  </si>
  <si>
    <t>ENSMUSG00000050310</t>
  </si>
  <si>
    <t>RPTOR independent companion of MTOR, complex 2</t>
  </si>
  <si>
    <t>ENSMUSG00000036718</t>
  </si>
  <si>
    <t>MICAL-like 2</t>
  </si>
  <si>
    <t>ENSMUSG00000070544</t>
  </si>
  <si>
    <t>topoisomerase (DNA) I</t>
  </si>
  <si>
    <t>ENSMUSG00000074896</t>
  </si>
  <si>
    <t>interferon-induced protein with tetratricopeptide repeats 3</t>
  </si>
  <si>
    <t>ENSMUSG00000005804</t>
  </si>
  <si>
    <t>biogenesis of lysosomal organelles complex-1, subunit 6, pallidin</t>
  </si>
  <si>
    <t>ENSMUSG00000063849</t>
  </si>
  <si>
    <t>phosphopantothenoylcysteine decarboxylase</t>
  </si>
  <si>
    <t>ENSMUSG00000055761</t>
  </si>
  <si>
    <t>Na+/K+ transporting ATPase interacting 3</t>
  </si>
  <si>
    <t>ENSMUSG00000103770</t>
  </si>
  <si>
    <t>protocadherin alpha 9</t>
  </si>
  <si>
    <t>ENSMUSG00000021819</t>
  </si>
  <si>
    <t>zinc finger SWIM-type containing 8</t>
  </si>
  <si>
    <t>ENSMUSG00000025465</t>
  </si>
  <si>
    <t>enoyl Coenzyme A hydratase, short chain, 1, mitochondrial</t>
  </si>
  <si>
    <t>ENSMUSG00000041570</t>
  </si>
  <si>
    <t>calmodulin regulated spectrin-associated protein family, member 2</t>
  </si>
  <si>
    <t>ENSMUSG00000032026</t>
  </si>
  <si>
    <t>RNA exonuclease 2</t>
  </si>
  <si>
    <t>ENSMUSG00000037971</t>
  </si>
  <si>
    <t>RIKEN cDNA 1110032A03 gene</t>
  </si>
  <si>
    <t>ENSMUSG00000025745</t>
  </si>
  <si>
    <t>hydroxyacyl-Coenzyme A dehydrogenase/3-ketoacyl-Coenzyme A thiolase/enoyl-Coenzyme A hydratase (trifunctional protein), alpha subunit</t>
  </si>
  <si>
    <t>ENSMUSG00000032735</t>
  </si>
  <si>
    <t>actin binding LIM protein family, member 3</t>
  </si>
  <si>
    <t>ENSMUSG00000022422</t>
  </si>
  <si>
    <t>DNA replication and sister chromatid cohesion 1</t>
  </si>
  <si>
    <t>ENSMUSG00000005465</t>
  </si>
  <si>
    <t>interleukin 27 receptor, alpha</t>
  </si>
  <si>
    <t>ENSMUSG00000020331</t>
  </si>
  <si>
    <t>hyperpolarization-activated, cyclic nucleotide-gated K+ 2</t>
  </si>
  <si>
    <t>ENSMUSG00000048058</t>
  </si>
  <si>
    <t>low density lipoprotein receptor class A domain containing 3</t>
  </si>
  <si>
    <t>ENSMUSG00000022376</t>
  </si>
  <si>
    <t>adenylate cyclase 8</t>
  </si>
  <si>
    <t>ENSMUSG00000010505</t>
  </si>
  <si>
    <t>myelin transcription factor 1</t>
  </si>
  <si>
    <t>ENSMUSG00000026437</t>
  </si>
  <si>
    <t>cyclin-dependent kinase 18</t>
  </si>
  <si>
    <t>ENSMUSG00000025240</t>
  </si>
  <si>
    <t>SAC1 suppressor of actin mutations 1-like (yeast)</t>
  </si>
  <si>
    <t>ENSMUSG00000057880</t>
  </si>
  <si>
    <t>4-aminobutyrate aminotransferase</t>
  </si>
  <si>
    <t>ENSMUSG00000029131</t>
  </si>
  <si>
    <t>DnaJ heat shock protein family (Hsp40) member B6</t>
  </si>
  <si>
    <t>ENSMUSG00000022679</t>
  </si>
  <si>
    <t>Mpv17 transgene, kidney disease mutant-like</t>
  </si>
  <si>
    <t>ENSMUSG00000024186</t>
  </si>
  <si>
    <t>regulator of G-protein signaling 11</t>
  </si>
  <si>
    <t>ENSMUSG00000019782</t>
  </si>
  <si>
    <t>RWD domain containing 1</t>
  </si>
  <si>
    <t>ENSMUSG00000034958</t>
  </si>
  <si>
    <t>ataxia, cerebellar, Cayman type</t>
  </si>
  <si>
    <t>ENSMUSG00000024782</t>
  </si>
  <si>
    <t>adenylate kinase 3</t>
  </si>
  <si>
    <t>ENSMUSG00000028927</t>
  </si>
  <si>
    <t>peptidyl arginine deiminase, type II</t>
  </si>
  <si>
    <t>ENSMUSG00000026274</t>
  </si>
  <si>
    <t>PAS domain containing serine/threonine kinase</t>
  </si>
  <si>
    <t>ENSMUSG00000001018</t>
  </si>
  <si>
    <t>SNAP-associated protein</t>
  </si>
  <si>
    <t>ENSMUSG00000034994</t>
  </si>
  <si>
    <t>eukaryotic translation elongation factor 2</t>
  </si>
  <si>
    <t>ENSMUSG00000005045</t>
  </si>
  <si>
    <t>chromodomain helicase DNA binding protein 5</t>
  </si>
  <si>
    <t>ENSMUSG00000085156</t>
  </si>
  <si>
    <t>small nucleolar RNA host gene 15</t>
  </si>
  <si>
    <t>ENSMUSG00000053730</t>
  </si>
  <si>
    <t>transmembrane protein 39b</t>
  </si>
  <si>
    <t>ENSMUSG00000060743</t>
  </si>
  <si>
    <t>H3 histone, family 3A</t>
  </si>
  <si>
    <t>predicted gene 12657</t>
  </si>
  <si>
    <t>ENSMUSG00000001552</t>
  </si>
  <si>
    <t>junction plakoglobin</t>
  </si>
  <si>
    <t>ENSMUSG00000049504</t>
  </si>
  <si>
    <t>proline and serine rich 1</t>
  </si>
  <si>
    <t>ENSMUSG00000042182</t>
  </si>
  <si>
    <t>BEN domain containing 6</t>
  </si>
  <si>
    <t>ENSMUSG00000030556</t>
  </si>
  <si>
    <t>leucine rich repeat containing 28</t>
  </si>
  <si>
    <t>ENSMUSG00000060147</t>
  </si>
  <si>
    <t>serine (or cysteine) peptidase inhibitor, clade B, member 6a</t>
  </si>
  <si>
    <t>ENSMUSG00000045751</t>
  </si>
  <si>
    <t>MMS22-like, DNA repair protein</t>
  </si>
  <si>
    <t>ENSMUSG00000091476</t>
  </si>
  <si>
    <t>predicted gene 16432</t>
  </si>
  <si>
    <t>ENSMUSG00000049295</t>
  </si>
  <si>
    <t>zinc finger protein 219</t>
  </si>
  <si>
    <t>ENSMUSG00000020814</t>
  </si>
  <si>
    <t>matrix-remodelling associated 7</t>
  </si>
  <si>
    <t>ENSMUSG00000029705</t>
  </si>
  <si>
    <t>cut-like homeobox 1</t>
  </si>
  <si>
    <t>ENSMUSG00000053395</t>
  </si>
  <si>
    <t>calcium channel, voltage-dependent, gamma subunit 8</t>
  </si>
  <si>
    <t>ENSMUSG00000098188</t>
  </si>
  <si>
    <t>sosondowah ankyrin repeat domain family member C</t>
  </si>
  <si>
    <t>ENSMUSG00000036875</t>
  </si>
  <si>
    <t>DNA replication helicase/nuclease 2</t>
  </si>
  <si>
    <t>ENSMUSG00000036459</t>
  </si>
  <si>
    <t>WT1-interacting protein</t>
  </si>
  <si>
    <t>ENSMUSG00000027298</t>
  </si>
  <si>
    <t>TYRO3 protein tyrosine kinase 3</t>
  </si>
  <si>
    <t>ENSMUSG00000057181</t>
  </si>
  <si>
    <t>RIKEN cDNA 5730455P16 gene</t>
  </si>
  <si>
    <t>ENSMUSG00000048148</t>
  </si>
  <si>
    <t>NACHT and WD repeat domain containing 1</t>
  </si>
  <si>
    <t>ENSMUSG00000026975</t>
  </si>
  <si>
    <t>diphthamine biosynethesis 7</t>
  </si>
  <si>
    <t>ENSMUSG00000024081</t>
  </si>
  <si>
    <t>CCAAT/enhancer binding protein zeta</t>
  </si>
  <si>
    <t>ENSMUSG00000065147</t>
  </si>
  <si>
    <t>small nucleolar RNA, H/ACA box 31</t>
  </si>
  <si>
    <t>ENSMUSG00000011831</t>
  </si>
  <si>
    <t>ecotropic viral integration site 5</t>
  </si>
  <si>
    <t>ENSMUSG00000040945</t>
  </si>
  <si>
    <t>regulator of chromosome condensation 2</t>
  </si>
  <si>
    <t>ENSMUSG00000032531</t>
  </si>
  <si>
    <t>angiomotin-like 2</t>
  </si>
  <si>
    <t>ENSMUSG00000048120</t>
  </si>
  <si>
    <t>ectonucleoside triphosphate diphosphohydrolase 1</t>
  </si>
  <si>
    <t>ENSMUSG00000040370</t>
  </si>
  <si>
    <t>LYR motif containing 5</t>
  </si>
  <si>
    <t>ENSMUSG00000000142</t>
  </si>
  <si>
    <t>axin 2</t>
  </si>
  <si>
    <t>ENSMUSG00000020898</t>
  </si>
  <si>
    <t>CTS telomere maintenance complex component 1</t>
  </si>
  <si>
    <t>ENSMUSG00000003452</t>
  </si>
  <si>
    <t>bicaudal D homolog 1 (Drosophila)</t>
  </si>
  <si>
    <t>ENSMUSG00000028656</t>
  </si>
  <si>
    <t>CAP, adenylate cyclase-associated protein 1 (yeast)</t>
  </si>
  <si>
    <t>ENSMUSG00000060424</t>
  </si>
  <si>
    <t>POU domain, class 3, transcription factor 3 adjacent noncoding transcript 1</t>
  </si>
  <si>
    <t>ENSMUSG00000038696</t>
  </si>
  <si>
    <t>mitogen-activated protein kinase associated protein 1</t>
  </si>
  <si>
    <t>ENSMUSG00000032353</t>
  </si>
  <si>
    <t>transmembrane emp24 domain containing 3</t>
  </si>
  <si>
    <t>ENSMUSG00000024660</t>
  </si>
  <si>
    <t>inner centromere protein</t>
  </si>
  <si>
    <t>ENSMUSG00000049420</t>
  </si>
  <si>
    <t>transmembrane protein 200A</t>
  </si>
  <si>
    <t>ENSMUSG00000052656</t>
  </si>
  <si>
    <t>ring finger protein 103</t>
  </si>
  <si>
    <t>ENSMUSG00000032119</t>
  </si>
  <si>
    <t>histone H4 transcription factor</t>
  </si>
  <si>
    <t>ENSMUSG00000048572</t>
  </si>
  <si>
    <t>transmembrane protein 252</t>
  </si>
  <si>
    <t>ENSMUSG00000039262</t>
  </si>
  <si>
    <t>proline-rich coiled-coil 2B</t>
  </si>
  <si>
    <t>ENSMUSG00000036672</t>
  </si>
  <si>
    <t>centromere protein T</t>
  </si>
  <si>
    <t>ENSMUSG00000060510</t>
  </si>
  <si>
    <t>zinc finger protein 266</t>
  </si>
  <si>
    <t>ENSMUSG00000047514</t>
  </si>
  <si>
    <t>testis-specific protein, Y-encoded-like 1</t>
  </si>
  <si>
    <t>ENSMUSG00000019982</t>
  </si>
  <si>
    <t>myeloblastosis oncogene</t>
  </si>
  <si>
    <t>ENSMUSG00000041439</t>
  </si>
  <si>
    <t>major facilitator superfamily domain containing 6</t>
  </si>
  <si>
    <t>ENSMUSG00000041354</t>
  </si>
  <si>
    <t>ral guanine nucleotide dissociation stimulator-like 2</t>
  </si>
  <si>
    <t>ENSMUSG00000029501</t>
  </si>
  <si>
    <t>ankyrin repeat and LEM domain containing 2</t>
  </si>
  <si>
    <t>ENSMUSG00000007440</t>
  </si>
  <si>
    <t>protocadherin alpha 10</t>
  </si>
  <si>
    <t>ENSMUSG00000028920</t>
  </si>
  <si>
    <t>F-box protein 42</t>
  </si>
  <si>
    <t>ENSMUSG00000031153</t>
  </si>
  <si>
    <t>GRIP1 associated protein 1</t>
  </si>
  <si>
    <t>ENSMUSG00000042682</t>
  </si>
  <si>
    <t>selenoprotein K</t>
  </si>
  <si>
    <t>ENSMUSG00000038855</t>
  </si>
  <si>
    <t>inositol 1,4,5-trisphosphate 3-kinase B</t>
  </si>
  <si>
    <t>ENSMUSG00000050856</t>
  </si>
  <si>
    <t>ATP synthase, H+ transporting, mitochondrial F1F0 complex, subunit E</t>
  </si>
  <si>
    <t>ENSMUSG00000030872</t>
  </si>
  <si>
    <t>golgi associated, gamma adaptin ear containing, ARF binding protein 2</t>
  </si>
  <si>
    <t>ENSMUSG00000022000</t>
  </si>
  <si>
    <t>zinc finger CCCH type containing 13</t>
  </si>
  <si>
    <t>ENSMUSG00000029778</t>
  </si>
  <si>
    <t>adenylate cyclase activating polypeptide 1 receptor 1</t>
  </si>
  <si>
    <t>ENSMUSG00000022961</t>
  </si>
  <si>
    <t>Son DNA binding protein</t>
  </si>
  <si>
    <t>ENSMUSG00000045427</t>
  </si>
  <si>
    <t>heterogeneous nuclear ribonucleoprotein H2</t>
  </si>
  <si>
    <t>ENSMUSG00000020656</t>
  </si>
  <si>
    <t>grainyhead-like 1 (Drosophila)</t>
  </si>
  <si>
    <t>ENSMUSG00000025188</t>
  </si>
  <si>
    <t>Hermansky-Pudlak syndrome 1</t>
  </si>
  <si>
    <t>ENSMUSG00000029775</t>
  </si>
  <si>
    <t>kelch domain containing 10</t>
  </si>
  <si>
    <t>ENSMUSG00000039913</t>
  </si>
  <si>
    <t>p21 protein (Cdc42/Rac)-activated kinase 7</t>
  </si>
  <si>
    <t>ENSMUSG00000022361</t>
  </si>
  <si>
    <t>zinc fingers and homeoboxes 1</t>
  </si>
  <si>
    <t>ENSMUSG00000032536</t>
  </si>
  <si>
    <t>trafficking protein, kinesin binding 1</t>
  </si>
  <si>
    <t>ENSMUSG00000043843</t>
  </si>
  <si>
    <t>transmembrane protein 145</t>
  </si>
  <si>
    <t>ENSMUSG00000025237</t>
  </si>
  <si>
    <t>poly (ADP-ribose) polymerase family, member 6</t>
  </si>
  <si>
    <t>ENSMUSG00000072258</t>
  </si>
  <si>
    <t>TATA-box binding protein associated factor, RNA polymerase I, A</t>
  </si>
  <si>
    <t>ENSMUSG00000041959</t>
  </si>
  <si>
    <t>S100 calcium binding protein A10 (calpactin)</t>
  </si>
  <si>
    <t>ENSMUSG00000034773</t>
  </si>
  <si>
    <t>cDNA sequence BC030867</t>
  </si>
  <si>
    <t>ENSMUSG00000091337</t>
  </si>
  <si>
    <t>EP300 interacting inhibitor of differentiation 1</t>
  </si>
  <si>
    <t>ENSMUSG00000038146</t>
  </si>
  <si>
    <t>notch 3</t>
  </si>
  <si>
    <t>ENSMUSG00000029911</t>
  </si>
  <si>
    <t>single-stranded DNA binding protein 1</t>
  </si>
  <si>
    <t>ENSMUSG00000067424</t>
  </si>
  <si>
    <t>zinc finger protein 563</t>
  </si>
  <si>
    <t>ENSMUSG00000034563</t>
  </si>
  <si>
    <t>cell cycle progression 1</t>
  </si>
  <si>
    <t>ENSMUSG00000068748</t>
  </si>
  <si>
    <t>protein tyrosine phosphatase, receptor type Z, polypeptide 1</t>
  </si>
  <si>
    <t>ENSMUSG00000019873</t>
  </si>
  <si>
    <t>receptor accessory protein 3</t>
  </si>
  <si>
    <t>ENSMUSG00000022526</t>
  </si>
  <si>
    <t>zinc finger protein 251</t>
  </si>
  <si>
    <t>ENSMUSG00000025656</t>
  </si>
  <si>
    <t>CDC42 guanine nucleotide exchange factor (GEF) 9</t>
  </si>
  <si>
    <t>ENSMUSG00000022594</t>
  </si>
  <si>
    <t>Ly6/neurotoxin 1</t>
  </si>
  <si>
    <t>ENSMUSG00000101126</t>
  </si>
  <si>
    <t>predicted gene 10538</t>
  </si>
  <si>
    <t>ENSMUSG00000028383</t>
  </si>
  <si>
    <t>hydroxysteroid dehydrogenase like 2</t>
  </si>
  <si>
    <t>ENSMUSG00000038369</t>
  </si>
  <si>
    <t>nuclear receptor coactivator 6</t>
  </si>
  <si>
    <t>ENSMUSG00000036052</t>
  </si>
  <si>
    <t>DnaJ heat shock protein family (Hsp40) member B5</t>
  </si>
  <si>
    <t>ENSMUSG00000009585</t>
  </si>
  <si>
    <t>apolipoprotein B mRNA editing enzyme, catalytic polypeptide 3</t>
  </si>
  <si>
    <t>ENSMUSG00000037640</t>
  </si>
  <si>
    <t>zinc finger protein 60</t>
  </si>
  <si>
    <t>ENSMUSG00000029591</t>
  </si>
  <si>
    <t>uracil DNA glycosylase</t>
  </si>
  <si>
    <t>ENSMUSG00000034868</t>
  </si>
  <si>
    <t>myosin, light chain 12B, regulatory</t>
  </si>
  <si>
    <t>ENSMUSG00000034190</t>
  </si>
  <si>
    <t>charged multivesicular body protein 7</t>
  </si>
  <si>
    <t>ENSMUSG00000024805</t>
  </si>
  <si>
    <t>polycomb group ring finger 5</t>
  </si>
  <si>
    <t>ENSMUSG00000039633</t>
  </si>
  <si>
    <t>LON peptidase N-terminal domain and ring finger 1</t>
  </si>
  <si>
    <t>ENSMUSG00000036940</t>
  </si>
  <si>
    <t>lysine (K)-specific demethylase 1A</t>
  </si>
  <si>
    <t>ENSMUSG00000054728</t>
  </si>
  <si>
    <t>phosphatase and actin regulator 1</t>
  </si>
  <si>
    <t>ENSMUSG00000028669</t>
  </si>
  <si>
    <t>PITH (C-terminal proteasome-interacting domain of thioredoxin-like) domain containing 1</t>
  </si>
  <si>
    <t>ENSMUSG00000006585</t>
  </si>
  <si>
    <t>chromatin licensing and DNA replication factor 1</t>
  </si>
  <si>
    <t>ENSMUSG00000051246</t>
  </si>
  <si>
    <t>Myb/SANT-like DNA-binding domain containing 1</t>
  </si>
  <si>
    <t>ENSMUSG00000029433</t>
  </si>
  <si>
    <t>diablo, IAP-binding mitochondrial protein</t>
  </si>
  <si>
    <t>ENSMUSG00000075706</t>
  </si>
  <si>
    <t>glutathione peroxidase 4</t>
  </si>
  <si>
    <t>ENSMUSG00000022723</t>
  </si>
  <si>
    <t>beta-gamma crystallin domain containing 3</t>
  </si>
  <si>
    <t>ENSMUSG00000033022</t>
  </si>
  <si>
    <t>cysteine dioxygenase 1, cytosolic</t>
  </si>
  <si>
    <t>ENSMUSG00000062519</t>
  </si>
  <si>
    <t>zinc finger protein 398</t>
  </si>
  <si>
    <t>ENSMUSG00000031754</t>
  </si>
  <si>
    <t>nudix (nucleoside diphosphate linked moiety X)-type motif 21</t>
  </si>
  <si>
    <t>ENSMUSG00000049606</t>
  </si>
  <si>
    <t>zinc finger protein 644</t>
  </si>
  <si>
    <t>ENSMUSG00000031103</t>
  </si>
  <si>
    <t>E74-like factor 4 (ets domain transcription factor)</t>
  </si>
  <si>
    <t>ENSMUSG00000061186</t>
  </si>
  <si>
    <t>Scm-like with four mbt domains 2</t>
  </si>
  <si>
    <t>ENSMUSG00000033906</t>
  </si>
  <si>
    <t>zinc finger, DHHC domain containing 15</t>
  </si>
  <si>
    <t>ENSMUSG00000024793</t>
  </si>
  <si>
    <t>tumor necrosis factor receptor superfamily, member 25</t>
  </si>
  <si>
    <t>ENSMUSG00000033557</t>
  </si>
  <si>
    <t>family with sequence similarity 20, member B</t>
  </si>
  <si>
    <t>ENSMUSG00000026796</t>
  </si>
  <si>
    <t>family with sequence similarity 129, member B</t>
  </si>
  <si>
    <t>ENSMUSG00000025277</t>
  </si>
  <si>
    <t>abhydrolase domain containing 6</t>
  </si>
  <si>
    <t>ENSMUSG00000042208</t>
  </si>
  <si>
    <t>RIKEN cDNA 0610010F05 gene</t>
  </si>
  <si>
    <t>ENSMUSG00000042622</t>
  </si>
  <si>
    <t>v-maf musculoaponeurotic fibrosarcoma oncogene family, protein F (avian)</t>
  </si>
  <si>
    <t>ENSMUSG00000039529</t>
  </si>
  <si>
    <t>ATPase, class I, type 8B, member 1</t>
  </si>
  <si>
    <t>ENSMUSG00000061393</t>
  </si>
  <si>
    <t>activin receptor IIB</t>
  </si>
  <si>
    <t>ENSMUSG00000031198</t>
  </si>
  <si>
    <t>FUN14 domain containing 2</t>
  </si>
  <si>
    <t>ENSMUSG00000059474</t>
  </si>
  <si>
    <t>mbt domain containing 1</t>
  </si>
  <si>
    <t>ENSMUSG00000030329</t>
  </si>
  <si>
    <t>PILR alpha associated neural protein</t>
  </si>
  <si>
    <t>ENSMUSG00000043629</t>
  </si>
  <si>
    <t>RIKEN cDNA 1700019D03 gene</t>
  </si>
  <si>
    <t>ENSMUSG00000070372</t>
  </si>
  <si>
    <t>capping protein (actin filament) muscle Z-line, alpha 1</t>
  </si>
  <si>
    <t>ENSMUSG00000019992</t>
  </si>
  <si>
    <t>mitochondrial fission regulator 2</t>
  </si>
  <si>
    <t>ENSMUSG00000022185</t>
  </si>
  <si>
    <t>apoptotic chromatin condensation inducer 1</t>
  </si>
  <si>
    <t>ENSMUSG00000022637</t>
  </si>
  <si>
    <t>Casitas B-lineage lymphoma b</t>
  </si>
  <si>
    <t>ENSMUSG00000038084</t>
  </si>
  <si>
    <t>optic atrophy 1</t>
  </si>
  <si>
    <t>ENSMUSG00000057766</t>
  </si>
  <si>
    <t>ankyrin repeat domain 29</t>
  </si>
  <si>
    <t>ENSMUSG00000002748</t>
  </si>
  <si>
    <t>bromodomain adjacent to zinc finger domain, 1B</t>
  </si>
  <si>
    <t>ENSMUSG00000042807</t>
  </si>
  <si>
    <t>HECT, C2 and WW domain containing E3 ubiquitin protein ligase 2</t>
  </si>
  <si>
    <t>ENSMUSG00000046879</t>
  </si>
  <si>
    <t>immunity-related GTPase family M member 1</t>
  </si>
  <si>
    <t>ENSMUSG00000025103</t>
  </si>
  <si>
    <t>BTB (POZ) domain containing 1</t>
  </si>
  <si>
    <t>ENSMUSG00000034255</t>
  </si>
  <si>
    <t>Rho GTPase activating protein 27</t>
  </si>
  <si>
    <t>ENSMUSG00000029234</t>
  </si>
  <si>
    <t>transmembrane protein 165</t>
  </si>
  <si>
    <t>ENSMUSG00000044807</t>
  </si>
  <si>
    <t>zinc finger protein 354C</t>
  </si>
  <si>
    <t>ENSMUSG00000045215</t>
  </si>
  <si>
    <t>additional sex combs like 3 (Drosophila)</t>
  </si>
  <si>
    <t>ENSMUSG00000031667</t>
  </si>
  <si>
    <t>thymoma viral proto-oncogene 1 interacting protein</t>
  </si>
  <si>
    <t>ENSMUSG00000024878</t>
  </si>
  <si>
    <t>COBW domain containing 1</t>
  </si>
  <si>
    <t>ENSMUSG00000046718</t>
  </si>
  <si>
    <t>bone marrow stromal cell antigen 2</t>
  </si>
  <si>
    <t>ENSMUSG00000028689</t>
  </si>
  <si>
    <t>coiled-coil domain containing 163</t>
  </si>
  <si>
    <t>ENSMUSG00000062075</t>
  </si>
  <si>
    <t>lamin B2</t>
  </si>
  <si>
    <t>ENSMUSG00000023249</t>
  </si>
  <si>
    <t>poly (ADP-ribose) polymerase family, member 3</t>
  </si>
  <si>
    <t>ENSMUSG00000032172</t>
  </si>
  <si>
    <t>olfactomedin 2</t>
  </si>
  <si>
    <t>ENSMUSG00000037239</t>
  </si>
  <si>
    <t>sprouty-related, EVH1 domain containing 3</t>
  </si>
  <si>
    <t>ENSMUSG00000027357</t>
  </si>
  <si>
    <t>cardiolipin synthase 1</t>
  </si>
  <si>
    <t>ENSMUSG00000051735</t>
  </si>
  <si>
    <t>Ras and Rab interactor-like</t>
  </si>
  <si>
    <t>ENSMUSG00000032268</t>
  </si>
  <si>
    <t>transmembrane protease, serine 5 (spinesin)</t>
  </si>
  <si>
    <t>ENSMUSG00000066324</t>
  </si>
  <si>
    <t>inositol monophosphatase domain containing 1</t>
  </si>
  <si>
    <t>ENSMUSG00000028426</t>
  </si>
  <si>
    <t>RAD23 homolog B, nucleotide excision repair protein</t>
  </si>
  <si>
    <t>ENSMUSG00000038775</t>
  </si>
  <si>
    <t>villin-like</t>
  </si>
  <si>
    <t>ENSMUSG00000042476</t>
  </si>
  <si>
    <t>ATP-binding cassette, sub-family B (MDR/TAP), member 4</t>
  </si>
  <si>
    <t>ENSMUSG00000030471</t>
  </si>
  <si>
    <t>zinc finger, DHHC domain containing 13</t>
  </si>
  <si>
    <t>ENSMUSG00000038524</t>
  </si>
  <si>
    <t>FCH and double SH3 domains 1</t>
  </si>
  <si>
    <t>ENSMUSG00000006301</t>
  </si>
  <si>
    <t>transmembrane BAX inhibitor motif containing 1</t>
  </si>
  <si>
    <t>ENSMUSG00000033102</t>
  </si>
  <si>
    <t>CDC14 cell division cycle 14B</t>
  </si>
  <si>
    <t>ENSMUSG00000020437</t>
  </si>
  <si>
    <t>myosin IG</t>
  </si>
  <si>
    <t>ENSMUSG00000041482</t>
  </si>
  <si>
    <t>piezo-type mechanosensitive ion channel component 2</t>
  </si>
  <si>
    <t>ENSMUSG00000028048</t>
  </si>
  <si>
    <t>glucosidase, beta, acid</t>
  </si>
  <si>
    <t>ENSMUSG00000028718</t>
  </si>
  <si>
    <t>Scl/Tal1 interrupting locus</t>
  </si>
  <si>
    <t>ENSMUSG00000028081</t>
  </si>
  <si>
    <t>ribosomal protein S3A1</t>
  </si>
  <si>
    <t>ENSMUSG00000007097</t>
  </si>
  <si>
    <t>ATPase, Na+/K+ transporting, alpha 2 polypeptide</t>
  </si>
  <si>
    <t>ENSMUSG00000003437</t>
  </si>
  <si>
    <t>Paf1, RNA polymerase II complex component</t>
  </si>
  <si>
    <t>ENSMUSG00000034850</t>
  </si>
  <si>
    <t>transmembrane protein 127</t>
  </si>
  <si>
    <t>ENSMUSG00000047409</t>
  </si>
  <si>
    <t>CTD (carboxy-terminal domain, RNA polymerase II, polypeptide A) small phosphatase-like</t>
  </si>
  <si>
    <t>ENSMUSG00000037622</t>
  </si>
  <si>
    <t>WD and tetratricopeptide repeats 1</t>
  </si>
  <si>
    <t>ENSMUSG00000079056</t>
  </si>
  <si>
    <t>Kv channel interacting protein 3, calsenilin</t>
  </si>
  <si>
    <t>ENSMUSG00000052949</t>
  </si>
  <si>
    <t>ring finger protein 157</t>
  </si>
  <si>
    <t>ENSMUSG00000032185</t>
  </si>
  <si>
    <t>coactivator-associated arginine methyltransferase 1</t>
  </si>
  <si>
    <t>ENSMUSG00000034574</t>
  </si>
  <si>
    <t>dishevelled associated activator of morphogenesis 1</t>
  </si>
  <si>
    <t>ENSMUSG00000032562</t>
  </si>
  <si>
    <t>guanine nucleotide binding protein (G protein), alpha inhibiting 2</t>
  </si>
  <si>
    <t>ENSMUSG00000028017</t>
  </si>
  <si>
    <t>epidermal growth factor</t>
  </si>
  <si>
    <t>ENSMUSG00000017843</t>
  </si>
  <si>
    <t>protein phosphatase 2, regulatory subunit B', gamma</t>
  </si>
  <si>
    <t>ENSMUSG00000027716</t>
  </si>
  <si>
    <t>transient receptor potential cation channel, subfamily C, member 3</t>
  </si>
  <si>
    <t>ENSMUSG00000075590</t>
  </si>
  <si>
    <t>nuclear receptor binding protein 2</t>
  </si>
  <si>
    <t>ENSMUSG00000027419</t>
  </si>
  <si>
    <t>proprotein convertase subtilisin/kexin type 2</t>
  </si>
  <si>
    <t>ENSMUSG00000022707</t>
  </si>
  <si>
    <t>glucan (1,4-alpha-), branching enzyme 1</t>
  </si>
  <si>
    <t>ENSMUSG00000020477</t>
  </si>
  <si>
    <t>mitochondrial ribosomal protein S24</t>
  </si>
  <si>
    <t>ENSMUSG00000053080</t>
  </si>
  <si>
    <t>RIKEN cDNA 2700081O15 gene</t>
  </si>
  <si>
    <t>ENSMUSG00000038055</t>
  </si>
  <si>
    <t>dexamethasone-induced transcript</t>
  </si>
  <si>
    <t>ENSMUSG00000061559</t>
  </si>
  <si>
    <t>WD repeat domain 61</t>
  </si>
  <si>
    <t>ENSMUSG00000009030</t>
  </si>
  <si>
    <t>phosducin-like</t>
  </si>
  <si>
    <t>ENSMUSG00000102543</t>
  </si>
  <si>
    <t>protocadherin gamma subfamily C, 5</t>
  </si>
  <si>
    <t>ENSMUSG00000042350</t>
  </si>
  <si>
    <t>apoptosis resistant E3 ubiquitin protein ligase 1</t>
  </si>
  <si>
    <t>ENSMUSG00000015214</t>
  </si>
  <si>
    <t>myotubularin related protein 1</t>
  </si>
  <si>
    <t>ENSMUSG00000022849</t>
  </si>
  <si>
    <t>Hspb associated protein 1</t>
  </si>
  <si>
    <t>ENSMUSG00000022124</t>
  </si>
  <si>
    <t>F-box and leucine-rich repeat protein 3</t>
  </si>
  <si>
    <t>ENSMUSG00000049489</t>
  </si>
  <si>
    <t>family with sequence similarity 58, member B</t>
  </si>
  <si>
    <t>ENSMUSG00000035735</t>
  </si>
  <si>
    <t>diacylglycerol lipase, alpha</t>
  </si>
  <si>
    <t>ENSMUSG00000028138</t>
  </si>
  <si>
    <t>alcohol dehydrogenase 5 (class III), chi polypeptide</t>
  </si>
  <si>
    <t>ENSMUSG00000049305</t>
  </si>
  <si>
    <t>coiled-coil domain containing 71</t>
  </si>
  <si>
    <t>ENSMUSG00000042428</t>
  </si>
  <si>
    <t>mannoside acetylglucosaminyltransferase 3</t>
  </si>
  <si>
    <t>ENSMUSG00000019775</t>
  </si>
  <si>
    <t>regulator of G-protein signaling 17</t>
  </si>
  <si>
    <t>ENSMUSG00000027006</t>
  </si>
  <si>
    <t>DnaJ heat shock protein family (Hsp40) member C10</t>
  </si>
  <si>
    <t>ENSMUSG00000020166</t>
  </si>
  <si>
    <t>CCR4-NOT transcription complex, subunit 2</t>
  </si>
  <si>
    <t>ENSMUSG00000033703</t>
  </si>
  <si>
    <t>fucokinase</t>
  </si>
  <si>
    <t>ENSMUSG00000026830</t>
  </si>
  <si>
    <t>ermin, ERM-like protein</t>
  </si>
  <si>
    <t>ENSMUSG00000036402</t>
  </si>
  <si>
    <t>guanine nucleotide binding protein (G protein), gamma 12</t>
  </si>
  <si>
    <t>ENSMUSG00000028862</t>
  </si>
  <si>
    <t>mitogen-activated protein kinase kinase kinase 6</t>
  </si>
  <si>
    <t>ENSMUSG00000034126</t>
  </si>
  <si>
    <t>protein-O-mannosyltransferase 2</t>
  </si>
  <si>
    <t>ENSMUSG00000035112</t>
  </si>
  <si>
    <t>WNK lysine deficient protein kinase 4</t>
  </si>
  <si>
    <t>ENSMUSG00000021365</t>
  </si>
  <si>
    <t>neural precursor cell expressed, developmentally down-regulated gene 9</t>
  </si>
  <si>
    <t>ENSMUSG00000028521</t>
  </si>
  <si>
    <t>solute carrier family 35 (UDP-glucuronic acid/UDP-N-acetylgalactosamine dual transporter), member D1</t>
  </si>
  <si>
    <t>ENSMUSG00000055629</t>
  </si>
  <si>
    <t>beta-1,4-N-acetyl-galactosaminyl transferase 4</t>
  </si>
  <si>
    <t>ENSMUSG00000058966</t>
  </si>
  <si>
    <t>family with sequence similarity 57, member B</t>
  </si>
  <si>
    <t>ENSMUSG00000020677</t>
  </si>
  <si>
    <t>DEAD (Asp-Glu-Ala-Asp) box polypeptide 52</t>
  </si>
  <si>
    <t>ENSMUSG00000020720</t>
  </si>
  <si>
    <t>proteasome (prosome, macropain) 26S subunit, non-ATPase, 12</t>
  </si>
  <si>
    <t>ENSMUSG00000051678</t>
  </si>
  <si>
    <t>protocadherin beta 6</t>
  </si>
  <si>
    <t>ENSMUSG00000038954</t>
  </si>
  <si>
    <t>suppressor of Ty 3</t>
  </si>
  <si>
    <t>ENSMUSG00000022895</t>
  </si>
  <si>
    <t>E26 avian leukemia oncogene 2, 3' domain</t>
  </si>
  <si>
    <t>ENSMUSG00000031729</t>
  </si>
  <si>
    <t>increased sodium tolerance 1 homolog (yeast)</t>
  </si>
  <si>
    <t>ENSMUSG00000014791</t>
  </si>
  <si>
    <t>engulfment and cell motility 3</t>
  </si>
  <si>
    <t>ENSMUSG00000039246</t>
  </si>
  <si>
    <t>lysophospholipase-like 1</t>
  </si>
  <si>
    <t>ENSMUSG00000027011</t>
  </si>
  <si>
    <t>ubiquitin-conjugating enzyme E2E 3</t>
  </si>
  <si>
    <t>ENSMUSG00000094483</t>
  </si>
  <si>
    <t>purine rich element binding protein B</t>
  </si>
  <si>
    <t>ENSMUSG00000039834</t>
  </si>
  <si>
    <t>zinc finger protein 335</t>
  </si>
  <si>
    <t>ENSMUSG00000040747</t>
  </si>
  <si>
    <t>CD53 antigen</t>
  </si>
  <si>
    <t>ENSMUSG00000004508</t>
  </si>
  <si>
    <t>growth factor receptor bound protein 2-associated protein 2</t>
  </si>
  <si>
    <t>ENSMUSG00000029247</t>
  </si>
  <si>
    <t>phosphoribosylaminoimidazole carboxylase, phosphoribosylaminoribosylaminoimidazole, succinocarboxamide synthetase</t>
  </si>
  <si>
    <t>ENSMUSG00000020844</t>
  </si>
  <si>
    <t>nucleoredoxin</t>
  </si>
  <si>
    <t>ENSMUSG00000026721</t>
  </si>
  <si>
    <t>RAB GTPase activating protein 1-like</t>
  </si>
  <si>
    <t>ENSMUSG00000095362</t>
  </si>
  <si>
    <t>predicted gene 14325</t>
  </si>
  <si>
    <t>ENSMUSG00000022765</t>
  </si>
  <si>
    <t>synaptosomal-associated protein 29</t>
  </si>
  <si>
    <t>ENSMUSG00000026249</t>
  </si>
  <si>
    <t>serine (or cysteine) peptidase inhibitor, clade E, member 2</t>
  </si>
  <si>
    <t>ENSMUSG00000037579</t>
  </si>
  <si>
    <t>potassium voltage-gated channel, subfamily H (eag-related), member 3</t>
  </si>
  <si>
    <t>ENSMUSG00000025815</t>
  </si>
  <si>
    <t>dehydrogenase E1 and transketolase domain containing 1</t>
  </si>
  <si>
    <t>ENSMUSG00000022325</t>
  </si>
  <si>
    <t>processing of precursor 1, ribonuclease P/MRP family, (S. cerevisiae)</t>
  </si>
  <si>
    <t>ENSMUSG00000097391</t>
  </si>
  <si>
    <t>miRNA containing gene</t>
  </si>
  <si>
    <t>ENSMUSG00000021986</t>
  </si>
  <si>
    <t>APC membrane recruitment 2</t>
  </si>
  <si>
    <t>ENSMUSG00000020652</t>
  </si>
  <si>
    <t>centromere protein O</t>
  </si>
  <si>
    <t>ENSMUSG00000068798</t>
  </si>
  <si>
    <t>RAS-related protein-1a</t>
  </si>
  <si>
    <t>ENSMUSG00000030386</t>
  </si>
  <si>
    <t>zinc finger protein 606</t>
  </si>
  <si>
    <t>ENSMUSG00000029186</t>
  </si>
  <si>
    <t>phosphatidylinositol 4-kinase type 2 beta</t>
  </si>
  <si>
    <t>ENSMUSG00000022350</t>
  </si>
  <si>
    <t>RIKEN cDNA E430025E21 gene</t>
  </si>
  <si>
    <t>ENSMUSG00000001504</t>
  </si>
  <si>
    <t>Iroquois related homeobox 2 (Drosophila)</t>
  </si>
  <si>
    <t>ENSMUSG00000023008</t>
  </si>
  <si>
    <t>formin-like 3</t>
  </si>
  <si>
    <t>ENSMUSG00000028603</t>
  </si>
  <si>
    <t>sterol carrier protein 2, liver</t>
  </si>
  <si>
    <t>ENSMUSG00000025825</t>
  </si>
  <si>
    <t>iron-sulfur cluster assembly enzyme</t>
  </si>
  <si>
    <t>ENSMUSG00000045854</t>
  </si>
  <si>
    <t>LYR motif containing 2</t>
  </si>
  <si>
    <t>ENSMUSG00000034839</t>
  </si>
  <si>
    <t>La ribonucleoprotein domain family, member 6</t>
  </si>
  <si>
    <t>ENSMUSG00000062309</t>
  </si>
  <si>
    <t>ribonuclease P/MRP 25 subunit</t>
  </si>
  <si>
    <t>ENSMUSG00000074405</t>
  </si>
  <si>
    <t>zinc finger protein 865</t>
  </si>
  <si>
    <t>ENSMUSG00000024610</t>
  </si>
  <si>
    <t>CD74 antigen (invariant polypeptide of major histocompatibility complex, class II antigen-associated)</t>
  </si>
  <si>
    <t>ENSMUSG00000029175</t>
  </si>
  <si>
    <t>solute carrier family 35, member F6</t>
  </si>
  <si>
    <t>ENSMUSG00000040928</t>
  </si>
  <si>
    <t>S100P binding protein</t>
  </si>
  <si>
    <t>ENSMUSG00000003363</t>
  </si>
  <si>
    <t>phospholipase D family, member 3</t>
  </si>
  <si>
    <t>ENSMUSG00000005980</t>
  </si>
  <si>
    <t>deoxyribonuclease I</t>
  </si>
  <si>
    <t>ENSMUSG00000040687</t>
  </si>
  <si>
    <t>MAP-kinase activating death domain</t>
  </si>
  <si>
    <t>ENSMUSG00000025044</t>
  </si>
  <si>
    <t>macrophage scavenger receptor 1</t>
  </si>
  <si>
    <t>ENSMUSG00000020668</t>
  </si>
  <si>
    <t>kinesin family member 3C</t>
  </si>
  <si>
    <t>ENSMUSG00000024725</t>
  </si>
  <si>
    <t>osteoclast stimulating factor 1</t>
  </si>
  <si>
    <t>ENSMUSG00000033565</t>
  </si>
  <si>
    <t>RNA binding protein, fox-1 homolog (C. elegans) 2</t>
  </si>
  <si>
    <t>ENSMUSG00000002768</t>
  </si>
  <si>
    <t>male enhanced antigen 1</t>
  </si>
  <si>
    <t>ENSMUSG00000028291</t>
  </si>
  <si>
    <t>akirin 2</t>
  </si>
  <si>
    <t>ENSMUSG00000028576</t>
  </si>
  <si>
    <t>intraflagellar transport 74</t>
  </si>
  <si>
    <t>ENSMUSG00000015488</t>
  </si>
  <si>
    <t>calcium channel flower domain containing 1</t>
  </si>
  <si>
    <t>ENSMUSG00000068923</t>
  </si>
  <si>
    <t>synaptotagmin XI</t>
  </si>
  <si>
    <t>ENSMUSG00000019261</t>
  </si>
  <si>
    <t>microtubule-associated protein 1S</t>
  </si>
  <si>
    <t>ENSMUSG00000040929</t>
  </si>
  <si>
    <t>regulatory factor X, 3 (influences HLA class II expression)</t>
  </si>
  <si>
    <t>ENSMUSG00000045608</t>
  </si>
  <si>
    <t>developing brain homeobox 2</t>
  </si>
  <si>
    <t>ENSMUSG00000032579</t>
  </si>
  <si>
    <t>HemK methyltransferase family member 1</t>
  </si>
  <si>
    <t>ENSMUSG00000026349</t>
  </si>
  <si>
    <t>cyclin T2</t>
  </si>
  <si>
    <t>ENSMUSG00000044252</t>
  </si>
  <si>
    <t>oxysterol binding protein-like 1A</t>
  </si>
  <si>
    <t>ENSMUSG00000070291</t>
  </si>
  <si>
    <t>DEAD (Asp-Glu-Ala-Asp) box polypeptide 43</t>
  </si>
  <si>
    <t>ENSMUSG00000047414</t>
  </si>
  <si>
    <t>fibronectin leucine rich transmembrane protein 2</t>
  </si>
  <si>
    <t>ENSMUSG00000024174</t>
  </si>
  <si>
    <t>protection of telomeres 1B</t>
  </si>
  <si>
    <t>ENSMUSG00000030695</t>
  </si>
  <si>
    <t>aldolase A, fructose-bisphosphate</t>
  </si>
  <si>
    <t>ENSMUSG00000064293</t>
  </si>
  <si>
    <t>contactin 4</t>
  </si>
  <si>
    <t>ENSMUSG00000031347</t>
  </si>
  <si>
    <t>centrin 2</t>
  </si>
  <si>
    <t>ENSMUSG00000030298</t>
  </si>
  <si>
    <t>SEC13 homolog, nuclear pore and COPII coat complex component</t>
  </si>
  <si>
    <t>ENSMUSG00000037341</t>
  </si>
  <si>
    <t>solute carrier family 9 (sodium/hydrogen exchanger), member 7</t>
  </si>
  <si>
    <t>ENSMUSG00000038173</t>
  </si>
  <si>
    <t>ectonucleotide pyrophosphatase/phosphodiesterase 6</t>
  </si>
  <si>
    <t>ENSMUSG00000020826</t>
  </si>
  <si>
    <t>nitric oxide synthase 2, inducible</t>
  </si>
  <si>
    <t>ENSMUSG00000047180</t>
  </si>
  <si>
    <t>neuralized E3 ubiquitin protein ligase 3</t>
  </si>
  <si>
    <t>ENSMUSG00000038342</t>
  </si>
  <si>
    <t>MLX interacting protein</t>
  </si>
  <si>
    <t>ENSMUSG00000015672</t>
  </si>
  <si>
    <t>mitochondrial ribosomal protein L32</t>
  </si>
  <si>
    <t>ENSMUSG00000022110</t>
  </si>
  <si>
    <t>succinate-Coenzyme A ligase, ADP-forming, beta subunit</t>
  </si>
  <si>
    <t>ENSMUSG00000032570</t>
  </si>
  <si>
    <t>ATPase, Ca++-sequestering</t>
  </si>
  <si>
    <t>ENSMUSG00000002885</t>
  </si>
  <si>
    <t>adhesion G protein-coupled receptor E5</t>
  </si>
  <si>
    <t>ENSMUSG00000059263</t>
  </si>
  <si>
    <t>ubiquitin specific peptidase 47</t>
  </si>
  <si>
    <t>ENSMUSG00000028152</t>
  </si>
  <si>
    <t>tetraspanin 5</t>
  </si>
  <si>
    <t>ENSMUSG00000026604</t>
  </si>
  <si>
    <t>protein tyrosine phosphatase, non-receptor type 14</t>
  </si>
  <si>
    <t>ENSMUSG00000022354</t>
  </si>
  <si>
    <t>NADH dehydrogenase (ubiquinone) 1 beta subcomplex, 9</t>
  </si>
  <si>
    <t>ENSMUSG00000027030</t>
  </si>
  <si>
    <t>serine/threonine kinase 39</t>
  </si>
  <si>
    <t>ENSMUSG00000027810</t>
  </si>
  <si>
    <t>eukaryotic translation initiation factor 2A</t>
  </si>
  <si>
    <t>ENSMUSG00000039233</t>
  </si>
  <si>
    <t>tubulin-specific chaperone E</t>
  </si>
  <si>
    <t>ENSMUSG00000029727</t>
  </si>
  <si>
    <t>cytochrome P450, family 3, subfamily a, polypeptide 13</t>
  </si>
  <si>
    <t>ENSMUSG00000036826</t>
  </si>
  <si>
    <t>IGF-like family receptor 1</t>
  </si>
  <si>
    <t>ENSMUSG00000022634</t>
  </si>
  <si>
    <t>YY1 associated factor 2</t>
  </si>
  <si>
    <t>ENSMUSG00000020097</t>
  </si>
  <si>
    <t>sphingosine phosphate lyase 1</t>
  </si>
  <si>
    <t>ENSMUSG00000024773</t>
  </si>
  <si>
    <t>autophagy related 2A</t>
  </si>
  <si>
    <t>ENSMUSG00000019124</t>
  </si>
  <si>
    <t>secernin 1</t>
  </si>
  <si>
    <t>ENSMUSG00000098132</t>
  </si>
  <si>
    <t>Ras association (RalGDS/AF-6) domain family (N-terminal) member 10</t>
  </si>
  <si>
    <t>ENSMUSG00000048027</t>
  </si>
  <si>
    <t>repulsive guidance molecule family member B</t>
  </si>
  <si>
    <t>ENSMUSG00000033352</t>
  </si>
  <si>
    <t>mitogen-activated protein kinase kinase 4</t>
  </si>
  <si>
    <t>ENSMUSG00000024050</t>
  </si>
  <si>
    <t>widely-interspaced zinc finger motifs</t>
  </si>
  <si>
    <t>ENSMUSG00000040339</t>
  </si>
  <si>
    <t>family with sequence similarity 102, member B</t>
  </si>
  <si>
    <t>ENSMUSG00000037568</t>
  </si>
  <si>
    <t>vasohibin 2</t>
  </si>
  <si>
    <t>ENSMUSG00000023460</t>
  </si>
  <si>
    <t>RAB12, member RAS oncogene family</t>
  </si>
  <si>
    <t>ENSMUSG00000002524</t>
  </si>
  <si>
    <t>poly-U binding splicing factor 60</t>
  </si>
  <si>
    <t>ENSMUSG00000037395</t>
  </si>
  <si>
    <t>REST corepressor 3</t>
  </si>
  <si>
    <t>ENSMUSG00000028687</t>
  </si>
  <si>
    <t>mutY DNA glycosylase</t>
  </si>
  <si>
    <t>ENSMUSG00000040761</t>
  </si>
  <si>
    <t>SPEN homolog, transcriptional regulator (Drosophila)</t>
  </si>
  <si>
    <t>ENSMUSG00000029458</t>
  </si>
  <si>
    <t>BRCA1 associated protein</t>
  </si>
  <si>
    <t>ENSMUSG00000015522</t>
  </si>
  <si>
    <t>aryl hydrocarbon receptor nuclear translocator</t>
  </si>
  <si>
    <t>ENSMUSG00000006373</t>
  </si>
  <si>
    <t>progesterone receptor membrane component 1</t>
  </si>
  <si>
    <t>ENSMUSG00000033214</t>
  </si>
  <si>
    <t>SLIT and NTRK-like family, member 5</t>
  </si>
  <si>
    <t>ENSMUSG00000025475</t>
  </si>
  <si>
    <t>adhesion G protein-coupled receptor A1</t>
  </si>
  <si>
    <t>ENSMUSG00000047562</t>
  </si>
  <si>
    <t>matrix metallopeptidase 10</t>
  </si>
  <si>
    <t>ENSMUSG00000025425</t>
  </si>
  <si>
    <t>ST8 alpha-N-acetyl-neuraminide alpha-2,8-sialyltransferase 5</t>
  </si>
  <si>
    <t>ENSMUSG00000029505</t>
  </si>
  <si>
    <t>E1A binding protein p400</t>
  </si>
  <si>
    <t>ENSMUSG00000026743</t>
  </si>
  <si>
    <t>myeloid/lymphoid or mixed-lineage leukemia; translocated to, 10</t>
  </si>
  <si>
    <t>ENSMUSG00000029832</t>
  </si>
  <si>
    <t>nuclear factor, erythroid derived 2, like 3</t>
  </si>
  <si>
    <t>ENSMUSG00000058586</t>
  </si>
  <si>
    <t>serine hydrolase-like</t>
  </si>
  <si>
    <t>ENSMUSG00000050382</t>
  </si>
  <si>
    <t>kinesin family member 7</t>
  </si>
  <si>
    <t>ENSMUSG00000031659</t>
  </si>
  <si>
    <t>adenylate cyclase 7</t>
  </si>
  <si>
    <t>ENSMUSG00000037730</t>
  </si>
  <si>
    <t>myoneurin</t>
  </si>
  <si>
    <t>ENSMUSG00000040964</t>
  </si>
  <si>
    <t>Rho guanine nucleotide exchange factor (GEF) 10-like</t>
  </si>
  <si>
    <t>ENSMUSG00000032330</t>
  </si>
  <si>
    <t>cytochrome c oxidase subunit VIIa 2</t>
  </si>
  <si>
    <t>ENSMUSG00000041949</t>
  </si>
  <si>
    <t>transport and golgi organization 6</t>
  </si>
  <si>
    <t>ENSMUSG00000017713</t>
  </si>
  <si>
    <t>threonine aldolase 1</t>
  </si>
  <si>
    <t>ENSMUSG00000061013</t>
  </si>
  <si>
    <t>mohawk homeobox</t>
  </si>
  <si>
    <t>ENSMUSG00000038902</t>
  </si>
  <si>
    <t>pogo transposable element with ZNF domain</t>
  </si>
  <si>
    <t>ENSMUSG00000021171</t>
  </si>
  <si>
    <t>extended synaptotagmin-like protein 2</t>
  </si>
  <si>
    <t>ENSMUSG00000031283</t>
  </si>
  <si>
    <t>chordin-like 1</t>
  </si>
  <si>
    <t>ENSMUSG00000009418</t>
  </si>
  <si>
    <t>neuron navigator 1</t>
  </si>
  <si>
    <t>ENSMUSG00000052534</t>
  </si>
  <si>
    <t>pre B cell leukemia homeobox 1</t>
  </si>
  <si>
    <t>ENSMUSG00000021134</t>
  </si>
  <si>
    <t>serine/arginine-rich splicing factor 5</t>
  </si>
  <si>
    <t>ENSMUSG00000087177</t>
  </si>
  <si>
    <t>RIKEN cDNA E130307A14 gene</t>
  </si>
  <si>
    <t>ENSMUSG00000078877</t>
  </si>
  <si>
    <t>predicted gene 14295</t>
  </si>
  <si>
    <t>ENSMUSG00000041781</t>
  </si>
  <si>
    <t>cleavage and polyadenylation specific factor 2</t>
  </si>
  <si>
    <t>ENSMUSG00000097170</t>
  </si>
  <si>
    <t>predicted gene, 16982</t>
  </si>
  <si>
    <t>ENSMUSG00000052137</t>
  </si>
  <si>
    <t>RNA binding motif protein 12 B2</t>
  </si>
  <si>
    <t>ENSMUSG00000020430</t>
  </si>
  <si>
    <t>pescadillo ribosomal biogenesis factor 1</t>
  </si>
  <si>
    <t>ENSMUSG00000030811</t>
  </si>
  <si>
    <t>F-box and leucine-rich repeat protein 19</t>
  </si>
  <si>
    <t>ENSMUSG00000025794</t>
  </si>
  <si>
    <t>ribosomal protein L14</t>
  </si>
  <si>
    <t>ENSMUSG00000090626</t>
  </si>
  <si>
    <t>testis expressed gene 9</t>
  </si>
  <si>
    <t>ENSMUSG00000020515</t>
  </si>
  <si>
    <t>CCR4-NOT transcription complex, subunit 8</t>
  </si>
  <si>
    <t>ENSMUSG00000023947</t>
  </si>
  <si>
    <t>nuclear factor of kappa light polypeptide gene enhancer in B cells inhibitor, epsilon</t>
  </si>
  <si>
    <t>ENSMUSG00000072946</t>
  </si>
  <si>
    <t>prostaglandin reductase 2</t>
  </si>
  <si>
    <t>ENSMUSG00000022529</t>
  </si>
  <si>
    <t>zinc finger protein 263</t>
  </si>
  <si>
    <t>ENSMUSG00000017760</t>
  </si>
  <si>
    <t>cathepsin A</t>
  </si>
  <si>
    <t>ENSMUSG00000020022</t>
  </si>
  <si>
    <t>NADH dehydrogenase (ubiquinone) 1 alpha subcomplex, 12</t>
  </si>
  <si>
    <t>ENSMUSG00000040128</t>
  </si>
  <si>
    <t>proline-rich nuclear receptor coactivator 1</t>
  </si>
  <si>
    <t>ENSMUSG00000032372</t>
  </si>
  <si>
    <t>phospholipid scramblase 2</t>
  </si>
  <si>
    <t>ENSMUSG00000041124</t>
  </si>
  <si>
    <t>Myb/SANT-like DNA-binding domain containing 4 with coiled-coils</t>
  </si>
  <si>
    <t>ENSMUSG00000002731</t>
  </si>
  <si>
    <t>protein kinase, interferon inducible double stranded RNA dependent activator</t>
  </si>
  <si>
    <t>ENSMUSG00000036864</t>
  </si>
  <si>
    <t>proline and serine rich 3</t>
  </si>
  <si>
    <t>ENSMUSG00000021665</t>
  </si>
  <si>
    <t>hexosaminidase B</t>
  </si>
  <si>
    <t>ENSMUSG00000051615</t>
  </si>
  <si>
    <t>RAS related protein 2a</t>
  </si>
  <si>
    <t>ENSMUSG00000000131</t>
  </si>
  <si>
    <t>exportin 6</t>
  </si>
  <si>
    <t>ENSMUSG00000073555</t>
  </si>
  <si>
    <t>predicted gene 4951</t>
  </si>
  <si>
    <t>ENSMUSG00000018909</t>
  </si>
  <si>
    <t>arrestin, beta 1</t>
  </si>
  <si>
    <t>ENSMUSG00000031508</t>
  </si>
  <si>
    <t>ankyrin repeat domain 10</t>
  </si>
  <si>
    <t>ENSMUSG00000075376</t>
  </si>
  <si>
    <t>ring finger and CCCH-type zinc finger domains 2</t>
  </si>
  <si>
    <t>ENSMUSG00000001767</t>
  </si>
  <si>
    <t>Crn, crooked neck-like 1 (Drosophila)</t>
  </si>
  <si>
    <t>ENSMUSG00000027323</t>
  </si>
  <si>
    <t>RAD51 recombinase</t>
  </si>
  <si>
    <t>ENSMUSG00000019997</t>
  </si>
  <si>
    <t>connective tissue growth factor</t>
  </si>
  <si>
    <t>ENSMUSG00000029446</t>
  </si>
  <si>
    <t>phosphoserine phosphatase</t>
  </si>
  <si>
    <t>ENSMUSG00000019894</t>
  </si>
  <si>
    <t>solute carrier family 6 (neurotransmitter transporter), member 15</t>
  </si>
  <si>
    <t>ENSMUSG00000074892</t>
  </si>
  <si>
    <t>UDP-Gal:betaGlcNAc beta 1,3-galactosyltransferase, polypeptide 5</t>
  </si>
  <si>
    <t>ENSMUSG00000058093</t>
  </si>
  <si>
    <t>zinc finger protein 729b</t>
  </si>
  <si>
    <t>ENSMUSG00000036822</t>
  </si>
  <si>
    <t>topoisomerase I binding, arginine/serine-rich</t>
  </si>
  <si>
    <t>ENSMUSG00000030093</t>
  </si>
  <si>
    <t>wingless-type MMTV integration site family, member 7A</t>
  </si>
  <si>
    <t>ENSMUSG00000033862</t>
  </si>
  <si>
    <t>cyclin-dependent kinase 10</t>
  </si>
  <si>
    <t>ENSMUSG00000021518</t>
  </si>
  <si>
    <t>phosphatidylserine synthase 1</t>
  </si>
  <si>
    <t>ENSMUSG00000028702</t>
  </si>
  <si>
    <t>RAD54 like (S. cerevisiae)</t>
  </si>
  <si>
    <t>ENSMUSG00000036466</t>
  </si>
  <si>
    <t>multiple EGF-like-domains 11</t>
  </si>
  <si>
    <t>ENSMUSG00000052516</t>
  </si>
  <si>
    <t>roundabout guidance receptor 2</t>
  </si>
  <si>
    <t>ENSMUSG00000015053</t>
  </si>
  <si>
    <t>GATA binding protein 2</t>
  </si>
  <si>
    <t>ENSMUSG00000037375</t>
  </si>
  <si>
    <t>hedgehog acyltransferase</t>
  </si>
  <si>
    <t>ENSMUSG00000027835</t>
  </si>
  <si>
    <t>programmed cell death 10</t>
  </si>
  <si>
    <t>ENSMUSG00000064061</t>
  </si>
  <si>
    <t>DAZ interacting protein 3, zinc finger</t>
  </si>
  <si>
    <t>ENSMUSG00000060703</t>
  </si>
  <si>
    <t>CD302 antigen</t>
  </si>
  <si>
    <t>ENSMUSG00000024764</t>
  </si>
  <si>
    <t>N(alpha)-acetyltransferase 40, NatD catalytic subunit</t>
  </si>
  <si>
    <t>ENSMUSG00000097585</t>
  </si>
  <si>
    <t>RIKEN cDNA E230029C05 gene</t>
  </si>
  <si>
    <t>ENSMUSG00000021929</t>
  </si>
  <si>
    <t>karyopherin (importin) alpha 3</t>
  </si>
  <si>
    <t>ENSMUSG00000045302</t>
  </si>
  <si>
    <t>prolactin regulatory element binding</t>
  </si>
  <si>
    <t>ENSMUSG00000052906</t>
  </si>
  <si>
    <t>UBX domain protein 8</t>
  </si>
  <si>
    <t>ENSMUSG00000022523</t>
  </si>
  <si>
    <t>fibroblast growth factor 12</t>
  </si>
  <si>
    <t>ENSMUSG00000061787</t>
  </si>
  <si>
    <t>ribosomal protein S17</t>
  </si>
  <si>
    <t>ENSMUSG00000066149</t>
  </si>
  <si>
    <t>cell division cycle 26</t>
  </si>
  <si>
    <t>ENSMUSG00000022332</t>
  </si>
  <si>
    <t>KH domain containing, RNA binding, signal transduction associated 3</t>
  </si>
  <si>
    <t>ENSMUSG00000100005</t>
  </si>
  <si>
    <t>RIKEN cDNA B130024G19 gene</t>
  </si>
  <si>
    <t>ENSMUSG00000090115</t>
  </si>
  <si>
    <t>ubiquitin specific peptidase 49</t>
  </si>
  <si>
    <t>ENSMUSG00000026425</t>
  </si>
  <si>
    <t>SLIT-ROBO Rho GTPase activating protein 2</t>
  </si>
  <si>
    <t>ENSMUSG00000062931</t>
  </si>
  <si>
    <t>zinc finger protein 938</t>
  </si>
  <si>
    <t>ENSMUSG00000074909</t>
  </si>
  <si>
    <t>RAN binding protein 6</t>
  </si>
  <si>
    <t>ENSMUSG00000003037</t>
  </si>
  <si>
    <t>RAB8A, member RAS oncogene family</t>
  </si>
  <si>
    <t>ENSMUSG00000032396</t>
  </si>
  <si>
    <t>DIS3 like exosome 3'-5' exoribonuclease</t>
  </si>
  <si>
    <t>ENSMUSG00000024695</t>
  </si>
  <si>
    <t>zinc finger protein 91</t>
  </si>
  <si>
    <t>predicted readthrough transcript (NMD candidate), 44505</t>
  </si>
  <si>
    <t>ENSMUSG00000025950</t>
  </si>
  <si>
    <t>isocitrate dehydrogenase 1 (NADP+), soluble</t>
  </si>
  <si>
    <t>ENSMUSG00000027288</t>
  </si>
  <si>
    <t>zinc finger protein 106</t>
  </si>
  <si>
    <t>ENSMUSG00000004031</t>
  </si>
  <si>
    <t>bone morphogenic protein/retinoic acid inducible neural-specific 2</t>
  </si>
  <si>
    <t>ENSMUSG00000053460</t>
  </si>
  <si>
    <t>gamma-glutamyl carboxylase</t>
  </si>
  <si>
    <t>ENSMUSG00000027531</t>
  </si>
  <si>
    <t>inositol (myo)-1(or 4)-monophosphatase 1</t>
  </si>
  <si>
    <t>ENSMUSG00000044340</t>
  </si>
  <si>
    <t>PH domain and leucine rich repeat protein phosphatase 1</t>
  </si>
  <si>
    <t>ENSMUSG00000024642</t>
  </si>
  <si>
    <t>transducin-like enhancer of split 4</t>
  </si>
  <si>
    <t>ENSMUSG00000021589</t>
  </si>
  <si>
    <t>Rho-related BTB domain containing 3</t>
  </si>
  <si>
    <t>ENSMUSG00000040481</t>
  </si>
  <si>
    <t>bromodomain PHD finger transcription factor</t>
  </si>
  <si>
    <t>ENSMUSG00000032228</t>
  </si>
  <si>
    <t>transcription factor 12</t>
  </si>
  <si>
    <t>ENSMUSG00000042401</t>
  </si>
  <si>
    <t>cartilage acidic protein 1</t>
  </si>
  <si>
    <t>ENSMUSG00000026042</t>
  </si>
  <si>
    <t>collagen, type V, alpha 2</t>
  </si>
  <si>
    <t>ENSMUSG00000070000</t>
  </si>
  <si>
    <t>FCH domain only 1</t>
  </si>
  <si>
    <t>ENSMUSG00000057614</t>
  </si>
  <si>
    <t>guanine nucleotide binding protein (G protein), alpha inhibiting 1</t>
  </si>
  <si>
    <t>ENSMUSG00000073490</t>
  </si>
  <si>
    <t>interferon activated gene 207</t>
  </si>
  <si>
    <t>ENSMUSG00000033581</t>
  </si>
  <si>
    <t>insulin-like growth factor 2 mRNA binding protein 2</t>
  </si>
  <si>
    <t>ENSMUSG00000015709</t>
  </si>
  <si>
    <t>aryl hydrocarbon receptor nuclear translocator 2</t>
  </si>
  <si>
    <t>ENSMUSG00000021087</t>
  </si>
  <si>
    <t>reticulon 1</t>
  </si>
  <si>
    <t>ENSMUSG00000036103</t>
  </si>
  <si>
    <t>collectin sub-family member 12</t>
  </si>
  <si>
    <t>ENSMUSG00000030317</t>
  </si>
  <si>
    <t>tissue inhibitor of metalloproteinase 4</t>
  </si>
  <si>
    <t>ENSMUSG00000031616</t>
  </si>
  <si>
    <t>endothelin receptor type A</t>
  </si>
  <si>
    <t>ENSMUSG00000043263</t>
  </si>
  <si>
    <t>interferon activated gene 209</t>
  </si>
  <si>
    <t>ENSMUSG00000029389</t>
  </si>
  <si>
    <t>DEAD (Asp-Glu-Ala-Asp) box polypeptide 55</t>
  </si>
  <si>
    <t>ENSMUSG00000029213</t>
  </si>
  <si>
    <t>COMM domain containing 8</t>
  </si>
  <si>
    <t>ENSMUSG00000062510</t>
  </si>
  <si>
    <t>NSL1, MIS12 kinetochore complex component</t>
  </si>
  <si>
    <t>ENSMUSG00000075324</t>
  </si>
  <si>
    <t>fidgetin</t>
  </si>
  <si>
    <t>ENSMUSG00000040420</t>
  </si>
  <si>
    <t>cadherin 18</t>
  </si>
  <si>
    <t>ENSMUSG00000062901</t>
  </si>
  <si>
    <t>kelch-like 24</t>
  </si>
  <si>
    <t>ENSMUSG00000022949</t>
  </si>
  <si>
    <t>chloride intracellular channel 6</t>
  </si>
  <si>
    <t>ENSMUSG00000020620</t>
  </si>
  <si>
    <t>ATP-binding cassette, sub-family A (ABC1), member 8b</t>
  </si>
  <si>
    <t>ENSMUSG00000014959</t>
  </si>
  <si>
    <t>golgi reassembly stacking protein 2</t>
  </si>
  <si>
    <t>ENSMUSG00000034875</t>
  </si>
  <si>
    <t>nudix (nucleoside diphosphate linked moiety X)-type motif 19</t>
  </si>
  <si>
    <t>ENSMUSG00000039983</t>
  </si>
  <si>
    <t>coiled-coil domain containing 32</t>
  </si>
  <si>
    <t>ENSMUSG00000075265</t>
  </si>
  <si>
    <t>tyrosine kinase, non-receptor 2, opposite strand</t>
  </si>
  <si>
    <t>ENSMUSG00000057551</t>
  </si>
  <si>
    <t>zinc finger protein 317</t>
  </si>
  <si>
    <t>ENSMUSG00000027690</t>
  </si>
  <si>
    <t>solute carrier family 2 (facilitated glucose transporter), member 2</t>
  </si>
  <si>
    <t>ENSMUSG00000020694</t>
  </si>
  <si>
    <t>tousled-like kinase 2 (Arabidopsis)</t>
  </si>
  <si>
    <t>ENSMUSG00000013663</t>
  </si>
  <si>
    <t>phosphatase and tensin homolog</t>
  </si>
  <si>
    <t>ENSMUSG00000055538</t>
  </si>
  <si>
    <t>zinc finger, CCHC domain containing 24</t>
  </si>
  <si>
    <t>ENSMUSG00000025362</t>
  </si>
  <si>
    <t>ribosomal protein S26</t>
  </si>
  <si>
    <t>ENSMUSG00000024012</t>
  </si>
  <si>
    <t>mitochondrial carrier 1</t>
  </si>
  <si>
    <t>ENSMUSG00000019837</t>
  </si>
  <si>
    <t>general transcription factor IIIC, polypeptide 6, alpha</t>
  </si>
  <si>
    <t>ENSMUSG00000027070</t>
  </si>
  <si>
    <t>low density lipoprotein receptor-related protein 2</t>
  </si>
  <si>
    <t>ENSMUSG00000041355</t>
  </si>
  <si>
    <t>signal sequence receptor, beta</t>
  </si>
  <si>
    <t>ENSMUSG00000032739</t>
  </si>
  <si>
    <t>PML-RAR alpha-regulated adaptor molecule 1</t>
  </si>
  <si>
    <t>ENSMUSG00000053545</t>
  </si>
  <si>
    <t>RIKEN cDNA 6430503K07 gene</t>
  </si>
  <si>
    <t>ENSMUSG00000024924</t>
  </si>
  <si>
    <t>very low density lipoprotein receptor</t>
  </si>
  <si>
    <t>ENSMUSG00000045275</t>
  </si>
  <si>
    <t>Leber congenital amaurosis 5-like</t>
  </si>
  <si>
    <t>ENSMUSG00000053550</t>
  </si>
  <si>
    <t>shisa family member 7</t>
  </si>
  <si>
    <t>ENSMUSG00000026664</t>
  </si>
  <si>
    <t>phytanoyl-CoA hydroxylase</t>
  </si>
  <si>
    <t>ENSMUSG00000110206</t>
  </si>
  <si>
    <t>FMS-like tyrosine kinase 3 ligand</t>
  </si>
  <si>
    <t>ENSMUSG00000048732</t>
  </si>
  <si>
    <t>kelch-like 11</t>
  </si>
  <si>
    <t>ENSMUSG00000019256</t>
  </si>
  <si>
    <t>aryl-hydrocarbon receptor</t>
  </si>
  <si>
    <t>ENSMUSG00000043311</t>
  </si>
  <si>
    <t>DNA segment, Chr 17, human D6S53E</t>
  </si>
  <si>
    <t>ENSMUSG00000037820</t>
  </si>
  <si>
    <t>transglutaminase 2, C polypeptide</t>
  </si>
  <si>
    <t>ENSMUSG00000055305</t>
  </si>
  <si>
    <t>zinc finger protein 93</t>
  </si>
  <si>
    <t>ENSMUSG00000010047</t>
  </si>
  <si>
    <t>hyaluronoglucosaminidase 2</t>
  </si>
  <si>
    <t>ENSMUSG00000026532</t>
  </si>
  <si>
    <t>spectrin alpha, erythrocytic 1</t>
  </si>
  <si>
    <t>ENSMUSG00000062202</t>
  </si>
  <si>
    <t>BTB (POZ) domain containing 9</t>
  </si>
  <si>
    <t>ENSMUSG00000086999</t>
  </si>
  <si>
    <t>breast carcinoma amplified sequence 1, opposite strand 2</t>
  </si>
  <si>
    <t>ENSMUSG00000025020</t>
  </si>
  <si>
    <t>slit homolog 1 (Drosophila)</t>
  </si>
  <si>
    <t>ENSMUSG00000045039</t>
  </si>
  <si>
    <t>multiple EGF-like-domains 8</t>
  </si>
  <si>
    <t>ENSMUSG00000049357</t>
  </si>
  <si>
    <t>RIKEN cDNA 4933408B17 gene</t>
  </si>
  <si>
    <t>ENSMUSG00000032212</t>
  </si>
  <si>
    <t>SAFB-like, transcription modulator</t>
  </si>
  <si>
    <t>ENSMUSG00000026778</t>
  </si>
  <si>
    <t>protein kinase C, theta</t>
  </si>
  <si>
    <t>ENSMUSG00000022103</t>
  </si>
  <si>
    <t>glial cell line derived neurotrophic factor family receptor alpha 2</t>
  </si>
  <si>
    <t>ENSMUSG00000021466</t>
  </si>
  <si>
    <t>patched 1</t>
  </si>
  <si>
    <t>ENSMUSG00000041763</t>
  </si>
  <si>
    <t>tripeptidyl peptidase II</t>
  </si>
  <si>
    <t>ENSMUSG00000041406</t>
  </si>
  <si>
    <t>cDNA sequence BC055324</t>
  </si>
  <si>
    <t>ENSMUSG00000025154</t>
  </si>
  <si>
    <t>Rho GTPase activating protein 19</t>
  </si>
  <si>
    <t>ENSMUSG00000029178</t>
  </si>
  <si>
    <t>Kruppel-like factor 3 (basic)</t>
  </si>
  <si>
    <t>ENSMUSG00000021238</t>
  </si>
  <si>
    <t>aldehyde dehydrogenase family 6, subfamily A1</t>
  </si>
  <si>
    <t>ENSMUSG00000002102</t>
  </si>
  <si>
    <t>proteasome (prosome, macropain) 26S subunit, ATPase 3</t>
  </si>
  <si>
    <t>ENSMUSG00000051515</t>
  </si>
  <si>
    <t>family with sequence similarity 181, member B</t>
  </si>
  <si>
    <t>ENSMUSG00000031827</t>
  </si>
  <si>
    <t>coactosin-like 1 (Dictyostelium)</t>
  </si>
  <si>
    <t>ENSMUSG00000035576</t>
  </si>
  <si>
    <t>l(3)mbt-like (Drosophila)</t>
  </si>
  <si>
    <t>ENSMUSG00000037499</t>
  </si>
  <si>
    <t>neuron derived neurotrophic factor</t>
  </si>
  <si>
    <t>ENSMUSG00000058446</t>
  </si>
  <si>
    <t>zinc and ring finger 2</t>
  </si>
  <si>
    <t>ENSMUSG00000035790</t>
  </si>
  <si>
    <t>centrosomal protein 19</t>
  </si>
  <si>
    <t>ENSMUSG00000034620</t>
  </si>
  <si>
    <t>transmembrane protein 5</t>
  </si>
  <si>
    <t>ENSMUSG00000089715</t>
  </si>
  <si>
    <t>chromobox 6</t>
  </si>
  <si>
    <t>ENSMUSG00000032883</t>
  </si>
  <si>
    <t>acyl-CoA synthetase long-chain family member 3</t>
  </si>
  <si>
    <t>ENSMUSG00000024548</t>
  </si>
  <si>
    <t>SET binding protein 1</t>
  </si>
  <si>
    <t>ENSMUSG00000004105</t>
  </si>
  <si>
    <t>angiopoietin-like 2</t>
  </si>
  <si>
    <t>ENSMUSG00000061778</t>
  </si>
  <si>
    <t>motile sperm domain containing 2</t>
  </si>
  <si>
    <t>ENSMUSG00000019734</t>
  </si>
  <si>
    <t>transmembrane channel-like gene family 4</t>
  </si>
  <si>
    <t>ENSMUSG00000024187</t>
  </si>
  <si>
    <t>family with sequence similarity 234, member A</t>
  </si>
  <si>
    <t>ENSMUSG00000089704</t>
  </si>
  <si>
    <t>UDP-N-acetyl-alpha-D-galactosamine:polypeptide N-acetylgalactosaminyltransferase 2</t>
  </si>
  <si>
    <t>ENSMUSG00000027184</t>
  </si>
  <si>
    <t>cell cycle associated protein 1</t>
  </si>
  <si>
    <t>ENSMUSG00000030844</t>
  </si>
  <si>
    <t>regulator of G-protein signalling 10</t>
  </si>
  <si>
    <t>ENSMUSG00000026393</t>
  </si>
  <si>
    <t>NIMA (never in mitosis gene a)-related expressed kinase 7</t>
  </si>
  <si>
    <t>ENSMUSG00000026021</t>
  </si>
  <si>
    <t>small ubiquitin-like modifier 1</t>
  </si>
  <si>
    <t>ENSMUSG00000034402</t>
  </si>
  <si>
    <t>potassium voltage-gated channel, subfamily H (eag-related), member 5</t>
  </si>
  <si>
    <t>ENSMUSG00000034152</t>
  </si>
  <si>
    <t>exocyst complex component 3</t>
  </si>
  <si>
    <t>ENSMUSG00000024242</t>
  </si>
  <si>
    <t>mitogen-activated protein kinase kinase kinase kinase 3</t>
  </si>
  <si>
    <t>ENSMUSG00000025239</t>
  </si>
  <si>
    <t>LIM domains containing 1</t>
  </si>
  <si>
    <t>ENSMUSG00000032101</t>
  </si>
  <si>
    <t>DEAD (Asp-Glu-Ala-Asp) box polypeptide 25</t>
  </si>
  <si>
    <t>ENSMUSG00000039531</t>
  </si>
  <si>
    <t>zinc finger with UFM1-specific peptidase domain</t>
  </si>
  <si>
    <t>ENSMUSG00000032412</t>
  </si>
  <si>
    <t>ATPase, Na+/K+ transporting, beta 3 polypeptide</t>
  </si>
  <si>
    <t>ENSMUSG00000047675</t>
  </si>
  <si>
    <t>ribosomal protein S8</t>
  </si>
  <si>
    <t>ENSMUSG00000050627</t>
  </si>
  <si>
    <t>glycerol-3-phosphate dehydrogenase 1-like</t>
  </si>
  <si>
    <t>ENSMUSG00000009894</t>
  </si>
  <si>
    <t>synaptosomal-associated protein, 47</t>
  </si>
  <si>
    <t>ENSMUSG00000032796</t>
  </si>
  <si>
    <t>laminin, alpha 1</t>
  </si>
  <si>
    <t>ENSMUSG00000027555</t>
  </si>
  <si>
    <t>carbonic anhydrase 13</t>
  </si>
  <si>
    <t>ENSMUSG00000028423</t>
  </si>
  <si>
    <t>nuclear transcription factor, X-box binding 1</t>
  </si>
  <si>
    <t>ENSMUSG00000021037</t>
  </si>
  <si>
    <t>AHA1, activator of heat shock protein ATPase 1</t>
  </si>
  <si>
    <t>ENSMUSG00000002222</t>
  </si>
  <si>
    <t>required for meiotic nuclear division 5 homolog A</t>
  </si>
  <si>
    <t>ENSMUSG00000032477</t>
  </si>
  <si>
    <t>cell division cycle 25A</t>
  </si>
  <si>
    <t>ENSMUSG00000060568</t>
  </si>
  <si>
    <t>family with sequence similarity 78, member B</t>
  </si>
  <si>
    <t>ENSMUSG00000016995</t>
  </si>
  <si>
    <t>matrilin 4</t>
  </si>
  <si>
    <t>ENSMUSG00000086484</t>
  </si>
  <si>
    <t>non-protein coding RNA, repressor of NFAT</t>
  </si>
  <si>
    <t>ENSMUSG00000054619</t>
  </si>
  <si>
    <t>methyltransferase like 7A1</t>
  </si>
  <si>
    <t>ENSMUSG00000099689</t>
  </si>
  <si>
    <t>zinc finger protein 383</t>
  </si>
  <si>
    <t>ENSMUSG00000028107</t>
  </si>
  <si>
    <t>threonyl-tRNA synthetase 2, mitochondrial (putative)</t>
  </si>
  <si>
    <t>ENSMUSG00000039844</t>
  </si>
  <si>
    <t>Rap guanine nucleotide exchange factor (GEF) 1</t>
  </si>
  <si>
    <t>ENSMUSG00000023072</t>
  </si>
  <si>
    <t>centrosomal protein 89</t>
  </si>
  <si>
    <t>ENSMUSG00000022757</t>
  </si>
  <si>
    <t>Trk-fused gene</t>
  </si>
  <si>
    <t>ENSMUSG00000029012</t>
  </si>
  <si>
    <t>origin recognition complex, subunit 5</t>
  </si>
  <si>
    <t>ENSMUSG00000020272</t>
  </si>
  <si>
    <t>serine/threonine kinase 10</t>
  </si>
  <si>
    <t>ENSMUSG00000001864</t>
  </si>
  <si>
    <t>allograft inflammatory factor 1-like</t>
  </si>
  <si>
    <t>ENSMUSG00000003233</t>
  </si>
  <si>
    <t>dishevelled segment polarity protein 3</t>
  </si>
  <si>
    <t>ENSMUSG00000029664</t>
  </si>
  <si>
    <t>tissue factor pathway inhibitor 2</t>
  </si>
  <si>
    <t>ENSMUSG00000003378</t>
  </si>
  <si>
    <t>glutamate receptor, ionotropic, kainate 5 (gamma 2)</t>
  </si>
  <si>
    <t>ENSMUSG00000037361</t>
  </si>
  <si>
    <t>splicing factor 3B, subunit 6</t>
  </si>
  <si>
    <t>ENSMUSG00000059149</t>
  </si>
  <si>
    <t>major facilitator superfamily domain containing 4A</t>
  </si>
  <si>
    <t>ENSMUSG00000030824</t>
  </si>
  <si>
    <t>nucleobindin 1</t>
  </si>
  <si>
    <t>ENSMUSG00000024833</t>
  </si>
  <si>
    <t>polymerase (DNA directed), alpha 2</t>
  </si>
  <si>
    <t>ENSMUSG00000084984</t>
  </si>
  <si>
    <t>fatty acyl CoA reductase 1, opposite strand</t>
  </si>
  <si>
    <t>ENSMUSG00000010660</t>
  </si>
  <si>
    <t>phospholipase C, delta 1</t>
  </si>
  <si>
    <t>ENSMUSG00000028637</t>
  </si>
  <si>
    <t>coiled-coil domain containing 30</t>
  </si>
  <si>
    <t>ENSMUSG00000005774</t>
  </si>
  <si>
    <t>regulatory factor X, 5 (influences HLA class II expression)</t>
  </si>
  <si>
    <t>ENSMUSG00000031290</t>
  </si>
  <si>
    <t>leucine-rich repeats and calponin homology (CH) domain containing 2</t>
  </si>
  <si>
    <t>ENSMUSG00000021265</t>
  </si>
  <si>
    <t>solute carrier family 25 (mitochondrial carrier, palmitoylcarnitine transporter), member 29</t>
  </si>
  <si>
    <t>ENSMUSG00000029672</t>
  </si>
  <si>
    <t>family with sequence similarity 3, member C</t>
  </si>
  <si>
    <t>ENSMUSG00000045411</t>
  </si>
  <si>
    <t>RIKEN cDNA 2410002F23 gene</t>
  </si>
  <si>
    <t>ENSMUSG00000019373</t>
  </si>
  <si>
    <t>COP9 signalosome subunit 3</t>
  </si>
  <si>
    <t>ENSMUSG00000026204</t>
  </si>
  <si>
    <t>protein tyrosine phosphatase, receptor type, N</t>
  </si>
  <si>
    <t>ENSMUSG00000025574</t>
  </si>
  <si>
    <t>thymidine kinase 1</t>
  </si>
  <si>
    <t>ENSMUSG00000039828</t>
  </si>
  <si>
    <t>WD repeat domain 70</t>
  </si>
  <si>
    <t>ENSMUSG00000052031</t>
  </si>
  <si>
    <t>T cell activation GTPase activating protein 1</t>
  </si>
  <si>
    <t>ENSMUSG00000039016</t>
  </si>
  <si>
    <t>translocase of inner mitochondrial membrane 8B</t>
  </si>
  <si>
    <t>ENSMUSG00000020599</t>
  </si>
  <si>
    <t>regulator of G-protein signaling 9</t>
  </si>
  <si>
    <t>ENSMUSG00000046191</t>
  </si>
  <si>
    <t>protocadherin beta 20</t>
  </si>
  <si>
    <t>ENSMUSG00000091264</t>
  </si>
  <si>
    <t>small integral membrane protein 13</t>
  </si>
  <si>
    <t>ENSMUSG00000038417</t>
  </si>
  <si>
    <t>FIG4 phosphoinositide 5-phosphatase</t>
  </si>
  <si>
    <t>ENSMUSG00000031954</t>
  </si>
  <si>
    <t>craniofacial development protein 1</t>
  </si>
  <si>
    <t>ENSMUSG00000087396</t>
  </si>
  <si>
    <t>RIKEN cDNA 4933407K13 gene</t>
  </si>
  <si>
    <t>ENSMUSG00000046556</t>
  </si>
  <si>
    <t>zinc finger protein 319</t>
  </si>
  <si>
    <t>ENSMUSG00000031834</t>
  </si>
  <si>
    <t>phosphatidylinositol 3-kinase, regulatory subunit, polypeptide 2 (p85 beta)</t>
  </si>
  <si>
    <t>ENSMUSG00000055717</t>
  </si>
  <si>
    <t>SLAIN motif family, member 1</t>
  </si>
  <si>
    <t>ENSMUSG00000000266</t>
  </si>
  <si>
    <t>midline 2</t>
  </si>
  <si>
    <t>ENSMUSG00000021311</t>
  </si>
  <si>
    <t>5-methyltetrahydrofolate-homocysteine methyltransferase</t>
  </si>
  <si>
    <t>ENSMUSG00000036199</t>
  </si>
  <si>
    <t>NADH dehydrogenase (ubiquinone) 1 alpha subcomplex, 13</t>
  </si>
  <si>
    <t>ENSMUSG00000036644</t>
  </si>
  <si>
    <t>TBC1 domain family, member 9B</t>
  </si>
  <si>
    <t>ENSMUSG00000031095</t>
  </si>
  <si>
    <t>cullin 4B</t>
  </si>
  <si>
    <t>ENSMUSG00000040829</t>
  </si>
  <si>
    <t>zinc finger, MYND-type containing 15</t>
  </si>
  <si>
    <t>ENSMUSG00000027247</t>
  </si>
  <si>
    <t>Rho GTPase activating protein 1</t>
  </si>
  <si>
    <t>ENSMUSG00000020823</t>
  </si>
  <si>
    <t>SEC14-like lipid binding 1</t>
  </si>
  <si>
    <t>ENSMUSG00000029863</t>
  </si>
  <si>
    <t>caspase 2</t>
  </si>
  <si>
    <t>ENSMUSG00000035139</t>
  </si>
  <si>
    <t>SECIS binding protein 2</t>
  </si>
  <si>
    <t>ENSMUSG00000036138</t>
  </si>
  <si>
    <t>acetyl-Coenzyme A acyltransferase 1A</t>
  </si>
  <si>
    <t>ENSMUSG00000026727</t>
  </si>
  <si>
    <t>Ras suppressor protein 1</t>
  </si>
  <si>
    <t>ENSMUSG00000015970</t>
  </si>
  <si>
    <t>choline dehydrogenase</t>
  </si>
  <si>
    <t>ENSMUSG00000026764</t>
  </si>
  <si>
    <t>kinesin family member 5C</t>
  </si>
  <si>
    <t>ENSMUSG00000070354</t>
  </si>
  <si>
    <t>predicted gene 21975</t>
  </si>
  <si>
    <t>ENSMUSG00000026028</t>
  </si>
  <si>
    <t>trafficking protein, kinesin binding 2</t>
  </si>
  <si>
    <t>ENSMUSG00000037062</t>
  </si>
  <si>
    <t>SH3-domain GRB2-like B1 (endophilin)</t>
  </si>
  <si>
    <t>ENSMUSG00000031701</t>
  </si>
  <si>
    <t>DnaJ heat shock protein family (Hsp40) member A2</t>
  </si>
  <si>
    <t>ENSMUSG00000050545</t>
  </si>
  <si>
    <t>family with sequence similarity 228, member B</t>
  </si>
  <si>
    <t>ENSMUSG00000032479</t>
  </si>
  <si>
    <t>microtubule-associated protein 4</t>
  </si>
  <si>
    <t>ENSMUSG00000032002</t>
  </si>
  <si>
    <t>DCN1, defective in cullin neddylation 1, domain containing 5 (S. cerevisiae)</t>
  </si>
  <si>
    <t>ENSMUSG00000019054</t>
  </si>
  <si>
    <t>fission, mitochondrial 1</t>
  </si>
  <si>
    <t>ENSMUSG00000021578</t>
  </si>
  <si>
    <t>coiled-coil domain containing 127</t>
  </si>
  <si>
    <t>ENSMUSG00000006736</t>
  </si>
  <si>
    <t>tetraspanin 31</t>
  </si>
  <si>
    <t>ENSMUSG00000018433</t>
  </si>
  <si>
    <t>nucleolar protein 11</t>
  </si>
  <si>
    <t>ENSMUSG00000039167</t>
  </si>
  <si>
    <t>adhesion G protein-coupled receptor L4</t>
  </si>
  <si>
    <t>ENSMUSG00000030770</t>
  </si>
  <si>
    <t>parvin, alpha</t>
  </si>
  <si>
    <t>ENSMUSG00000095567</t>
  </si>
  <si>
    <t>NOC2 like nucleolar associated transcriptional repressor</t>
  </si>
  <si>
    <t>ENSMUSG00000038181</t>
  </si>
  <si>
    <t>chondroitin polymerizing factor 2</t>
  </si>
  <si>
    <t>ENSMUSG00000025269</t>
  </si>
  <si>
    <t>apurinic/apyrimidinic endonuclease 2</t>
  </si>
  <si>
    <t>ENSMUSG00000044927</t>
  </si>
  <si>
    <t>H1 histone family, member X</t>
  </si>
  <si>
    <t>ENSMUSG00000041278</t>
  </si>
  <si>
    <t>tetratricopeptide repeat domain 1</t>
  </si>
  <si>
    <t>ENSMUSG00000062761</t>
  </si>
  <si>
    <t>zinc finger protein 512</t>
  </si>
  <si>
    <t>ENSMUSG00000035704</t>
  </si>
  <si>
    <t>asparagine-linked glycosylation 8 (alpha-1,3-glucosyltransferase)</t>
  </si>
  <si>
    <t>ENSMUSG00000040374</t>
  </si>
  <si>
    <t>peroxisomal biogenesis factor 2</t>
  </si>
  <si>
    <t>ENSMUSG00000031557</t>
  </si>
  <si>
    <t>pleckstrin homology domain-containing, family A (phosphoinositide binding specific) member 2</t>
  </si>
  <si>
    <t>ENSMUSG00000001380</t>
  </si>
  <si>
    <t>histidyl-tRNA synthetase</t>
  </si>
  <si>
    <t>ENSMUSG00000032301</t>
  </si>
  <si>
    <t>proteasome (prosome, macropain) subunit, alpha type 4</t>
  </si>
  <si>
    <t>ENSMUSG00000025889</t>
  </si>
  <si>
    <t>synuclein, alpha</t>
  </si>
  <si>
    <t>ENSMUSG00000017376</t>
  </si>
  <si>
    <t>nemo like kinase</t>
  </si>
  <si>
    <t>ENSMUSG00000051351</t>
  </si>
  <si>
    <t>zinc finger protein 46</t>
  </si>
  <si>
    <t>ENSMUSG00000028453</t>
  </si>
  <si>
    <t>Fanconi anemia, complementation group G</t>
  </si>
  <si>
    <t>ENSMUSG00000026879</t>
  </si>
  <si>
    <t>gelsolin</t>
  </si>
  <si>
    <t>ENSMUSG00000048483</t>
  </si>
  <si>
    <t>zinc finger, DHHC-type containing 22</t>
  </si>
  <si>
    <t>ENSMUSG00000020802</t>
  </si>
  <si>
    <t>ubiquitin-conjugating enzyme E2O</t>
  </si>
  <si>
    <t>ENSMUSG00000001281</t>
  </si>
  <si>
    <t>integrin beta 7</t>
  </si>
  <si>
    <t>ENSMUSG00000048922</t>
  </si>
  <si>
    <t>cell division cycle associated 2</t>
  </si>
  <si>
    <t>ENSMUSG00000027800</t>
  </si>
  <si>
    <t>transmembrane 4 superfamily member 1</t>
  </si>
  <si>
    <t>ENSMUSG00000032175</t>
  </si>
  <si>
    <t>tyrosine kinase 2</t>
  </si>
  <si>
    <t>ENSMUSG00000030727</t>
  </si>
  <si>
    <t>rabaptin, RAB GTPase binding effector protein 2</t>
  </si>
  <si>
    <t>ENSMUSG00000039994</t>
  </si>
  <si>
    <t>timeless circadian clock 1</t>
  </si>
  <si>
    <t>ENSMUSG00000040007</t>
  </si>
  <si>
    <t>bromo adjacent homology domain containing 1</t>
  </si>
  <si>
    <t>ENSMUSG00000090862</t>
  </si>
  <si>
    <t>ribosomal protein S13</t>
  </si>
  <si>
    <t>ENSMUSG00000032512</t>
  </si>
  <si>
    <t>WD repeat domain 48</t>
  </si>
  <si>
    <t>ENSMUSG00000024781</t>
  </si>
  <si>
    <t>lysosomal acid lipase A</t>
  </si>
  <si>
    <t>ENSMUSG00000024525</t>
  </si>
  <si>
    <t>inositol (myo)-1(or 4)-monophosphatase 2</t>
  </si>
  <si>
    <t>ENSMUSG00000047557</t>
  </si>
  <si>
    <t>latexin</t>
  </si>
  <si>
    <t>ENSMUSG00000030779</t>
  </si>
  <si>
    <t>retinoblastoma binding protein 6</t>
  </si>
  <si>
    <t>ENSMUSG00000022436</t>
  </si>
  <si>
    <t>pyridoxal (pyridoxine, vitamin B6) phosphatase</t>
  </si>
  <si>
    <t>SH3-domain binding protein 1</t>
  </si>
  <si>
    <t>ENSMUSG00000057396</t>
  </si>
  <si>
    <t>zinc finger protein 759</t>
  </si>
  <si>
    <t>ENSMUSG00000001131</t>
  </si>
  <si>
    <t>tissue inhibitor of metalloproteinase 1</t>
  </si>
  <si>
    <t>ENSMUSG00000023206</t>
  </si>
  <si>
    <t>interleukin 15 receptor, alpha chain</t>
  </si>
  <si>
    <t>ENSMUSG00000014956</t>
  </si>
  <si>
    <t>protein phosphatase 1, catalytic subunit, beta isoform</t>
  </si>
  <si>
    <t>ENSMUSG00000020037</t>
  </si>
  <si>
    <t>regulatory factor X, 4 (influences HLA class II expression)</t>
  </si>
  <si>
    <t>ENSMUSG00000030701</t>
  </si>
  <si>
    <t>pleckstrin homology domain containing, family B (evectins) member 1</t>
  </si>
  <si>
    <t>ENSMUSG00000040760</t>
  </si>
  <si>
    <t>adaptor protein, phosphotyrosine interaction, PH domain and leucine zipper containing 1</t>
  </si>
  <si>
    <t>ENSMUSG00000020664</t>
  </si>
  <si>
    <t>dihydrolipoamide dehydrogenase</t>
  </si>
  <si>
    <t>ENSMUSG00000032757</t>
  </si>
  <si>
    <t>Bet1 golgi vesicular membrane trafficking protein</t>
  </si>
  <si>
    <t>ENSMUSG00000027088</t>
  </si>
  <si>
    <t>phosphatase, orphan 2</t>
  </si>
  <si>
    <t>ENSMUSG00000029388</t>
  </si>
  <si>
    <t>eukaryotic translation initiation factor 2B, subunit 1 (alpha)</t>
  </si>
  <si>
    <t>ENSMUSG00000041936</t>
  </si>
  <si>
    <t>agrin</t>
  </si>
  <si>
    <t>ENSMUSG00000021068</t>
  </si>
  <si>
    <t>ninein</t>
  </si>
  <si>
    <t>ENSMUSG00000026317</t>
  </si>
  <si>
    <t>ceroid-lipofuscinosis, neuronal 8</t>
  </si>
  <si>
    <t>ENSMUSG00000063362</t>
  </si>
  <si>
    <t>asparagine-linked glycosylation 11 (alpha-1,2-mannosyltransferase)</t>
  </si>
  <si>
    <t>ENSMUSG00000041881</t>
  </si>
  <si>
    <t>NADH dehydrogenase (ubiquinone) 1 alpha subcomplex, 7 (B14.5a)</t>
  </si>
  <si>
    <t>ENSMUSG00000044030</t>
  </si>
  <si>
    <t>interferon regulatory factor 2 binding protein 1</t>
  </si>
  <si>
    <t>ENSMUSG00000048347</t>
  </si>
  <si>
    <t>protocadherin beta 18</t>
  </si>
  <si>
    <t>ENSMUSG00000042105</t>
  </si>
  <si>
    <t>inositol polyphosphate-5-phosphatase F</t>
  </si>
  <si>
    <t>ENSMUSG00000026849</t>
  </si>
  <si>
    <t>torsin family 1, member A (torsin A)</t>
  </si>
  <si>
    <t>ENSMUSG00000021611</t>
  </si>
  <si>
    <t>telomerase reverse transcriptase</t>
  </si>
  <si>
    <t>ENSMUSG00000024403</t>
  </si>
  <si>
    <t>ATPase, H+ transporting, lysosomal V1 subunit G2</t>
  </si>
  <si>
    <t>ENSMUSG00000024561</t>
  </si>
  <si>
    <t>methyl-CpG binding domain protein 1</t>
  </si>
  <si>
    <t>ENSMUSG00000073489</t>
  </si>
  <si>
    <t>interferon activated gene 204</t>
  </si>
  <si>
    <t>ENSMUSG00000049086</t>
  </si>
  <si>
    <t>brain expressed myelocytomatosis oncogene</t>
  </si>
  <si>
    <t>ENSMUSG00000022125</t>
  </si>
  <si>
    <t>ceroid-lipofuscinosis, neuronal 5</t>
  </si>
  <si>
    <t>ENSMUSG00000032024</t>
  </si>
  <si>
    <t>CXADR-like membrane protein</t>
  </si>
  <si>
    <t>ENSMUSG00000031327</t>
  </si>
  <si>
    <t>cysteine-rich hydrophobic domain 1</t>
  </si>
  <si>
    <t>ENSMUSG00000023353</t>
  </si>
  <si>
    <t>ArfGAP with GTPase domain, ankyrin repeat and PH domain 3</t>
  </si>
  <si>
    <t>ENSMUSG00000041187</t>
  </si>
  <si>
    <t>protein kinase D2</t>
  </si>
  <si>
    <t>ENSMUSG00000047045</t>
  </si>
  <si>
    <t>transmembrane protein 164</t>
  </si>
  <si>
    <t>ENSMUSG00000026842</t>
  </si>
  <si>
    <t>c-abl oncogene 1, non-receptor tyrosine kinase</t>
  </si>
  <si>
    <t>ENSMUSG00000013822</t>
  </si>
  <si>
    <t>ELF1 homolog, elongation factor 1</t>
  </si>
  <si>
    <t>ENSMUSG00000042570</t>
  </si>
  <si>
    <t>MIER family member 2</t>
  </si>
  <si>
    <t>ENSMUSG00000023912</t>
  </si>
  <si>
    <t>solute carrier family 25, member 27</t>
  </si>
  <si>
    <t>ENSMUSG00000044080</t>
  </si>
  <si>
    <t>S100 calcium binding protein A1</t>
  </si>
  <si>
    <t>ENSMUSG00000017132</t>
  </si>
  <si>
    <t>cytohesin 1</t>
  </si>
  <si>
    <t>ENSMUSG00000066278</t>
  </si>
  <si>
    <t>vacuolar protein sorting 37B</t>
  </si>
  <si>
    <t>ENSMUSG00000059213</t>
  </si>
  <si>
    <t>dendrin</t>
  </si>
  <si>
    <t>ENSMUSG00000058392</t>
  </si>
  <si>
    <t>ribosomal RNA processing 1 homolog B (S. cerevisiae)</t>
  </si>
  <si>
    <t>ENSMUSG00000041596</t>
  </si>
  <si>
    <t>NLR family, pyrin domain containing 5, pseudogene</t>
  </si>
  <si>
    <t>ENSMUSG00000019978</t>
  </si>
  <si>
    <t>erythrocyte membrane protein band 4.1 like 2</t>
  </si>
  <si>
    <t>ENSMUSG00000054115</t>
  </si>
  <si>
    <t>S-phase kinase-associated protein 2 (p45)</t>
  </si>
  <si>
    <t>ENSMUSG00000028261</t>
  </si>
  <si>
    <t>NADH dehydrogenase (ubiquinone) 1 alpha subcomplex, assembly factor 4</t>
  </si>
  <si>
    <t>ENSMUSG00000044708</t>
  </si>
  <si>
    <t>potassium inwardly-rectifying channel, subfamily J, member 10</t>
  </si>
  <si>
    <t>ENSMUSG00000068196</t>
  </si>
  <si>
    <t>collagen, type VIII, alpha 1</t>
  </si>
  <si>
    <t>ENSMUSG00000001289</t>
  </si>
  <si>
    <t>prefoldin 5</t>
  </si>
  <si>
    <t>ENSMUSG00000030847</t>
  </si>
  <si>
    <t>BCL2-associated athanogene 3</t>
  </si>
  <si>
    <t>ENSMUSG00000021810</t>
  </si>
  <si>
    <t>ecdysoneless homolog (Drosophila)</t>
  </si>
  <si>
    <t>ENSMUSG00000022946</t>
  </si>
  <si>
    <t>dopey family member 2</t>
  </si>
  <si>
    <t>ENSMUSG00000072082</t>
  </si>
  <si>
    <t>cyclin F</t>
  </si>
  <si>
    <t>ENSMUSG00000013539</t>
  </si>
  <si>
    <t>transport and golgi organization 2</t>
  </si>
  <si>
    <t>ENSMUSG00000028035</t>
  </si>
  <si>
    <t>DnaJ heat shock protein family (Hsp40) member B4</t>
  </si>
  <si>
    <t>ENSMUSG00000022663</t>
  </si>
  <si>
    <t>autophagy related 3</t>
  </si>
  <si>
    <t>ENSMUSG00000039270</t>
  </si>
  <si>
    <t>multiple EGF-like-domains 9</t>
  </si>
  <si>
    <t>ENSMUSG00000047789</t>
  </si>
  <si>
    <t>solute carrier family 38, member 9</t>
  </si>
  <si>
    <t>ENSMUSG00000024871</t>
  </si>
  <si>
    <t>double C2, gamma</t>
  </si>
  <si>
    <t>ENSMUSG00000045636</t>
  </si>
  <si>
    <t>mitochondrial tumor suppressor 1</t>
  </si>
  <si>
    <t>ENSMUSG00000025232</t>
  </si>
  <si>
    <t>hexosaminidase A</t>
  </si>
  <si>
    <t>ENSMUSG00000021039</t>
  </si>
  <si>
    <t>SNW domain containing 1</t>
  </si>
  <si>
    <t>ENSMUSG00000002814</t>
  </si>
  <si>
    <t>topoisomerase (DNA) III alpha</t>
  </si>
  <si>
    <t>ENSMUSG00000030224</t>
  </si>
  <si>
    <t>serine/threonine kinase receptor associated protein</t>
  </si>
  <si>
    <t>ENSMUSG00000098318</t>
  </si>
  <si>
    <t>lncRNA downstream of Cdkn1b</t>
  </si>
  <si>
    <t>ENSMUSG00000063430</t>
  </si>
  <si>
    <t>WSC domain containing 2</t>
  </si>
  <si>
    <t>ENSMUSG00000059119</t>
  </si>
  <si>
    <t>nucleosome assembly protein 1-like 4</t>
  </si>
  <si>
    <t>ENSMUSG00000027840</t>
  </si>
  <si>
    <t>wingless-type MMTV integration site family, member 2B</t>
  </si>
  <si>
    <t>ENSMUSG00000026043</t>
  </si>
  <si>
    <t>collagen, type III, alpha 1</t>
  </si>
  <si>
    <t>ENSMUSG00000028211</t>
  </si>
  <si>
    <t>transformation related protein 53 inducible nuclear protein 1</t>
  </si>
  <si>
    <t>ENSMUSG00000033685</t>
  </si>
  <si>
    <t>uncoupling protein 2 (mitochondrial, proton carrier)</t>
  </si>
  <si>
    <t>ENSMUSG00000059208</t>
  </si>
  <si>
    <t>heterogeneous nuclear ribonucleoprotein M</t>
  </si>
  <si>
    <t>ENSMUSG00000027951</t>
  </si>
  <si>
    <t>adenosine deaminase, RNA-specific</t>
  </si>
  <si>
    <t>ENSMUSG00000038982</t>
  </si>
  <si>
    <t>biogenesis of lysosomal organelles complex-1, subunit 5, muted</t>
  </si>
  <si>
    <t>ENSMUSG00000015002</t>
  </si>
  <si>
    <t>EFR3 homolog A</t>
  </si>
  <si>
    <t>ENSMUSG00000092988</t>
  </si>
  <si>
    <t>microRNA 3093</t>
  </si>
  <si>
    <t>ENSMUSG00000027678</t>
  </si>
  <si>
    <t>nuclear receptor coactivator 3</t>
  </si>
  <si>
    <t>ENSMUSG00000085667</t>
  </si>
  <si>
    <t>predicted gene 12992</t>
  </si>
  <si>
    <t>ENSMUSG00000024588</t>
  </si>
  <si>
    <t>ferrochelatase</t>
  </si>
  <si>
    <t>ENSMUSG00000074264</t>
  </si>
  <si>
    <t>amylase 1, salivary</t>
  </si>
  <si>
    <t>ENSMUSG00000036242</t>
  </si>
  <si>
    <t>RIKEN cDNA 3632451O06 gene</t>
  </si>
  <si>
    <t>ENSMUSG00000074607</t>
  </si>
  <si>
    <t>TOX high mobility group box family member 2</t>
  </si>
  <si>
    <t>ENSMUSG00000107002</t>
  </si>
  <si>
    <t>RIKEN cDNA 0610012G03 gene</t>
  </si>
  <si>
    <t>ENSMUSG00000045672</t>
  </si>
  <si>
    <t>collagen, type XXVII, alpha 1</t>
  </si>
  <si>
    <t>ENSMUSG00000042178</t>
  </si>
  <si>
    <t>armadillo repeat containing 5</t>
  </si>
  <si>
    <t>ENSMUSG00000021390</t>
  </si>
  <si>
    <t>osteoglycin</t>
  </si>
  <si>
    <t>ENSMUSG00000026824</t>
  </si>
  <si>
    <t>potassium inwardly-rectifying channel, subfamily J, member 3</t>
  </si>
  <si>
    <t>ENSMUSG00000042396</t>
  </si>
  <si>
    <t>RNA binding motif protein 7</t>
  </si>
  <si>
    <t>ENSMUSG00000042320</t>
  </si>
  <si>
    <t>prospero homeobox 2</t>
  </si>
  <si>
    <t>ENSMUSG00000039904</t>
  </si>
  <si>
    <t>G protein-coupled receptor 37</t>
  </si>
  <si>
    <t>ENSMUSG00000010392</t>
  </si>
  <si>
    <t>golgi SNAP receptor complex member 1</t>
  </si>
  <si>
    <t>ENSMUSG00000000056</t>
  </si>
  <si>
    <t>nuclear prelamin A recognition factor</t>
  </si>
  <si>
    <t>ENSMUSG00000002329</t>
  </si>
  <si>
    <t>magnesium-dependent phosphatase 1</t>
  </si>
  <si>
    <t>ENSMUSG00000004626</t>
  </si>
  <si>
    <t>syntaxin binding protein 2</t>
  </si>
  <si>
    <t>ENSMUSG00000042404</t>
  </si>
  <si>
    <t>DENN/MADD domain containing 4B</t>
  </si>
  <si>
    <t>ENSMUSG00000031482</t>
  </si>
  <si>
    <t>solute carrier family 25 (mitochondrial carrier ornithine transporter), member 15</t>
  </si>
  <si>
    <t>ENSMUSG00000032344</t>
  </si>
  <si>
    <t>Mab-21 domain containing 1</t>
  </si>
  <si>
    <t>ENSMUSG00000020524</t>
  </si>
  <si>
    <t>glutamate receptor, ionotropic, AMPA1 (alpha 1)</t>
  </si>
  <si>
    <t>ENSMUSG00000044952</t>
  </si>
  <si>
    <t>potassium channel tetramerisation domain containing 21</t>
  </si>
  <si>
    <t>ENSMUSG00000049775</t>
  </si>
  <si>
    <t>thymosin, beta 4, X chromosome</t>
  </si>
  <si>
    <t>ENSMUSG00000034163</t>
  </si>
  <si>
    <t>zinc finger, C3H1-type containing</t>
  </si>
  <si>
    <t>ENSMUSG00000022442</t>
  </si>
  <si>
    <t>tubulin tyrosine ligase-like 1</t>
  </si>
  <si>
    <t>ENSMUSG00000036450</t>
  </si>
  <si>
    <t>hypoxia-inducible factor 1, alpha subunit inhibitor</t>
  </si>
  <si>
    <t>ENSMUSG00000078681</t>
  </si>
  <si>
    <t>TM2 domain containing 3</t>
  </si>
  <si>
    <t>ENSMUSG00000036594</t>
  </si>
  <si>
    <t>histocompatibility 2, class II antigen A, alpha</t>
  </si>
  <si>
    <t>ENSMUSG00000021662</t>
  </si>
  <si>
    <t>Rho guanine nucleotide exchange factor (GEF) 28</t>
  </si>
  <si>
    <t>ENSMUSG00000066894</t>
  </si>
  <si>
    <t>V-set and immunoglobulin domain containing 10</t>
  </si>
  <si>
    <t>ENSMUSG00000022360</t>
  </si>
  <si>
    <t>ATPase family, AAA domain containing 2</t>
  </si>
  <si>
    <t>ENSMUSG00000018476</t>
  </si>
  <si>
    <t>KDM1 lysine (K)-specific demethylase 6B</t>
  </si>
  <si>
    <t>ENSMUSG00000017291</t>
  </si>
  <si>
    <t>TAO kinase 1</t>
  </si>
  <si>
    <t>ENSMUSG00000040822</t>
  </si>
  <si>
    <t>RIKEN cDNA 1700123O20 gene</t>
  </si>
  <si>
    <t>ENSMUSG00000025260</t>
  </si>
  <si>
    <t>hydroxysteroid (17-beta) dehydrogenase 10</t>
  </si>
  <si>
    <t>ENSMUSG00000005202</t>
  </si>
  <si>
    <t>sex hormone binding globulin</t>
  </si>
  <si>
    <t>ENSMUSG00000006800</t>
  </si>
  <si>
    <t>sulfatase 2</t>
  </si>
  <si>
    <t>ENSMUSG00000048022</t>
  </si>
  <si>
    <t>transmembrane protein 229A</t>
  </si>
  <si>
    <t>ENSMUSG00000021906</t>
  </si>
  <si>
    <t>oxidoreductase NAD-binding domain containing 1</t>
  </si>
  <si>
    <t>ENSMUSG00000039159</t>
  </si>
  <si>
    <t>ubiquitin-conjugating enzyme E2H</t>
  </si>
  <si>
    <t>ENSMUSG00000000563</t>
  </si>
  <si>
    <t>ATP synthase, H+ transporting, mitochondrial F0 complex, subunit B1</t>
  </si>
  <si>
    <t>ENSMUSG00000040253</t>
  </si>
  <si>
    <t>guanylate binding protein 7</t>
  </si>
  <si>
    <t>ENSMUSG00000004902</t>
  </si>
  <si>
    <t>solute carrier family 25 (mitochondrial carrier), member 18</t>
  </si>
  <si>
    <t>ENSMUSG00000051306</t>
  </si>
  <si>
    <t>ubiquitin specific peptidase 42</t>
  </si>
  <si>
    <t>ENSMUSG00000033454</t>
  </si>
  <si>
    <t>zinc finger and BTB domain containing 1</t>
  </si>
  <si>
    <t>ENSMUSG00000028795</t>
  </si>
  <si>
    <t>coiled coil domain containing 28B</t>
  </si>
  <si>
    <t>ENSMUSG00000023033</t>
  </si>
  <si>
    <t>sodium channel, voltage-gated, type VIII, alpha</t>
  </si>
  <si>
    <t>ENSMUSG00000089736</t>
  </si>
  <si>
    <t>transforming growth factor, beta receptor III-like</t>
  </si>
  <si>
    <t>ENSMUSG00000030493</t>
  </si>
  <si>
    <t>Fanconi anemia core complex associated protein 24</t>
  </si>
  <si>
    <t>ENSMUSG00000063659</t>
  </si>
  <si>
    <t>zinc finger and BTB domain containing 18</t>
  </si>
  <si>
    <t>ENSMUSG00000026176</t>
  </si>
  <si>
    <t>CTD (carboxy-terminal domain, RNA polymerase II, polypeptide A) small phosphatase 1</t>
  </si>
  <si>
    <t>ENSMUSG00000031706</t>
  </si>
  <si>
    <t>regulatory factor X, 1 (influences HLA class II expression)</t>
  </si>
  <si>
    <t>ENSMUSG00000015377</t>
  </si>
  <si>
    <t>DENN/MADD domain containing 6B</t>
  </si>
  <si>
    <t>ENSMUSG00000060882</t>
  </si>
  <si>
    <t>potassium voltage-gated channel, Shal-related family, member 2</t>
  </si>
  <si>
    <t>ENSMUSG00000029032</t>
  </si>
  <si>
    <t>Rho guanine nucleotide exchange factor (GEF) 16</t>
  </si>
  <si>
    <t>ENSMUSG00000027618</t>
  </si>
  <si>
    <t>nitrogen fixation gene 1 (S. cerevisiae)</t>
  </si>
  <si>
    <t>ENSMUSG00000038370</t>
  </si>
  <si>
    <t>Purkinje cell protein 4-like 1</t>
  </si>
  <si>
    <t>ENSMUSG00000032936</t>
  </si>
  <si>
    <t>CaM kinase-like vesicle-associated</t>
  </si>
  <si>
    <t>ENSMUSG00000023084</t>
  </si>
  <si>
    <t>leucine rich repeat containing 71</t>
  </si>
  <si>
    <t>ENSMUSG00000034177</t>
  </si>
  <si>
    <t>ring finger protein 43</t>
  </si>
  <si>
    <t>ENSMUSG00000027739</t>
  </si>
  <si>
    <t>RAB33B, member RAS oncogene family</t>
  </si>
  <si>
    <t>ENSMUSG00000004642</t>
  </si>
  <si>
    <t>stem-loop binding protein</t>
  </si>
  <si>
    <t>ENSMUSG00000039182</t>
  </si>
  <si>
    <t>expressed sequence AW209491</t>
  </si>
  <si>
    <t>ENSMUSG00000038437</t>
  </si>
  <si>
    <t>myeloid/lymphoid or mixed-lineage leukemia; translocated to, 6</t>
  </si>
  <si>
    <t>ENSMUSG00000026509</t>
  </si>
  <si>
    <t>calpain 2</t>
  </si>
  <si>
    <t>ENSMUSG00000011257</t>
  </si>
  <si>
    <t>poly(A) binding protein, cytoplasmic 4</t>
  </si>
  <si>
    <t>ENSMUSG00000039942</t>
  </si>
  <si>
    <t>prostaglandin E receptor 4 (subtype EP4)</t>
  </si>
  <si>
    <t>ENSMUSG00000017686</t>
  </si>
  <si>
    <t>ras homolog family member T1</t>
  </si>
  <si>
    <t>ENSMUSG00000071753</t>
  </si>
  <si>
    <t>RIKEN cDNA C230004F18 gene</t>
  </si>
  <si>
    <t>ENSMUSG00000022404</t>
  </si>
  <si>
    <t>solute carrier family 25 (mitochondrial carrier, peroxisomal membrane protein), member 17</t>
  </si>
  <si>
    <t>ENSMUSG00000048960</t>
  </si>
  <si>
    <t>phosphatidylinositol-3,4,5-trisphosphate-dependent Rac exchange factor 2</t>
  </si>
  <si>
    <t>ENSMUSG00000030722</t>
  </si>
  <si>
    <t>nuclear factor of activated T cells, cytoplasmic, calcineurin dependent 2 interacting protein</t>
  </si>
  <si>
    <t>ENSMUSG00000022151</t>
  </si>
  <si>
    <t>tetratricopeptide repeat domain 33</t>
  </si>
  <si>
    <t>ENSMUSG00000038555</t>
  </si>
  <si>
    <t>receptor accessory protein 2</t>
  </si>
  <si>
    <t>ENSMUSG00000013155</t>
  </si>
  <si>
    <t>enkurin domain containing 1</t>
  </si>
  <si>
    <t>ENSMUSG00000056493</t>
  </si>
  <si>
    <t>forkhead box K1</t>
  </si>
  <si>
    <t>ENSMUSG00000038518</t>
  </si>
  <si>
    <t>jumonji, AT rich interactive domain 2</t>
  </si>
  <si>
    <t>ENSMUSG00000035329</t>
  </si>
  <si>
    <t>F-box protein 33</t>
  </si>
  <si>
    <t>ENSMUSG00000026833</t>
  </si>
  <si>
    <t>olfactomedin 1</t>
  </si>
  <si>
    <t>ENSMUSG00000047417</t>
  </si>
  <si>
    <t>REX1, RNA exonuclease 1</t>
  </si>
  <si>
    <t>ENSMUSG00000056851</t>
  </si>
  <si>
    <t>poly(rC) binding protein 2</t>
  </si>
  <si>
    <t>ENSMUSG00000028653</t>
  </si>
  <si>
    <t>tRNA isopentenyltransferase 1</t>
  </si>
  <si>
    <t>ENSMUSG00000024620</t>
  </si>
  <si>
    <t>platelet derived growth factor receptor, beta polypeptide</t>
  </si>
  <si>
    <t>ENSMUSG00000013593</t>
  </si>
  <si>
    <t>NADH dehydrogenase (ubiquinone) Fe-S protein 2</t>
  </si>
  <si>
    <t>ENSMUSG00000037206</t>
  </si>
  <si>
    <t>immunoglobulin superfamily containing leucine-rich repeat</t>
  </si>
  <si>
    <t>ENSMUSG00000029516</t>
  </si>
  <si>
    <t>citron</t>
  </si>
  <si>
    <t>ENSMUSG00000038679</t>
  </si>
  <si>
    <t>trichorhinophalangeal syndrome I (human)</t>
  </si>
  <si>
    <t>ENSMUSG00000053647</t>
  </si>
  <si>
    <t>G protein-coupled estrogen receptor 1</t>
  </si>
  <si>
    <t>ENSMUSG00000024654</t>
  </si>
  <si>
    <t>asparaginase like 1</t>
  </si>
  <si>
    <t>ENSMUSG00000037643</t>
  </si>
  <si>
    <t>protein kinase C, iota</t>
  </si>
  <si>
    <t>ENSMUSG00000033170</t>
  </si>
  <si>
    <t>caspase recruitment domain family, member 10</t>
  </si>
  <si>
    <t>ENSMUSG00000029177</t>
  </si>
  <si>
    <t>centromere protein A</t>
  </si>
  <si>
    <t>ENSMUSG00000022837</t>
  </si>
  <si>
    <t>IQ calmodulin-binding motif containing 1</t>
  </si>
  <si>
    <t>ENSMUSG00000024910</t>
  </si>
  <si>
    <t>cathepsin W</t>
  </si>
  <si>
    <t>ENSMUSG00000022021</t>
  </si>
  <si>
    <t>diaphanous related formin 3</t>
  </si>
  <si>
    <t>ENSMUSG00000007458</t>
  </si>
  <si>
    <t>mannose-6-phosphate receptor, cation dependent</t>
  </si>
  <si>
    <t>ENSMUSG00000056537</t>
  </si>
  <si>
    <t>ring finger protein, LIM domain interacting</t>
  </si>
  <si>
    <t>ENSMUSG00000032841</t>
  </si>
  <si>
    <t>proline rich 5 like</t>
  </si>
  <si>
    <t>ENSMUSG00000030062</t>
  </si>
  <si>
    <t>ribophorin I</t>
  </si>
  <si>
    <t>ENSMUSG00000019773</t>
  </si>
  <si>
    <t>F-box protein 5</t>
  </si>
  <si>
    <t>ENSMUSG00000051396</t>
  </si>
  <si>
    <t>heat shock protein 14</t>
  </si>
  <si>
    <t>ENSMUSG00000060862</t>
  </si>
  <si>
    <t>zinc finger and BTB domain containing 40</t>
  </si>
  <si>
    <t>ENSMUSG00000025935</t>
  </si>
  <si>
    <t>translocating chain-associating membrane protein 1</t>
  </si>
  <si>
    <t>ENSMUSG00000022016</t>
  </si>
  <si>
    <t>A kinase (PRKA) anchor protein 11</t>
  </si>
  <si>
    <t>ENSMUSG00000059689</t>
  </si>
  <si>
    <t>zinc finger protein 637</t>
  </si>
  <si>
    <t>ENSMUSG00000010277</t>
  </si>
  <si>
    <t>RIKEN cDNA 2610507B11 gene</t>
  </si>
  <si>
    <t>ENSMUSG00000032615</t>
  </si>
  <si>
    <t>5',3'-nucleotidase, mitochondrial</t>
  </si>
  <si>
    <t>ENSMUSG00000039533</t>
  </si>
  <si>
    <t>monocyte to macrophage differentiation-associated 2</t>
  </si>
  <si>
    <t>ENSMUSG00000052681</t>
  </si>
  <si>
    <t>RAS related protein 1b</t>
  </si>
  <si>
    <t>ENSMUSG00000052981</t>
  </si>
  <si>
    <t>ubiquitin-conjugating enzyme E2Q family-like 1</t>
  </si>
  <si>
    <t>ENSMUSG00000016921</t>
  </si>
  <si>
    <t>serine/arginine-rich splicing factor 6</t>
  </si>
  <si>
    <t>ENSMUSG00000017550</t>
  </si>
  <si>
    <t>ATPase family, AAA domain containing 5</t>
  </si>
  <si>
    <t>ENSMUSG00000097769</t>
  </si>
  <si>
    <t>small nucleolar RNA host gene 4</t>
  </si>
  <si>
    <t>ENSMUSG00000015396</t>
  </si>
  <si>
    <t>CD83 antigen</t>
  </si>
  <si>
    <t>ENSMUSG00000005357</t>
  </si>
  <si>
    <t>solute carrier family 1 (high affinity aspartate/glutamate transporter), member 6</t>
  </si>
  <si>
    <t>ENSMUSG00000029238</t>
  </si>
  <si>
    <t>circadian locomotor output cycles kaput</t>
  </si>
  <si>
    <t>ENSMUSG00000048970</t>
  </si>
  <si>
    <t>C1GALT1-specific chaperone 1</t>
  </si>
  <si>
    <t>ENSMUSG00000028577</t>
  </si>
  <si>
    <t>phospholipase A2, activating protein</t>
  </si>
  <si>
    <t>ENSMUSG00000025730</t>
  </si>
  <si>
    <t>Rab40C, member RAS oncogene family</t>
  </si>
  <si>
    <t>ENSMUSG00000069808</t>
  </si>
  <si>
    <t>family with sequence similarity 57, member A</t>
  </si>
  <si>
    <t>ENSMUSG00000048001</t>
  </si>
  <si>
    <t>hairy and enhancer of split 5 (Drosophila)</t>
  </si>
  <si>
    <t>ENSMUSG00000022664</t>
  </si>
  <si>
    <t>solute carrier family 35, member A5</t>
  </si>
  <si>
    <t>ENSMUSG00000041298</t>
  </si>
  <si>
    <t>katanin p60 subunit A-like 1</t>
  </si>
  <si>
    <t>ENSMUSG00000022200</t>
  </si>
  <si>
    <t>golgi phosphoprotein 3</t>
  </si>
  <si>
    <t>ENSMUSG00000060636</t>
  </si>
  <si>
    <t>ribosomal protein L35A</t>
  </si>
  <si>
    <t>ENSMUSG00000022967</t>
  </si>
  <si>
    <t>interferon (alpha and beta) receptor 1</t>
  </si>
  <si>
    <t>ENSMUSG00000001034</t>
  </si>
  <si>
    <t>mitogen-activated protein kinase 7</t>
  </si>
  <si>
    <t>ENSMUSG00000056531</t>
  </si>
  <si>
    <t>coiled-coil domain containing 18</t>
  </si>
  <si>
    <t>ENSMUSG00000025503</t>
  </si>
  <si>
    <t>transaldolase 1</t>
  </si>
  <si>
    <t>ENSMUSG00000064280</t>
  </si>
  <si>
    <t>coiled-coil domain containing 146</t>
  </si>
  <si>
    <t>ENSMUSG00000021901</t>
  </si>
  <si>
    <t>Brca1 associated protein 1</t>
  </si>
  <si>
    <t>ENSMUSG00000090258</t>
  </si>
  <si>
    <t>churchill domain containing 1</t>
  </si>
  <si>
    <t>ENSMUSG00000039771</t>
  </si>
  <si>
    <t>polymerase (RNA) II (DNA directed) polypeptide J</t>
  </si>
  <si>
    <t>ENSMUSG00000086682</t>
  </si>
  <si>
    <t>predicted gene 16023</t>
  </si>
  <si>
    <t>ENSMUSG00000059486</t>
  </si>
  <si>
    <t>kelch repeat and BTB (POZ) domain containing 2</t>
  </si>
  <si>
    <t>ENSMUSG00000030930</t>
  </si>
  <si>
    <t>carbohydrate (N-acetylgalactosamine 4-sulfate 6-O) sulfotransferase 15</t>
  </si>
  <si>
    <t>ENSMUSG00000021012</t>
  </si>
  <si>
    <t>zinc finger CCCH type containing 14</t>
  </si>
  <si>
    <t>ENSMUSG00000036943</t>
  </si>
  <si>
    <t>RAB8B, member RAS oncogene family</t>
  </si>
  <si>
    <t>ENSMUSG00000010803</t>
  </si>
  <si>
    <t>gamma-aminobutyric acid (GABA) A receptor, subunit alpha 1</t>
  </si>
  <si>
    <t>ENSMUSG00000030110</t>
  </si>
  <si>
    <t>ret proto-oncogene</t>
  </si>
  <si>
    <t>ENSMUSG00000027122</t>
  </si>
  <si>
    <t>ADP-ribosylation factor-like 14 effector protein</t>
  </si>
  <si>
    <t>ENSMUSG00000022469</t>
  </si>
  <si>
    <t>Rap guanine nucleotide exchange factor (GEF) 3</t>
  </si>
  <si>
    <t>ENSMUSG00000028134</t>
  </si>
  <si>
    <t>polypyrimidine tract binding protein 2</t>
  </si>
  <si>
    <t>ENSMUSG00000037236</t>
  </si>
  <si>
    <t>matrin 3</t>
  </si>
  <si>
    <t>ENSMUSG00000027599</t>
  </si>
  <si>
    <t>armadillo repeat containing 1</t>
  </si>
  <si>
    <t>ENSMUSG00000036565</t>
  </si>
  <si>
    <t>tweety family member 3</t>
  </si>
  <si>
    <t>ENSMUSG00000039879</t>
  </si>
  <si>
    <t>hdc homolog, cell cycle regulator</t>
  </si>
  <si>
    <t>ENSMUSG00000027363</t>
  </si>
  <si>
    <t>ubiquitin specific peptidase 8</t>
  </si>
  <si>
    <t>ENSMUSG00000030638</t>
  </si>
  <si>
    <t>SH3-domain GRB2-like 3</t>
  </si>
  <si>
    <t>ENSMUSG00000037251</t>
  </si>
  <si>
    <t>protein-O-mannose kinase</t>
  </si>
  <si>
    <t>ENSMUSG00000023944</t>
  </si>
  <si>
    <t>heat shock protein 90 alpha (cytosolic), class B member 1</t>
  </si>
  <si>
    <t>ENSMUSG00000038500</t>
  </si>
  <si>
    <t>proline-rich polypeptide 3</t>
  </si>
  <si>
    <t>ENSMUSG00000045246</t>
  </si>
  <si>
    <t>potassium voltage-gated channel, subfamily G, member 4</t>
  </si>
  <si>
    <t>ENSMUSG00000027082</t>
  </si>
  <si>
    <t>tissue factor pathway inhibitor</t>
  </si>
  <si>
    <t>ENSMUSG00000025278</t>
  </si>
  <si>
    <t>filamin, beta</t>
  </si>
  <si>
    <t>ENSMUSG00000042548</t>
  </si>
  <si>
    <t>additional sex combs like 1</t>
  </si>
  <si>
    <t>ENSMUSG00000020460</t>
  </si>
  <si>
    <t>ribosomal protein S27A</t>
  </si>
  <si>
    <t>ENSMUSG00000021660</t>
  </si>
  <si>
    <t>basic transcription factor 3</t>
  </si>
  <si>
    <t>ENSMUSG00000021782</t>
  </si>
  <si>
    <t>discs, large homolog 5 (Drosophila)</t>
  </si>
  <si>
    <t>ENSMUSG00000030347</t>
  </si>
  <si>
    <t>DNA segment, Chr 6, Wayne State University 163, expressed</t>
  </si>
  <si>
    <t>ENSMUSG00000074923</t>
  </si>
  <si>
    <t>p21 protein (Cdc42/Rac)-activated kinase 6</t>
  </si>
  <si>
    <t>ENSMUSG00000028926</t>
  </si>
  <si>
    <t>cyclin-dependent kinase 14</t>
  </si>
  <si>
    <t>ENSMUSG00000034161</t>
  </si>
  <si>
    <t>scleraxis</t>
  </si>
  <si>
    <t>ENSMUSG00000018171</t>
  </si>
  <si>
    <t>vacuole membrane protein 1</t>
  </si>
  <si>
    <t>ENSMUSG00000079671</t>
  </si>
  <si>
    <t>RIKEN cDNA 2610203C22 gene</t>
  </si>
  <si>
    <t>ENSMUSG00000039428</t>
  </si>
  <si>
    <t>transmembrane protein 135</t>
  </si>
  <si>
    <t>ENSMUSG00000001082</t>
  </si>
  <si>
    <t>major facilitator superfamily domain containing 10</t>
  </si>
  <si>
    <t>ENSMUSG00000021493</t>
  </si>
  <si>
    <t>PDZ and LIM domain 7</t>
  </si>
  <si>
    <t>ENSMUSG00000006411</t>
  </si>
  <si>
    <t>nectin cell adhesion molecule 4</t>
  </si>
  <si>
    <t>ENSMUSG00000027285</t>
  </si>
  <si>
    <t>HAUS augmin-like complex, subunit 2</t>
  </si>
  <si>
    <t>ENSMUSG00000027425</t>
  </si>
  <si>
    <t>cysteine and glycine-rich protein 2 binding protein</t>
  </si>
  <si>
    <t>ENSMUSG00000031532</t>
  </si>
  <si>
    <t>store-operated calcium entry-associated regulatory factor</t>
  </si>
  <si>
    <t>ENSMUSG00000009035</t>
  </si>
  <si>
    <t>transmembrane protein 184b</t>
  </si>
  <si>
    <t>ENSMUSG00000057672</t>
  </si>
  <si>
    <t>protein kinase N1</t>
  </si>
  <si>
    <t>ENSMUSG00000029475</t>
  </si>
  <si>
    <t>lysine (K)-specific demethylase 2B</t>
  </si>
  <si>
    <t>ENSMUSG00000055799</t>
  </si>
  <si>
    <t>transcription factor 7 like 1 (T cell specific, HMG box)</t>
  </si>
  <si>
    <t>ENSMUSG00000040396</t>
  </si>
  <si>
    <t>abhydrolase domain containing 13</t>
  </si>
  <si>
    <t>ENSMUSG00000039936</t>
  </si>
  <si>
    <t>phosphatidylinositol 3-kinase catalytic delta polypeptide</t>
  </si>
  <si>
    <t>ENSMUSG00000074622</t>
  </si>
  <si>
    <t>v-maf musculoaponeurotic fibrosarcoma oncogene family, protein B (avian)</t>
  </si>
  <si>
    <t>ENSMUSG00000052763</t>
  </si>
  <si>
    <t>Zinc finger protein 212</t>
  </si>
  <si>
    <t>ENSMUSG00000022288</t>
  </si>
  <si>
    <t>RIKEN cDNA 4930447A16 gene</t>
  </si>
  <si>
    <t>ENSMUSG00000024767</t>
  </si>
  <si>
    <t>OTU domain, ubiquitin aldehyde binding 1</t>
  </si>
  <si>
    <t>ENSMUSG00000024240</t>
  </si>
  <si>
    <t>enhancer of polycomb homolog 1 (Drosophila)</t>
  </si>
  <si>
    <t>ENSMUSG00000032826</t>
  </si>
  <si>
    <t>ankyrin 2, brain</t>
  </si>
  <si>
    <t>ENSMUSG00000007817</t>
  </si>
  <si>
    <t>zinc finger, MIZ-type containing 1</t>
  </si>
  <si>
    <t>ENSMUSG00000027750</t>
  </si>
  <si>
    <t>periostin, osteoblast specific factor</t>
  </si>
  <si>
    <t>ENSMUSG00000022808</t>
  </si>
  <si>
    <t>sorting nexin 4</t>
  </si>
  <si>
    <t>ENSMUSG00000074305</t>
  </si>
  <si>
    <t>pseudopodium-enriched atypical kinase 1</t>
  </si>
  <si>
    <t>ENSMUSG00000063275</t>
  </si>
  <si>
    <t>3-hydroxyacyl-CoA dehydratase 1</t>
  </si>
  <si>
    <t>ENSMUSG00000095061</t>
  </si>
  <si>
    <t>RIKEN cDNA E030018B13 gene</t>
  </si>
  <si>
    <t>ENSMUSG00000022898</t>
  </si>
  <si>
    <t>Down syndrome critical region gene 3</t>
  </si>
  <si>
    <t>ENSMUSG00000021340</t>
  </si>
  <si>
    <t>glycosylphosphatidylinositol specific phospholipase D1</t>
  </si>
  <si>
    <t>ENSMUSG00000104063</t>
  </si>
  <si>
    <t>protocadherin gamma subfamily B, 7</t>
  </si>
  <si>
    <t>ENSMUSG00000028803</t>
  </si>
  <si>
    <t>NIPA-like domain containing 3</t>
  </si>
  <si>
    <t>ENSMUSG00000023092</t>
  </si>
  <si>
    <t>four and a half LIM domains 1</t>
  </si>
  <si>
    <t>ENSMUSG00000039145</t>
  </si>
  <si>
    <t>calcium/calmodulin-dependent protein kinase ID</t>
  </si>
  <si>
    <t>ENSMUSG00000020810</t>
  </si>
  <si>
    <t>cytoglobin</t>
  </si>
  <si>
    <t>ENSMUSG00000024014</t>
  </si>
  <si>
    <t>proviral integration site 1</t>
  </si>
  <si>
    <t>ENSMUSG00000026972</t>
  </si>
  <si>
    <t>arrestin domain containing 1</t>
  </si>
  <si>
    <t>ENSMUSG00000044768</t>
  </si>
  <si>
    <t>DNA segment, Chr 1, ERATO Doi 622, expressed</t>
  </si>
  <si>
    <t>ENSMUSG00000028454</t>
  </si>
  <si>
    <t>phosphatidylinositol glycan anchor biosynthesis, class O</t>
  </si>
  <si>
    <t>ENSMUSG00000009292</t>
  </si>
  <si>
    <t>transient receptor potential cation channel, subfamily M, member 2</t>
  </si>
  <si>
    <t>ENSMUSG00000036745</t>
  </si>
  <si>
    <t>tubulin tyrosine ligase-like family, member 7</t>
  </si>
  <si>
    <t>ENSMUSG00000030871</t>
  </si>
  <si>
    <t>glutamyl-tRNA synthetase 2, mitochondrial</t>
  </si>
  <si>
    <t>ENSMUSG00000025228</t>
  </si>
  <si>
    <t>ARP1 actin-related protein 1A, centractin alpha</t>
  </si>
  <si>
    <t>ENSMUSG00000026245</t>
  </si>
  <si>
    <t>phenylalanyl-tRNA synthetase, beta subunit</t>
  </si>
  <si>
    <t>ENSMUSG00000045100</t>
  </si>
  <si>
    <t>solute carrier family 25 (mitochondrial carrier, phosphate carrier), member 26</t>
  </si>
  <si>
    <t>ENSMUSG00000026587</t>
  </si>
  <si>
    <t>astrotactin 1</t>
  </si>
  <si>
    <t>ENSMUSG00000029072</t>
  </si>
  <si>
    <t>taste receptor, type 1, member 3</t>
  </si>
  <si>
    <t>ENSMUSG00000025578</t>
  </si>
  <si>
    <t>chromobox 8</t>
  </si>
  <si>
    <t>ENSMUSG00000053046</t>
  </si>
  <si>
    <t>BR serine/threonine kinase 2</t>
  </si>
  <si>
    <t>ENSMUSG00000031320</t>
  </si>
  <si>
    <t>ribosomal protein S4, X-linked</t>
  </si>
  <si>
    <t>ENSMUSG00000058355</t>
  </si>
  <si>
    <t>ATP-binding cassette, sub-family E (OABP), member 1</t>
  </si>
  <si>
    <t>ENSMUSG00000051323</t>
  </si>
  <si>
    <t>protocadherin 19</t>
  </si>
  <si>
    <t>ENSMUSG00000021140</t>
  </si>
  <si>
    <t>pecanex homolog (Drosophila)</t>
  </si>
  <si>
    <t>ENSMUSG00000027583</t>
  </si>
  <si>
    <t>zinc finger and BTB domain containing 46</t>
  </si>
  <si>
    <t>ENSMUSG00000068479</t>
  </si>
  <si>
    <t>microfibrillar-associated protein 1A</t>
  </si>
  <si>
    <t>ENSMUSG00000036840</t>
  </si>
  <si>
    <t>seven in absentia 1A</t>
  </si>
  <si>
    <t>ENSMUSG00000044627</t>
  </si>
  <si>
    <t>SWI5 recombination repair homolog (yeast)</t>
  </si>
  <si>
    <t>ENSMUSG00000027163</t>
  </si>
  <si>
    <t>COMM domain containing 9</t>
  </si>
  <si>
    <t>ENSMUSG00000024136</t>
  </si>
  <si>
    <t>deoxyribonuclease 1-like 2</t>
  </si>
  <si>
    <t>ENSMUSG00000079179</t>
  </si>
  <si>
    <t>RAB10, member RAS oncogene family, opposite strand</t>
  </si>
  <si>
    <t>ENSMUSG00000033526</t>
  </si>
  <si>
    <t>diphosphoinositol pentakisphosphate kinase 1</t>
  </si>
  <si>
    <t>ENSMUSG00000033389</t>
  </si>
  <si>
    <t>Rho GTPase activating protein 44</t>
  </si>
  <si>
    <t>ENSMUSG00000042063</t>
  </si>
  <si>
    <t>zinc finger protein 386 (Kruppel-like)</t>
  </si>
  <si>
    <t>ENSMUSG00000022463</t>
  </si>
  <si>
    <t>sterol regulatory element binding factor 2</t>
  </si>
  <si>
    <t>ENSMUSG00000027746</t>
  </si>
  <si>
    <t>ubiquitin-fold modifier 1</t>
  </si>
  <si>
    <t>ENSMUSG00000026640</t>
  </si>
  <si>
    <t>plexin A2</t>
  </si>
  <si>
    <t>ENSMUSG00000079658</t>
  </si>
  <si>
    <t>transcription elongation factor B (SIII), polypeptide 1</t>
  </si>
  <si>
    <t>ENSMUSG00000055485</t>
  </si>
  <si>
    <t>suppressor of glucose, autophagy associated 1</t>
  </si>
  <si>
    <t>ENSMUSG00000041954</t>
  </si>
  <si>
    <t>tumor necrosis factor receptor superfamily, member 18</t>
  </si>
  <si>
    <t>ENSMUSG00000030876</t>
  </si>
  <si>
    <t>methyltransferase like 9</t>
  </si>
  <si>
    <t>ENSMUSG00000039461</t>
  </si>
  <si>
    <t>T cell leukemia translocation altered gene</t>
  </si>
  <si>
    <t>ENSMUSG00000030310</t>
  </si>
  <si>
    <t>solute carrier family 6 (neurotransmitter transporter, GABA), member 1</t>
  </si>
  <si>
    <t>ENSMUSG00000079553</t>
  </si>
  <si>
    <t>kinesin family member C1</t>
  </si>
  <si>
    <t>ENSMUSG00000028693</t>
  </si>
  <si>
    <t>nuclear autoantigenic sperm protein (histone-binding)</t>
  </si>
  <si>
    <t>ENSMUSG00000031708</t>
  </si>
  <si>
    <t>trans-2,3-enoyl-CoA reductase</t>
  </si>
  <si>
    <t>ENSMUSG00000030527</t>
  </si>
  <si>
    <t>CREB regulated transcription coactivator 3</t>
  </si>
  <si>
    <t>ENSMUSG00000020684</t>
  </si>
  <si>
    <t>RAS-like, family 10, member B</t>
  </si>
  <si>
    <t>ENSMUSG00000028609</t>
  </si>
  <si>
    <t>mago homolog, exon junction complex core component</t>
  </si>
  <si>
    <t>ENSMUSG00000037784</t>
  </si>
  <si>
    <t>DAZ interacting protein 1-like</t>
  </si>
  <si>
    <t>ENSMUSG00000064254</t>
  </si>
  <si>
    <t>ethylmalonic encephalopathy 1</t>
  </si>
  <si>
    <t>ENSMUSG00000074406</t>
  </si>
  <si>
    <t>zinc finger protein 628</t>
  </si>
  <si>
    <t>ENSMUSG00000078190</t>
  </si>
  <si>
    <t>dynamin 3, opposite strand</t>
  </si>
  <si>
    <t>ENSMUSG00000017716</t>
  </si>
  <si>
    <t>baculoviral IAP repeat-containing 5</t>
  </si>
  <si>
    <t>ENSMUSG00000030255</t>
  </si>
  <si>
    <t>sarcospan</t>
  </si>
  <si>
    <t>ENSMUSG00000024501</t>
  </si>
  <si>
    <t>dihydropyrimidinase-like 3</t>
  </si>
  <si>
    <t>ENSMUSG00000046186</t>
  </si>
  <si>
    <t>CD109 antigen</t>
  </si>
  <si>
    <t>ENSMUSG00000018666</t>
  </si>
  <si>
    <t>chromobox 1</t>
  </si>
  <si>
    <t>ENSMUSG00000006360</t>
  </si>
  <si>
    <t>cysteine-rich protein 1 (intestinal)</t>
  </si>
  <si>
    <t>ENSMUSG00000026571</t>
  </si>
  <si>
    <t>DDB1 and CUL4 associated factor 6</t>
  </si>
  <si>
    <t>ENSMUSG00000050390</t>
  </si>
  <si>
    <t>expressed sequence C77080</t>
  </si>
  <si>
    <t>ENSMUSG00000031297</t>
  </si>
  <si>
    <t>solute carrier family 7 (cationic amino acid transporter, y+ system), member 3</t>
  </si>
  <si>
    <t>ENSMUSG00000034917</t>
  </si>
  <si>
    <t>tight junction protein 3</t>
  </si>
  <si>
    <t>ENSMUSG00000056492</t>
  </si>
  <si>
    <t>adhesion G protein-coupled receptor F5</t>
  </si>
  <si>
    <t>ENSMUSG00000042333</t>
  </si>
  <si>
    <t>tumor necrosis factor receptor superfamily, member 14 (herpesvirus entry mediator)</t>
  </si>
  <si>
    <t>ENSMUSG00000028187</t>
  </si>
  <si>
    <t>ribosome production factor 1 homolog</t>
  </si>
  <si>
    <t>ENSMUSG00000020828</t>
  </si>
  <si>
    <t>phospholipase D2</t>
  </si>
  <si>
    <t>ENSMUSG00000046519</t>
  </si>
  <si>
    <t>golgi phosphoprotein 3-like</t>
  </si>
  <si>
    <t>ENSMUSG00000030867</t>
  </si>
  <si>
    <t>polo-like kinase 1</t>
  </si>
  <si>
    <t>ENSMUSG00000022779</t>
  </si>
  <si>
    <t>topoisomerase (DNA) III beta</t>
  </si>
  <si>
    <t>ENSMUSG00000033589</t>
  </si>
  <si>
    <t>receptor accessory protein 4</t>
  </si>
  <si>
    <t>ENSMUSG00000038007</t>
  </si>
  <si>
    <t>alkaline ceramidase 2</t>
  </si>
  <si>
    <t>ENSMUSG00000019874</t>
  </si>
  <si>
    <t>fatty acid binding protein 7, brain</t>
  </si>
  <si>
    <t>ENSMUSG00000030600</t>
  </si>
  <si>
    <t>leucine rich repeat and fibronectin type III domain containing 1</t>
  </si>
  <si>
    <t>ENSMUSG00000109321</t>
  </si>
  <si>
    <t>RIKEN cDNA A330076H08 gene</t>
  </si>
  <si>
    <t>ENSMUSG00000028145</t>
  </si>
  <si>
    <t>thioesterase superfamily member 4</t>
  </si>
  <si>
    <t>ENSMUSG00000048796</t>
  </si>
  <si>
    <t>cytochrome b-561 domain containing 1</t>
  </si>
  <si>
    <t>ENSMUSG00000033032</t>
  </si>
  <si>
    <t>actin filament associated protein 1-like 1</t>
  </si>
  <si>
    <t>ENSMUSG00000035067</t>
  </si>
  <si>
    <t>X-linked Kx blood group related 6</t>
  </si>
  <si>
    <t>ENSMUSG00000019518</t>
  </si>
  <si>
    <t>adaptor-related protein complex AP-4, mu 1</t>
  </si>
  <si>
    <t>ENSMUSG00000078994</t>
  </si>
  <si>
    <t>zinc finger protein 429</t>
  </si>
  <si>
    <t>ENSMUSG00000041264</t>
  </si>
  <si>
    <t>ubiquitin specific peptidase like 1</t>
  </si>
  <si>
    <t>ENSMUSG00000042328</t>
  </si>
  <si>
    <t>Hermansky-Pudlak syndrome 4</t>
  </si>
  <si>
    <t>ENSMUSG00000035431</t>
  </si>
  <si>
    <t>somatostatin receptor 1</t>
  </si>
  <si>
    <t>ENSMUSG00000031791</t>
  </si>
  <si>
    <t>transmembrane protein 38A</t>
  </si>
  <si>
    <t>ENSMUSG00000056153</t>
  </si>
  <si>
    <t>suppressor of cytokine signaling 6</t>
  </si>
  <si>
    <t>ENSMUSG00000079084</t>
  </si>
  <si>
    <t>coiled-coil domain containing 82</t>
  </si>
  <si>
    <t>ENSMUSG00000003235</t>
  </si>
  <si>
    <t>eukaryotic translation initiation factor 2B, subunit 5 epsilon</t>
  </si>
  <si>
    <t>ENSMUSG00000021373</t>
  </si>
  <si>
    <t>CAP, adenylate cyclase-associated protein, 2 (yeast)</t>
  </si>
  <si>
    <t>ENSMUSG00000001100</t>
  </si>
  <si>
    <t>polymerase (DNA-directed), delta interacting protein 2</t>
  </si>
  <si>
    <t>ENSMUSG00000001228</t>
  </si>
  <si>
    <t>ubiquitin-like, containing PHD and RING finger domains, 1</t>
  </si>
  <si>
    <t>ENSMUSG00000028098</t>
  </si>
  <si>
    <t>ring finger protein 115</t>
  </si>
  <si>
    <t>ENSMUSG00000025235</t>
  </si>
  <si>
    <t>Bardet-Biedl syndrome 4 (human)</t>
  </si>
  <si>
    <t>ENSMUSG00000045733</t>
  </si>
  <si>
    <t>shadow of prion protein</t>
  </si>
  <si>
    <t>ENSMUSG00000011958</t>
  </si>
  <si>
    <t>BCL2/adenovirus E1B interacting protein 2</t>
  </si>
  <si>
    <t>ENSMUSG00000022464</t>
  </si>
  <si>
    <t>solute carrier family 38, member 4</t>
  </si>
  <si>
    <t>ENSMUSG00000063646</t>
  </si>
  <si>
    <t>janus kinase and microtubule interacting protein 1</t>
  </si>
  <si>
    <t>ENSMUSG00000004098</t>
  </si>
  <si>
    <t>collagen, type V, alpha 3</t>
  </si>
  <si>
    <t>ENSMUSG00000092558</t>
  </si>
  <si>
    <t>mediator complex subunit 20</t>
  </si>
  <si>
    <t>ENSMUSG00000092083</t>
  </si>
  <si>
    <t>potassium voltage gated channel, Shab-related subfamily, member 2</t>
  </si>
  <si>
    <t>ENSMUSG00000023904</t>
  </si>
  <si>
    <t>host cell factor C1 regulator 1 (XPO1-dependent)</t>
  </si>
  <si>
    <t>ENSMUSG00000026269</t>
  </si>
  <si>
    <t>arginyl aminopeptidase (aminopeptidase B)-like 1</t>
  </si>
  <si>
    <t>ENSMUSG00000023156</t>
  </si>
  <si>
    <t>ribonuclease P 14 subunit</t>
  </si>
  <si>
    <t>ENSMUSG00000002409</t>
  </si>
  <si>
    <t>dual-specificity tyrosine-(Y)-phosphorylation regulated kinase 1b</t>
  </si>
  <si>
    <t>ENSMUSG00000037847</t>
  </si>
  <si>
    <t>nicotinamide riboside kinase 1</t>
  </si>
  <si>
    <t>ENSMUSG00000052374</t>
  </si>
  <si>
    <t>actinin alpha 2</t>
  </si>
  <si>
    <t>ENSMUSG00000055839</t>
  </si>
  <si>
    <t>transcription elongation factor B (SIII), polypeptide 2</t>
  </si>
  <si>
    <t>ENSMUSG00000031666</t>
  </si>
  <si>
    <t>retinoblastoma-like 2</t>
  </si>
  <si>
    <t>ENSMUSG00000006818</t>
  </si>
  <si>
    <t>superoxide dismutase 2, mitochondrial</t>
  </si>
  <si>
    <t>ENSMUSG00000062380</t>
  </si>
  <si>
    <t>tubulin, beta 3 class III</t>
  </si>
  <si>
    <t>ENSMUSG00000010290</t>
  </si>
  <si>
    <t>expressed sequence AI597479</t>
  </si>
  <si>
    <t>ENSMUSG00000040387</t>
  </si>
  <si>
    <t>kelch-like 32</t>
  </si>
  <si>
    <t>ENSMUSG00000041870</t>
  </si>
  <si>
    <t>ankyrin repeat domain 13a</t>
  </si>
  <si>
    <t>ENSMUSG00000010376</t>
  </si>
  <si>
    <t>neural precursor cell expressed, developmentally down-regulated gene 8</t>
  </si>
  <si>
    <t>ENSMUSG00000050708</t>
  </si>
  <si>
    <t>ferritin light polypeptide 1</t>
  </si>
  <si>
    <t>ENSMUSG00000036333</t>
  </si>
  <si>
    <t>kinase D-interacting substrate 220</t>
  </si>
  <si>
    <t>ENSMUSG00000038664</t>
  </si>
  <si>
    <t>HECT and RLD domain containing E3 ubiquitin protein ligase family member 1</t>
  </si>
  <si>
    <t>ENSMUSG00000056919</t>
  </si>
  <si>
    <t>centrosomal protein 162</t>
  </si>
  <si>
    <t>ENSMUSG00000032329</t>
  </si>
  <si>
    <t>high mobility group 20A</t>
  </si>
  <si>
    <t>ENSMUSG00000038930</t>
  </si>
  <si>
    <t>RCC1 domain containing 1</t>
  </si>
  <si>
    <t>ENSMUSG00000049321</t>
  </si>
  <si>
    <t>zinc finger protein 2</t>
  </si>
  <si>
    <t>ENSMUSG00000050043</t>
  </si>
  <si>
    <t>thioredoxin-related transmembrane protein 2</t>
  </si>
  <si>
    <t>ENSMUSG00000025505</t>
  </si>
  <si>
    <t>transmembrane protein 80</t>
  </si>
  <si>
    <t>ENSMUSG00000097772</t>
  </si>
  <si>
    <t>RIKEN cDNA 5430416N02 gene</t>
  </si>
  <si>
    <t>ENSMUSG00000024524</t>
  </si>
  <si>
    <t>guanine nucleotide binding protein, alpha stimulating, olfactory type</t>
  </si>
  <si>
    <t>ENSMUSG00000078651</t>
  </si>
  <si>
    <t>amine oxidase, copper containing 2 (retina-specific)</t>
  </si>
  <si>
    <t>ENSMUSG00000018604</t>
  </si>
  <si>
    <t>T-box 3</t>
  </si>
  <si>
    <t>ENSMUSG00000037940</t>
  </si>
  <si>
    <t>inositol polyphosphate-4-phosphatase, type II</t>
  </si>
  <si>
    <t>ENSMUSG00000045657</t>
  </si>
  <si>
    <t>protocadherin beta 10</t>
  </si>
  <si>
    <t>ENSMUSG00000030074</t>
  </si>
  <si>
    <t>glucoside xylosyltransferase 2</t>
  </si>
  <si>
    <t>ENSMUSG00000007564</t>
  </si>
  <si>
    <t>protein phosphatase 2, regulatory subunit A, alpha</t>
  </si>
  <si>
    <t>ENSMUSG00000019831</t>
  </si>
  <si>
    <t>WAS protein family, member 1</t>
  </si>
  <si>
    <t>ENSMUSG00000022811</t>
  </si>
  <si>
    <t>zinc finger protein 148</t>
  </si>
  <si>
    <t>ENSMUSG00000032425</t>
  </si>
  <si>
    <t>zinc finger protein 949</t>
  </si>
  <si>
    <t>ENSMUSG00000039405</t>
  </si>
  <si>
    <t>protease, serine 23</t>
  </si>
  <si>
    <t>ENSMUSG00000029922</t>
  </si>
  <si>
    <t>makorin, ring finger protein, 1</t>
  </si>
  <si>
    <t>ENSMUSG00000021285</t>
  </si>
  <si>
    <t>protein phosphatase 1, regulatory (inhibitor) subunit 13B</t>
  </si>
  <si>
    <t>ENSMUSG00000036273</t>
  </si>
  <si>
    <t>leucine-rich repeat kinase 2</t>
  </si>
  <si>
    <t>ENSMUSG00000031983</t>
  </si>
  <si>
    <t>RIKEN cDNA 2310022B05 gene</t>
  </si>
  <si>
    <t>ENSMUSG00000029228</t>
  </si>
  <si>
    <t>ligand of numb-protein X 1</t>
  </si>
  <si>
    <t>ENSMUSG00000007035</t>
  </si>
  <si>
    <t>mutS homolog 5</t>
  </si>
  <si>
    <t>ENSMUSG00000026489</t>
  </si>
  <si>
    <t>coenzyme Q8A</t>
  </si>
  <si>
    <t>ENSMUSG00000028772</t>
  </si>
  <si>
    <t>zinc finger, CCHC domain containing 17</t>
  </si>
  <si>
    <t>ENSMUSG00000006019</t>
  </si>
  <si>
    <t>DEAH (Asp-Glu-Ala-His) box polypeptide 34</t>
  </si>
  <si>
    <t>ENSMUSG00000002055</t>
  </si>
  <si>
    <t>sperm associated antigen 5</t>
  </si>
  <si>
    <t>ENSMUSG00000021876</t>
  </si>
  <si>
    <t>ribonuclease, RNase A family 4</t>
  </si>
  <si>
    <t>ENSMUSG00000017861</t>
  </si>
  <si>
    <t>myeloblastosis oncogene-like 2</t>
  </si>
  <si>
    <t>ENSMUSG00000020493</t>
  </si>
  <si>
    <t>proline rich 11</t>
  </si>
  <si>
    <t>ENSMUSG00000002763</t>
  </si>
  <si>
    <t>peroxisomal biogenesis factor 6</t>
  </si>
  <si>
    <t>ENSMUSG00000058070</t>
  </si>
  <si>
    <t>echinoderm microtubule associated protein like 1</t>
  </si>
  <si>
    <t>ENSMUSG00000025402</t>
  </si>
  <si>
    <t>Ngfi-A binding protein 2</t>
  </si>
  <si>
    <t>ENSMUSG00000016024</t>
  </si>
  <si>
    <t>lipopolysaccharide binding protein</t>
  </si>
  <si>
    <t>ENSMUSG00000028184</t>
  </si>
  <si>
    <t>adhesion G protein-coupled receptor L2</t>
  </si>
  <si>
    <t>ENSMUSG00000040345</t>
  </si>
  <si>
    <t>Rho GTPase activating protein 9</t>
  </si>
  <si>
    <t>ENSMUSG00000043410</t>
  </si>
  <si>
    <t>HFM1, ATP-dependent DNA helicase homolog</t>
  </si>
  <si>
    <t>ENSMUSG00000032356</t>
  </si>
  <si>
    <t>RAS protein-specific guanine nucleotide-releasing factor 1</t>
  </si>
  <si>
    <t>ENSMUSG00000027514</t>
  </si>
  <si>
    <t>Z-DNA binding protein 1</t>
  </si>
  <si>
    <t>ENSMUSG00000001323</t>
  </si>
  <si>
    <t>serine racemase</t>
  </si>
  <si>
    <t>ENSMUSG00000039953</t>
  </si>
  <si>
    <t>calsyntenin 1</t>
  </si>
  <si>
    <t>ENSMUSG00000034981</t>
  </si>
  <si>
    <t>prostate androgen-regulated mucin-like protein 1</t>
  </si>
  <si>
    <t>ENSMUSG00000022234</t>
  </si>
  <si>
    <t>chaperonin containing Tcp1, subunit 5 (epsilon)</t>
  </si>
  <si>
    <t>ENSMUSG00000021209</t>
  </si>
  <si>
    <t>protein phosphatase 4, regulatory subunit 4</t>
  </si>
  <si>
    <t>ENSMUSG00000026228</t>
  </si>
  <si>
    <t>5-hydroxytryptamine (serotonin) receptor 2B</t>
  </si>
  <si>
    <t>ENSMUSG00000010025</t>
  </si>
  <si>
    <t>aldehyde dehydrogenase family 3, subfamily A2</t>
  </si>
  <si>
    <t>ENSMUSG00000038838</t>
  </si>
  <si>
    <t>valyl-tRNA synthetase 2, mitochondrial</t>
  </si>
  <si>
    <t>ENSMUSG00000031027</t>
  </si>
  <si>
    <t>serine/threonine kinase 33</t>
  </si>
  <si>
    <t>ENSMUSG00000006932</t>
  </si>
  <si>
    <t>catenin (cadherin associated protein), beta 1</t>
  </si>
  <si>
    <t>ENSMUSG00000049106</t>
  </si>
  <si>
    <t>DDB1 and CUL4 associated factor 5</t>
  </si>
  <si>
    <t>ENSMUSG00000024048</t>
  </si>
  <si>
    <t>myosin, light chain 12A, regulatory, non-sarcomeric</t>
  </si>
  <si>
    <t>ENSMUSG00000020152</t>
  </si>
  <si>
    <t>ARP2 actin-related protein 2</t>
  </si>
  <si>
    <t>ENSMUSG00000006678</t>
  </si>
  <si>
    <t>polymerase (DNA directed), alpha 1</t>
  </si>
  <si>
    <t>ENSMUSG00000031904</t>
  </si>
  <si>
    <t>solute carrier family 7 (cationic amino acid transporter, y+ system), member 6</t>
  </si>
  <si>
    <t>ENSMUSG00000055660</t>
  </si>
  <si>
    <t>methyltransferase like 4</t>
  </si>
  <si>
    <t>ENSMUSG00000045515</t>
  </si>
  <si>
    <t>POU domain, class 3, transcription factor 3</t>
  </si>
  <si>
    <t>ENSMUSG00000024172</t>
  </si>
  <si>
    <t>beta galactoside alpha 2,6 sialyltransferase 2</t>
  </si>
  <si>
    <t>ENSMUSG00000001855</t>
  </si>
  <si>
    <t>nucleoporin 214</t>
  </si>
  <si>
    <t>ENSMUSG00000004988</t>
  </si>
  <si>
    <t>FXYD domain-containing ion transport regulator 4</t>
  </si>
  <si>
    <t>ENSMUSG00000022749</t>
  </si>
  <si>
    <t>TBC1 domain family, member 23</t>
  </si>
  <si>
    <t>ENSMUSG00000067028</t>
  </si>
  <si>
    <t>contactin associated protein-like 5B</t>
  </si>
  <si>
    <t>ENSMUSG00000044339</t>
  </si>
  <si>
    <t>alkB homolog 2, alpha-ketoglutarate-dependent dioxygenase</t>
  </si>
  <si>
    <t>ENSMUSG00000050029</t>
  </si>
  <si>
    <t>RAP2C, member of RAS oncogene family</t>
  </si>
  <si>
    <t>ENSMUSG00000044442</t>
  </si>
  <si>
    <t>N-6 adenine-specific DNA methyltransferase 1 (putative)</t>
  </si>
  <si>
    <t>ENSMUSG00000054423</t>
  </si>
  <si>
    <t>Ca2+-dependent secretion activator</t>
  </si>
  <si>
    <t>ENSMUSG00000049858</t>
  </si>
  <si>
    <t>sulfite oxidase</t>
  </si>
  <si>
    <t>ENSMUSG00000062929</t>
  </si>
  <si>
    <t>cofilin 2, muscle</t>
  </si>
  <si>
    <t>ENSMUSG00000001909</t>
  </si>
  <si>
    <t>tRNA methyltransferase 1</t>
  </si>
  <si>
    <t>ENSMUSG00000032580</t>
  </si>
  <si>
    <t>RNA binding motif protein 5</t>
  </si>
  <si>
    <t>ENSMUSG00000036291</t>
  </si>
  <si>
    <t>adaptor-related protein complex 5, mu 1 subunit</t>
  </si>
  <si>
    <t>ENSMUSG00000031613</t>
  </si>
  <si>
    <t>hydroxyprostaglandin dehydrogenase 15 (NAD)</t>
  </si>
  <si>
    <t>ENSMUSG00000026740</t>
  </si>
  <si>
    <t>DnaJ heat shock protein family (Hsp40) member C1</t>
  </si>
  <si>
    <t>ENSMUSG00000017499</t>
  </si>
  <si>
    <t>cell division cycle 6</t>
  </si>
  <si>
    <t>ENSMUSG00000005986</t>
  </si>
  <si>
    <t>ankyrin repeat domain 13 family, member D</t>
  </si>
  <si>
    <t>ENSMUSG00000024349</t>
  </si>
  <si>
    <t>transmembrane protein 173</t>
  </si>
  <si>
    <t>ENSMUSG00000000827</t>
  </si>
  <si>
    <t>tumor protein D52-like 2</t>
  </si>
  <si>
    <t>ENSMUSG00000031770</t>
  </si>
  <si>
    <t>homocysteine-inducible, endoplasmic reticulum stress-inducible, ubiquitin-like domain member 1</t>
  </si>
  <si>
    <t>ENSMUSG00000029767</t>
  </si>
  <si>
    <t>calumenin</t>
  </si>
  <si>
    <t>ENSMUSG00000020899</t>
  </si>
  <si>
    <t>phosphoribosylformylglycinamidine synthase (FGAR amidotransferase)</t>
  </si>
  <si>
    <t>ENSMUSG00000054893</t>
  </si>
  <si>
    <t>zinc finger protein 667</t>
  </si>
  <si>
    <t>ENSMUSG00000031246</t>
  </si>
  <si>
    <t>SH3-binding domain glutamic acid-rich protein like</t>
  </si>
  <si>
    <t>ENSMUSG00000024847</t>
  </si>
  <si>
    <t>aryl-hydrocarbon receptor-interacting protein</t>
  </si>
  <si>
    <t>ENSMUSG00000041920</t>
  </si>
  <si>
    <t>solute carrier family 16 (monocarboxylic acid transporters), member 6</t>
  </si>
  <si>
    <t>ENSMUSG00000023051</t>
  </si>
  <si>
    <t>TARBP2, RISC loading complex RNA binding subunit</t>
  </si>
  <si>
    <t>ENSMUSG00000022193</t>
  </si>
  <si>
    <t>proteasome (prosome, macropain) subunit, beta type 5</t>
  </si>
  <si>
    <t>ENSMUSG00000042734</t>
  </si>
  <si>
    <t>tetratricopeptide repeat domain 9</t>
  </si>
  <si>
    <t>ENSMUSG00000063457</t>
  </si>
  <si>
    <t>ribosomal protein S15</t>
  </si>
  <si>
    <t>ENSMUSG00000083282</t>
  </si>
  <si>
    <t>cathepsin F</t>
  </si>
  <si>
    <t>ENSMUSG00000022257</t>
  </si>
  <si>
    <t>lysosomal-associated protein transmembrane 4B</t>
  </si>
  <si>
    <t>ENSMUSG00000029310</t>
  </si>
  <si>
    <t>nudix (nucleoside diphosphate linked moiety X)-type motif 9</t>
  </si>
  <si>
    <t>ENSMUSG00000058656</t>
  </si>
  <si>
    <t>sterile alpha motif domain containing 12</t>
  </si>
  <si>
    <t>ENSMUSG00000047423</t>
  </si>
  <si>
    <t>expressed sequence AI837181</t>
  </si>
  <si>
    <t>ENSMUSG00000021510</t>
  </si>
  <si>
    <t>zinc finger protein 729a</t>
  </si>
  <si>
    <t>ENSMUSG00000057722</t>
  </si>
  <si>
    <t>leptin receptor</t>
  </si>
  <si>
    <t>ENSMUSG00000024826</t>
  </si>
  <si>
    <t>D4, zinc and double PHD fingers family 2</t>
  </si>
  <si>
    <t>ENSMUSG00000079108</t>
  </si>
  <si>
    <t>signal recognition particle 54C</t>
  </si>
  <si>
    <t>signal recognition particle 54B</t>
  </si>
  <si>
    <t>ENSMUSG00000054237</t>
  </si>
  <si>
    <t>FRA10AC1 homolog (human)</t>
  </si>
  <si>
    <t>ENSMUSG00000053137</t>
  </si>
  <si>
    <t>mitogen-activated protein kinase 11</t>
  </si>
  <si>
    <t>ENSMUSG00000037119</t>
  </si>
  <si>
    <t>family with sequence similarity 91, member A1</t>
  </si>
  <si>
    <t>ENSMUSG00000003410</t>
  </si>
  <si>
    <t>ELAV (embryonic lethal, abnormal vision, Drosophila)-like 3 (Hu antigen C)</t>
  </si>
  <si>
    <t>ENSMUSG00000059060</t>
  </si>
  <si>
    <t>RAD51 paralog B</t>
  </si>
  <si>
    <t>ENSMUSG00000032482</t>
  </si>
  <si>
    <t>chondroitin sulfate proteoglycan 5</t>
  </si>
  <si>
    <t>ENSMUSG00000062054</t>
  </si>
  <si>
    <t>isoamyl acetate-hydrolyzing esterase 1 homolog</t>
  </si>
  <si>
    <t>ENSMUSG00000030187</t>
  </si>
  <si>
    <t>killer cell lectin-like receptor, subfamily A, member 2</t>
  </si>
  <si>
    <t>ENSMUSG00000081534</t>
  </si>
  <si>
    <t>solute carrier family 48 (heme transporter), member 1</t>
  </si>
  <si>
    <t>ENSMUSG00000031227</t>
  </si>
  <si>
    <t>melanoma antigen, family E, 1</t>
  </si>
  <si>
    <t>ENSMUSG00000001985</t>
  </si>
  <si>
    <t>glutamate receptor, ionotropic, kainate 3</t>
  </si>
  <si>
    <t>ENSMUSG00000064177</t>
  </si>
  <si>
    <t>ghrelin</t>
  </si>
  <si>
    <t>ENSMUSG00000028655</t>
  </si>
  <si>
    <t>major facilitator superfamily domain containing 2A</t>
  </si>
  <si>
    <t>ENSMUSG00000040812</t>
  </si>
  <si>
    <t>ATP/GTP binding protein-like 2</t>
  </si>
  <si>
    <t>ENSMUSG00000030602</t>
  </si>
  <si>
    <t>p21 protein (Cdc42/Rac)-activated kinase 4</t>
  </si>
  <si>
    <t>ENSMUSG00000031295</t>
  </si>
  <si>
    <t>phosphorylase kinase alpha 2</t>
  </si>
  <si>
    <t>ENSMUSG00000042743</t>
  </si>
  <si>
    <t>small glutamine-rich tetratricopeptide repeat (TPR)-containing, beta</t>
  </si>
  <si>
    <t>ENSMUSG00000060397</t>
  </si>
  <si>
    <t>zinc finger protein 128</t>
  </si>
  <si>
    <t>ENSMUSG00000079465</t>
  </si>
  <si>
    <t>collagen, type IV, alpha 3</t>
  </si>
  <si>
    <t>ENSMUSG00000033061</t>
  </si>
  <si>
    <t>regulated endocrine-specific protein 18</t>
  </si>
  <si>
    <t>ENSMUSG00000089774</t>
  </si>
  <si>
    <t>solute carrier family 5 (inositol transporters), member 3</t>
  </si>
  <si>
    <t>ENSMUSG00000024511</t>
  </si>
  <si>
    <t>RAB27B, member RAS oncogene family</t>
  </si>
  <si>
    <t>ENSMUSG00000054196</t>
  </si>
  <si>
    <t>collagen triple helix repeat containing 1</t>
  </si>
  <si>
    <t>ENSMUSG00000032135</t>
  </si>
  <si>
    <t>melanoma cell adhesion molecule</t>
  </si>
  <si>
    <t>ENSMUSG00000018906</t>
  </si>
  <si>
    <t>procollagen-proline, 2-oxoglutarate 4-dioxygenase (proline 4-hydroxylase), alpha II polypeptide</t>
  </si>
  <si>
    <t>ENSMUSG00000031556</t>
  </si>
  <si>
    <t>TM2 domain containing 2</t>
  </si>
  <si>
    <t>ENSMUSG00000046480</t>
  </si>
  <si>
    <t>sodium channel, type IV, beta</t>
  </si>
  <si>
    <t>ENSMUSG00000045594</t>
  </si>
  <si>
    <t>galactosidase, beta 1</t>
  </si>
  <si>
    <t>ENSMUSG00000037331</t>
  </si>
  <si>
    <t>La ribonucleoprotein domain family, member 1</t>
  </si>
  <si>
    <t>ENSMUSG00000079317</t>
  </si>
  <si>
    <t>trafficking protein particle complex 2</t>
  </si>
  <si>
    <t>ENSMUSG00000028788</t>
  </si>
  <si>
    <t>protein tyrosine phosphatase 4a2</t>
  </si>
  <si>
    <t>ENSMUSG00000086316</t>
  </si>
  <si>
    <t>RIKEN cDNA 2210013O21 gene</t>
  </si>
  <si>
    <t>ENSMUSG00000028228</t>
  </si>
  <si>
    <t>copine III</t>
  </si>
  <si>
    <t>ENSMUSG00000027199</t>
  </si>
  <si>
    <t>glycine amidinotransferase (L-arginine:glycine amidinotransferase)</t>
  </si>
  <si>
    <t>ENSMUSG00000084950</t>
  </si>
  <si>
    <t>predicted gene 5577</t>
  </si>
  <si>
    <t>ENSMUSG00000031950</t>
  </si>
  <si>
    <t>gamma-aminobutyric acid (GABA) A receptor-associated protein-like 2</t>
  </si>
  <si>
    <t>ENSMUSG00000054792</t>
  </si>
  <si>
    <t>kelch-like 18</t>
  </si>
  <si>
    <t>ENSMUSG00000026163</t>
  </si>
  <si>
    <t>SPHK1 interactor, AKAP domain containing</t>
  </si>
  <si>
    <t>ENSMUSG00000060519</t>
  </si>
  <si>
    <t>torsin family 3, member A</t>
  </si>
  <si>
    <t>ENSMUSG00000053641</t>
  </si>
  <si>
    <t>DENN/MADD domain containing 4A</t>
  </si>
  <si>
    <t>ENSMUSG00000022724</t>
  </si>
  <si>
    <t>myc induced nuclear antigen</t>
  </si>
  <si>
    <t>ENSMUSG00000045689</t>
  </si>
  <si>
    <t>protocadherin beta 4</t>
  </si>
  <si>
    <t>ENSMUSG00000000631</t>
  </si>
  <si>
    <t>myosin XVIIIA</t>
  </si>
  <si>
    <t>ENSMUSG00000030737</t>
  </si>
  <si>
    <t>solute carrier organic anion transporter family, member 2b1</t>
  </si>
  <si>
    <t>ENSMUSG00000059713</t>
  </si>
  <si>
    <t>regulator of calcineurin 3</t>
  </si>
  <si>
    <t>ENSMUSG00000021266</t>
  </si>
  <si>
    <t>tryptophanyl-tRNA synthetase</t>
  </si>
  <si>
    <t>ENSMUSG00000054808</t>
  </si>
  <si>
    <t>actinin alpha 4</t>
  </si>
  <si>
    <t>ENSMUSG00000026436</t>
  </si>
  <si>
    <t>ELK4, member of ETS oncogene family</t>
  </si>
  <si>
    <t>ENSMUSG00000022973</t>
  </si>
  <si>
    <t>synaptojanin 1</t>
  </si>
  <si>
    <t>ENSMUSG00000029206</t>
  </si>
  <si>
    <t>NOL1/NOP2/Sun domain family, member 7</t>
  </si>
  <si>
    <t>ENSMUSG00000026087</t>
  </si>
  <si>
    <t>mitochondrial ribosomal protein L30</t>
  </si>
  <si>
    <t>ENSMUSG00000054277</t>
  </si>
  <si>
    <t>ADP-ribosylation factor GTPase activating protein 3</t>
  </si>
  <si>
    <t>ENSMUSG00000042524</t>
  </si>
  <si>
    <t>Sad1 and UNC84 domain containing 2</t>
  </si>
  <si>
    <t>ENSMUSG00000041658</t>
  </si>
  <si>
    <t>Ras-related GTP binding B</t>
  </si>
  <si>
    <t>ENSMUSG00000020364</t>
  </si>
  <si>
    <t>zinc finger protein 354A</t>
  </si>
  <si>
    <t>ENSMUSG00000025920</t>
  </si>
  <si>
    <t>staufen (RNA binding protein) homolog 2 (Drosophila)</t>
  </si>
  <si>
    <t>ENSMUSG00000045328</t>
  </si>
  <si>
    <t>centromere protein E</t>
  </si>
  <si>
    <t>ENSMUSG00000046111</t>
  </si>
  <si>
    <t>centrosomal protein 295</t>
  </si>
  <si>
    <t>ENSMUSG00000091523</t>
  </si>
  <si>
    <t>expressed sequence AU040972</t>
  </si>
  <si>
    <t>ENSMUSG00000034205</t>
  </si>
  <si>
    <t>lysyl oxidase-like 2</t>
  </si>
  <si>
    <t>ENSMUSG00000028111</t>
  </si>
  <si>
    <t>cathepsin K</t>
  </si>
  <si>
    <t>ENSMUSG00000048897</t>
  </si>
  <si>
    <t>zinc finger protein 710</t>
  </si>
  <si>
    <t>ENSMUSG00000031278</t>
  </si>
  <si>
    <t>acyl-CoA synthetase long-chain family member 4</t>
  </si>
  <si>
    <t>ENSMUSG00000049922</t>
  </si>
  <si>
    <t>solute carrier family 35, member C1</t>
  </si>
  <si>
    <t>ENSMUSG00000033060</t>
  </si>
  <si>
    <t>LIM domain only 7</t>
  </si>
  <si>
    <t>ENSMUSG00000014355</t>
  </si>
  <si>
    <t>anaphase promoting complex subunit 1</t>
  </si>
  <si>
    <t>ENSMUSG00000020048</t>
  </si>
  <si>
    <t>heat shock protein 90, beta (Grp94), member 1</t>
  </si>
  <si>
    <t>ENSMUSG00000026622</t>
  </si>
  <si>
    <t>NIMA (never in mitosis gene a)-related expressed kinase 2</t>
  </si>
  <si>
    <t>ENSMUSG00000032422</t>
  </si>
  <si>
    <t>sorting nexin 14</t>
  </si>
  <si>
    <t>ENSMUSG00000037921</t>
  </si>
  <si>
    <t>DEAD (Asp-Glu-Ala-Asp) box polypeptide 60</t>
  </si>
  <si>
    <t>ENSMUSG00000026404</t>
  </si>
  <si>
    <t>DEAD (Asp-Glu-Ala-Asp) box polypeptide 59</t>
  </si>
  <si>
    <t>ENSMUSG00000052331</t>
  </si>
  <si>
    <t>ankyrin repeat domain 44</t>
  </si>
  <si>
    <t>ENSMUSG00000020863</t>
  </si>
  <si>
    <t>LUC7-like 3 (S. cerevisiae)</t>
  </si>
  <si>
    <t>ENSMUSG00000032244</t>
  </si>
  <si>
    <t>feminization 1 homolog b (C. elegans)</t>
  </si>
  <si>
    <t>ENSMUSG00000108077</t>
  </si>
  <si>
    <t>RIKEN cDNA 6330415B21 gene</t>
  </si>
  <si>
    <t>ENSMUSG00000026748</t>
  </si>
  <si>
    <t>plexin domain containing 2</t>
  </si>
  <si>
    <t>ENSMUSG00000022515</t>
  </si>
  <si>
    <t>ankyrin repeat and sterile alpha motif domain containing 3</t>
  </si>
  <si>
    <t>ENSMUSG00000079012</t>
  </si>
  <si>
    <t>serine (or cysteine) peptidase inhibitor, clade A, member 3M</t>
  </si>
  <si>
    <t>ENSMUSG00000037020</t>
  </si>
  <si>
    <t>WD repeat domain 62</t>
  </si>
  <si>
    <t>ENSMUSG00000030726</t>
  </si>
  <si>
    <t>polymerase (DNA-directed), delta 3, accessory subunit</t>
  </si>
  <si>
    <t>ENSMUSG00000040549</t>
  </si>
  <si>
    <t>cytoskeleton associated protein 5</t>
  </si>
  <si>
    <t>ENSMUSG00000030751</t>
  </si>
  <si>
    <t>proteasome (prosome, macropain) subunit, alpha type 1</t>
  </si>
  <si>
    <t>ENSMUSG00000026858</t>
  </si>
  <si>
    <t>mitoguardin 2</t>
  </si>
  <si>
    <t>ENSMUSG00000028057</t>
  </si>
  <si>
    <t>Ras-like without CAAX 1</t>
  </si>
  <si>
    <t>ENSMUSG00000030199</t>
  </si>
  <si>
    <t>ets variant 6</t>
  </si>
  <si>
    <t>ENSMUSG00000029560</t>
  </si>
  <si>
    <t>sorting nexin 8</t>
  </si>
  <si>
    <t>ENSMUSG00000066647</t>
  </si>
  <si>
    <t>predicted gene 5113</t>
  </si>
  <si>
    <t>ENSMUSG00000029659</t>
  </si>
  <si>
    <t>mesenteric estrogen dependent adipogenesis</t>
  </si>
  <si>
    <t>ENSMUSG00000025006</t>
  </si>
  <si>
    <t>sorbin and SH3 domain containing 1</t>
  </si>
  <si>
    <t>ENSMUSG00000000171</t>
  </si>
  <si>
    <t>succinate dehydrogenase complex, subunit D, integral membrane protein</t>
  </si>
  <si>
    <t>ENSMUSG00000041779</t>
  </si>
  <si>
    <t>translocating chain-associating membrane protein 2</t>
  </si>
  <si>
    <t>ENSMUSG00000023341</t>
  </si>
  <si>
    <t>MX dynamin-like GTPase 2</t>
  </si>
  <si>
    <t>ENSMUSG00000057130</t>
  </si>
  <si>
    <t>thioredoxin-like 4A</t>
  </si>
  <si>
    <t>ENSMUSG00000010936</t>
  </si>
  <si>
    <t>Vac14 homolog (S. cerevisiae)</t>
  </si>
  <si>
    <t>ENSMUSG00000010517</t>
  </si>
  <si>
    <t>Fas-associated factor 1</t>
  </si>
  <si>
    <t>ENSMUSG00000075596</t>
  </si>
  <si>
    <t>RIKEN cDNA B130006D01 gene</t>
  </si>
  <si>
    <t>ENSMUSG00000098134</t>
  </si>
  <si>
    <t>ring finger protein 113A2</t>
  </si>
  <si>
    <t>ENSMUSG00000030802</t>
  </si>
  <si>
    <t>branched chain ketoacid dehydrogenase kinase</t>
  </si>
  <si>
    <t>ENSMUSG00000053334</t>
  </si>
  <si>
    <t>FIC domain containing</t>
  </si>
  <si>
    <t>ENSMUSG00000049047</t>
  </si>
  <si>
    <t>armadillo repeat containing, X-linked 3</t>
  </si>
  <si>
    <t>ENSMUSG00000031451</t>
  </si>
  <si>
    <t>growth arrest specific 6</t>
  </si>
  <si>
    <t>ENSMUSG00000039103</t>
  </si>
  <si>
    <t>nexilin</t>
  </si>
  <si>
    <t>ENSMUSG00000043067</t>
  </si>
  <si>
    <t>dpy-19-like 1 (C. elegans)</t>
  </si>
  <si>
    <t>ENSMUSG00000037001</t>
  </si>
  <si>
    <t>zinc finger protein 39</t>
  </si>
  <si>
    <t>ENSMUSG00000103800</t>
  </si>
  <si>
    <t>protocadherin alpha 8</t>
  </si>
  <si>
    <t>ENSMUSG00000018678</t>
  </si>
  <si>
    <t>Sp2 transcription factor</t>
  </si>
  <si>
    <t>ENSMUSG00000040537</t>
  </si>
  <si>
    <t>a disintegrin and metallopeptidase domain 22</t>
  </si>
  <si>
    <t>ENSMUSG00000050075</t>
  </si>
  <si>
    <t>G protein-coupled receptor 171</t>
  </si>
  <si>
    <t>ENSMUSG00000020069</t>
  </si>
  <si>
    <t>heterogeneous nuclear ribonucleoprotein H3</t>
  </si>
  <si>
    <t>ENSMUSG00000079197</t>
  </si>
  <si>
    <t>proteasome (prosome, macropain) activator subunit 2 (PA28 beta)</t>
  </si>
  <si>
    <t>ENSMUSG00000024427</t>
  </si>
  <si>
    <t>sprouty homolog 4 (Drosophila)</t>
  </si>
  <si>
    <t>ENSMUSG00000021681</t>
  </si>
  <si>
    <t>angiogenic factor with G patch and FHA domains 1</t>
  </si>
  <si>
    <t>ENSMUSG00000045679</t>
  </si>
  <si>
    <t>PQ loop repeat containing</t>
  </si>
  <si>
    <t>ENSMUSG00000011306</t>
  </si>
  <si>
    <t>SURP and G patch domain containing 1</t>
  </si>
  <si>
    <t>ENSMUSG00000025381</t>
  </si>
  <si>
    <t>canopy FGF signaling regulator 2</t>
  </si>
  <si>
    <t>ENSMUSG00000031918</t>
  </si>
  <si>
    <t>myotubularin related protein 2</t>
  </si>
  <si>
    <t>ENSMUSG00000044712</t>
  </si>
  <si>
    <t>solute carrier family 38, member 6</t>
  </si>
  <si>
    <t>ENSMUSG00000028271</t>
  </si>
  <si>
    <t>general transcription factor IIB</t>
  </si>
  <si>
    <t>ENSMUSG00000035914</t>
  </si>
  <si>
    <t>CD276 antigen</t>
  </si>
  <si>
    <t>ENSMUSG00000097290</t>
  </si>
  <si>
    <t>RIKEN cDNA 1300002E11 gene</t>
  </si>
  <si>
    <t>ENSMUSG00000049339</t>
  </si>
  <si>
    <t>family with sequence similarity 134, member A</t>
  </si>
  <si>
    <t>ENSMUSG00000021417</t>
  </si>
  <si>
    <t>enoyl-Coenzyme A delta isomerase 2</t>
  </si>
  <si>
    <t>ENSMUSG00000022706</t>
  </si>
  <si>
    <t>mitochondrial ribosomal protein L40</t>
  </si>
  <si>
    <t>ENSMUSG00000072889</t>
  </si>
  <si>
    <t>nuclear transcription factor, X-box binding-like 1</t>
  </si>
  <si>
    <t>ENSMUSG00000040774</t>
  </si>
  <si>
    <t>choline/ethanolaminephosphotransferase 1</t>
  </si>
  <si>
    <t>ENSMUSG00000026309</t>
  </si>
  <si>
    <t>integrin-linked kinase-associated serine/threonine phosphatase 2C</t>
  </si>
  <si>
    <t>ENSMUSG00000059493</t>
  </si>
  <si>
    <t>Nance-Horan syndrome (human)</t>
  </si>
  <si>
    <t>ENSMUSG00000020167</t>
  </si>
  <si>
    <t>transcription factor 3</t>
  </si>
  <si>
    <t>ENSMUSG00000045031</t>
  </si>
  <si>
    <t>centrin 4</t>
  </si>
  <si>
    <t>ENSMUSG00000033808</t>
  </si>
  <si>
    <t>transmembrane protein 87A</t>
  </si>
  <si>
    <t>ENSMUSG00000028347</t>
  </si>
  <si>
    <t>transmembrane protein with EGF-like and two follistatin-like domains 1</t>
  </si>
  <si>
    <t>ENSMUSG00000025059</t>
  </si>
  <si>
    <t>glycerol kinase</t>
  </si>
  <si>
    <t>ENSMUSG00000024150</t>
  </si>
  <si>
    <t>multiple coagulation factor deficiency 2</t>
  </si>
  <si>
    <t>ENSMUSG00000025525</t>
  </si>
  <si>
    <t>apolipoprotein O-like</t>
  </si>
  <si>
    <t>ENSMUSG00000053841</t>
  </si>
  <si>
    <t>taxilin alpha</t>
  </si>
  <si>
    <t>ENSMUSG00000000168</t>
  </si>
  <si>
    <t>dihydrolipoamide S-acetyltransferase (E2 component of pyruvate dehydrogenase complex)</t>
  </si>
  <si>
    <t>ENSMUSG00000034610</t>
  </si>
  <si>
    <t>zinc finger, CCHC domain containing 11</t>
  </si>
  <si>
    <t>ENSMUSG00000052928</t>
  </si>
  <si>
    <t>CBP80/20-dependent translation initiation factor</t>
  </si>
  <si>
    <t>ENSMUSG00000071655</t>
  </si>
  <si>
    <t>UBX domain protein 1</t>
  </si>
  <si>
    <t>ENSMUSG00000000567</t>
  </si>
  <si>
    <t>SRY (sex determining region Y)-box 9</t>
  </si>
  <si>
    <t>ENSMUSG00000042724</t>
  </si>
  <si>
    <t>mitogen-activated protein kinase kinase kinase 9</t>
  </si>
  <si>
    <t>ENSMUSG00000024188</t>
  </si>
  <si>
    <t>Luc7-like</t>
  </si>
  <si>
    <t>ENSMUSG00000025981</t>
  </si>
  <si>
    <t>coenzyme Q10B</t>
  </si>
  <si>
    <t>ENSMUSG00000072972</t>
  </si>
  <si>
    <t>a disintegrin and metallopeptidase domain 4</t>
  </si>
  <si>
    <t>ENSMUSG00000036636</t>
  </si>
  <si>
    <t>chloride channel, voltage-sensitive 7</t>
  </si>
  <si>
    <t>ENSMUSG00000047412</t>
  </si>
  <si>
    <t>zinc finger and BTB domain containing 44</t>
  </si>
  <si>
    <t>ENSMUSG00000026036</t>
  </si>
  <si>
    <t>Ngg1 interacting factor 3-like 1 (S. pombe)</t>
  </si>
  <si>
    <t>ENSMUSG00000045038</t>
  </si>
  <si>
    <t>protein kinase C, epsilon</t>
  </si>
  <si>
    <t>ENSMUSG00000033762</t>
  </si>
  <si>
    <t>RecQ protein-like 4</t>
  </si>
  <si>
    <t>ENSMUSG00000049411</t>
  </si>
  <si>
    <t>transmembrane protein 241</t>
  </si>
  <si>
    <t>ENSMUSG00000028483</t>
  </si>
  <si>
    <t>small nuclear RNA activating complex, polypeptide 3</t>
  </si>
  <si>
    <t>ENSMUSG00000078429</t>
  </si>
  <si>
    <t>CTD (carboxy-terminal domain, RNA polymerase II, polypeptide A) small phosphatase 2</t>
  </si>
  <si>
    <t>ENSMUSG00000058761</t>
  </si>
  <si>
    <t>ring finger protein 169</t>
  </si>
  <si>
    <t>ENSMUSG00000005362</t>
  </si>
  <si>
    <t>cereblon</t>
  </si>
  <si>
    <t>ENSMUSG00000039148</t>
  </si>
  <si>
    <t>squamous cell carcinoma antigen recognized by T cells 1</t>
  </si>
  <si>
    <t>ENSMUSG00000055932</t>
  </si>
  <si>
    <t>fat mass and obesity associated</t>
  </si>
  <si>
    <t>ENSMUSG00000033039</t>
  </si>
  <si>
    <t>microtubule associated monooxygenase, calponin and LIM domain containing -like 1</t>
  </si>
  <si>
    <t>ENSMUSG00000029146</t>
  </si>
  <si>
    <t>sorting nexin 17</t>
  </si>
  <si>
    <t>ENSMUSG00000057530</t>
  </si>
  <si>
    <t>endothelin converting enzyme 1</t>
  </si>
  <si>
    <t>ENSMUSG00000033720</t>
  </si>
  <si>
    <t>sideroflexin 5</t>
  </si>
  <si>
    <t>ENSMUSG00000026873</t>
  </si>
  <si>
    <t>PHD finger protein 19</t>
  </si>
  <si>
    <t>ENSMUSG00000044350</t>
  </si>
  <si>
    <t>laccase (multicopper oxidoreductase) domain containing 1</t>
  </si>
  <si>
    <t>ENSMUSG00000032398</t>
  </si>
  <si>
    <t>small nuclear RNA activating complex, polypeptide 5</t>
  </si>
  <si>
    <t>ENSMUSG00000014077</t>
  </si>
  <si>
    <t>calcineurin-like EF hand protein 1</t>
  </si>
  <si>
    <t>ENSMUSG00000041028</t>
  </si>
  <si>
    <t>growth hormone inducible transmembrane protein</t>
  </si>
  <si>
    <t>ENSMUSG00000020121</t>
  </si>
  <si>
    <t>SLIT-ROBO Rho GTPase activating protein 1</t>
  </si>
  <si>
    <t>ENSMUSG00000031562</t>
  </si>
  <si>
    <t>dCMP deaminase</t>
  </si>
  <si>
    <t>ENSMUSG00000055652</t>
  </si>
  <si>
    <t>kelch-like 25</t>
  </si>
  <si>
    <t>ENSMUSG00000036632</t>
  </si>
  <si>
    <t>asparagine-linked glycosylation 5 (dolichyl-phosphate beta-glucosyltransferase)</t>
  </si>
  <si>
    <t>ENSMUSG00000029104</t>
  </si>
  <si>
    <t>huntingtin</t>
  </si>
  <si>
    <t>ENSMUSG00000032905</t>
  </si>
  <si>
    <t>autophagy related 12</t>
  </si>
  <si>
    <t>ENSMUSG00000007833</t>
  </si>
  <si>
    <t>aldehyde dehydrogenase 16 family, member A1</t>
  </si>
  <si>
    <t>ENSMUSG00000058317</t>
  </si>
  <si>
    <t>ubiquitin-conjugating enzyme E2E 2</t>
  </si>
  <si>
    <t>ENSMUSG00000035877</t>
  </si>
  <si>
    <t>zinc fingers and homeoboxes 3</t>
  </si>
  <si>
    <t>ENSMUSG00000038773</t>
  </si>
  <si>
    <t>KDM3B lysine (K)-specific demethylase 3B</t>
  </si>
  <si>
    <t>ENSMUSG00000093930</t>
  </si>
  <si>
    <t>3-hydroxy-3-methylglutaryl-Coenzyme A synthase 1</t>
  </si>
  <si>
    <t>ENSMUSG00000025151</t>
  </si>
  <si>
    <t>melanoma antigen, family D, 1</t>
  </si>
  <si>
    <t>ENSMUSG00000026283</t>
  </si>
  <si>
    <t>inhibitor of growth family, member 5</t>
  </si>
  <si>
    <t>ENSMUSG00000078862</t>
  </si>
  <si>
    <t>predicted gene 14326</t>
  </si>
  <si>
    <t>predicted gene 14391</t>
  </si>
  <si>
    <t>ENSMUSG00000034459</t>
  </si>
  <si>
    <t>interferon-induced protein with tetratricopeptide repeats 1</t>
  </si>
  <si>
    <t>ENSMUSG00000015889</t>
  </si>
  <si>
    <t>leukotriene A4 hydrolase</t>
  </si>
  <si>
    <t>ENSMUSG00000011752</t>
  </si>
  <si>
    <t>phosphoglycerate mutase 1</t>
  </si>
  <si>
    <t>ENSMUSG00000034329</t>
  </si>
  <si>
    <t>BRCA1 interacting protein C-terminal helicase 1</t>
  </si>
  <si>
    <t>ENSMUSG00000037315</t>
  </si>
  <si>
    <t>jade family PHD finger 3</t>
  </si>
  <si>
    <t>ENSMUSG00000004934</t>
  </si>
  <si>
    <t>protein inhibitor of activated STAT 4</t>
  </si>
  <si>
    <t>ENSMUSG00000029468</t>
  </si>
  <si>
    <t>purinergic receptor P2X, ligand-gated ion channel, 7</t>
  </si>
  <si>
    <t>ENSMUSG00000031723</t>
  </si>
  <si>
    <t>thioredoxin-like 4B</t>
  </si>
  <si>
    <t>ENSMUSG00000025616</t>
  </si>
  <si>
    <t>ubiquitin specific peptidase 16</t>
  </si>
  <si>
    <t>ENSMUSG00000096910</t>
  </si>
  <si>
    <t>zinc finger protein 955B</t>
  </si>
  <si>
    <t>ENSMUSG00000026578</t>
  </si>
  <si>
    <t>coiled-coil domain containing 181</t>
  </si>
  <si>
    <t>ENSMUSG00000025613</t>
  </si>
  <si>
    <t>chaperonin containing Tcp1, subunit 8 (theta)</t>
  </si>
  <si>
    <t>ENSMUSG00000071669</t>
  </si>
  <si>
    <t>sorting nexin 29</t>
  </si>
  <si>
    <t>ENSMUSG00000022656</t>
  </si>
  <si>
    <t>nectin cell adhesion molecule 3</t>
  </si>
  <si>
    <t>ENSMUSG00000025279</t>
  </si>
  <si>
    <t>deoxyribonuclease 1-like 3</t>
  </si>
  <si>
    <t>ENSMUSG00000029623</t>
  </si>
  <si>
    <t>PDGFA associated protein 1</t>
  </si>
  <si>
    <t>ENSMUSG00000028018</t>
  </si>
  <si>
    <t>glutathione S-transferase, C-terminal domain containing</t>
  </si>
  <si>
    <t>ENSMUSG00000029438</t>
  </si>
  <si>
    <t>B cell CLL/lymphoma 7A</t>
  </si>
  <si>
    <t>ENSMUSG00000049807</t>
  </si>
  <si>
    <t>Rho GTPase activating protein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</si>
</sst>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4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554"/>
  <sheetViews>
    <sheetView tabSelected="1" workbookViewId="0">
      <pane ySplit="1" topLeftCell="A2" activePane="bottomLeft" state="frozen"/>
      <selection pane="bottomLeft" activeCell="G2" sqref="G2"/>
    </sheetView>
  </sheetViews>
  <sheetFormatPr baseColWidth="10" defaultRowHeight="16" x14ac:dyDescent="0.2"/>
  <cols>
    <col min="1" max="1" width="21" bestFit="1" customWidth="1"/>
    <col min="2" max="2" width="14.33203125" bestFit="1" customWidth="1"/>
    <col min="3" max="3" width="10.1640625" bestFit="1" customWidth="1"/>
    <col min="4" max="4" width="126.5" bestFit="1" customWidth="1"/>
    <col min="5" max="5" width="33" bestFit="1" customWidth="1"/>
    <col min="6" max="6" width="6.5" bestFit="1" customWidth="1"/>
    <col min="7" max="7" width="15.5" bestFit="1" customWidth="1"/>
    <col min="8" max="8" width="16.5" bestFit="1" customWidth="1"/>
    <col min="9" max="9" width="12.83203125" bestFit="1" customWidth="1"/>
    <col min="10" max="10" width="12.1640625" bestFit="1" customWidth="1"/>
    <col min="11" max="11" width="14.33203125" bestFit="1" customWidth="1"/>
    <col min="12" max="12" width="9.83203125" bestFit="1" customWidth="1"/>
    <col min="13" max="13" width="6.33203125" bestFit="1" customWidth="1"/>
    <col min="14" max="16" width="12.1640625" bestFit="1" customWidth="1"/>
    <col min="17" max="19" width="12.6640625" bestFit="1" customWidth="1"/>
    <col min="20" max="23" width="15.5" bestFit="1" customWidth="1"/>
  </cols>
  <sheetData>
    <row r="1" spans="1:23" s="2" customForma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</row>
    <row r="2" spans="1:23" x14ac:dyDescent="0.2">
      <c r="A2" t="s">
        <v>23</v>
      </c>
      <c r="B2" s="3" t="str">
        <f>HYPERLINK("http://www.ncbi.nlm.nih.gov/gene/12824","Col2a1")</f>
        <v>Col2a1</v>
      </c>
      <c r="C2">
        <v>12824</v>
      </c>
      <c r="D2" t="s">
        <v>24</v>
      </c>
      <c r="E2" s="3" t="str">
        <f>HYPERLINK("http://genome.ucsc.edu/cgi-bin/hgTracks?db=mm10&amp;lastVirtModeType=default&amp;lastVirtModeExtraState=&amp;virtModeType=default&amp;virtMode=0&amp;nonVirtPosition=&amp;position=chr15:97975601-98004724","chr15:97975601-98004724")</f>
        <v>chr15:97975601-98004724</v>
      </c>
      <c r="F2" t="s">
        <v>25</v>
      </c>
      <c r="G2">
        <v>3.7428347766595298</v>
      </c>
      <c r="H2">
        <v>0.162445718737421</v>
      </c>
      <c r="I2">
        <v>23.040525818408899</v>
      </c>
      <c r="J2" s="1">
        <v>1.8305563740866001E-117</v>
      </c>
      <c r="K2" s="1">
        <v>2.4512980405393701E-113</v>
      </c>
      <c r="L2" t="s">
        <v>26</v>
      </c>
      <c r="M2" t="s">
        <v>27</v>
      </c>
      <c r="N2">
        <v>428.12242365770999</v>
      </c>
      <c r="O2">
        <v>47.9335617100391</v>
      </c>
      <c r="P2">
        <v>713.264070118463</v>
      </c>
      <c r="Q2">
        <v>44.543403680457999</v>
      </c>
      <c r="R2">
        <v>48.544629266348103</v>
      </c>
      <c r="S2">
        <v>50.7126521833111</v>
      </c>
      <c r="T2">
        <v>545.37161115416995</v>
      </c>
      <c r="U2">
        <v>693.76718566691295</v>
      </c>
      <c r="V2">
        <v>779.05718769340001</v>
      </c>
      <c r="W2">
        <v>834.86029595936805</v>
      </c>
    </row>
    <row r="3" spans="1:23" x14ac:dyDescent="0.2">
      <c r="A3" t="s">
        <v>28</v>
      </c>
      <c r="B3" s="3" t="str">
        <f>HYPERLINK("http://www.ncbi.nlm.nih.gov/gene/73884","Zdbf2")</f>
        <v>Zdbf2</v>
      </c>
      <c r="C3">
        <v>73884</v>
      </c>
      <c r="D3" t="s">
        <v>29</v>
      </c>
      <c r="E3" s="3" t="str">
        <f>HYPERLINK("http://genome.ucsc.edu/cgi-bin/hgTracks?db=mm10&amp;lastVirtModeType=default&amp;lastVirtModeExtraState=&amp;virtModeType=default&amp;virtMode=0&amp;nonVirtPosition=&amp;position=chr1:63200357-63314575","chr1:63200357-63314575")</f>
        <v>chr1:63200357-63314575</v>
      </c>
      <c r="F3" t="s">
        <v>30</v>
      </c>
      <c r="G3">
        <v>4.4660855571561298</v>
      </c>
      <c r="H3">
        <v>0.20780459928044001</v>
      </c>
      <c r="I3">
        <v>21.491755103692299</v>
      </c>
      <c r="J3" s="1">
        <v>1.8594795545677701E-102</v>
      </c>
      <c r="K3" s="1">
        <v>1.24501453576085E-98</v>
      </c>
      <c r="L3" t="s">
        <v>26</v>
      </c>
      <c r="M3" t="s">
        <v>27</v>
      </c>
      <c r="N3">
        <v>352.61502288211199</v>
      </c>
      <c r="O3">
        <v>20.547148766538001</v>
      </c>
      <c r="P3">
        <v>601.66592846879303</v>
      </c>
      <c r="Q3">
        <v>13.363021104137401</v>
      </c>
      <c r="R3">
        <v>32.236667872184299</v>
      </c>
      <c r="S3">
        <v>16.041757323292298</v>
      </c>
      <c r="T3">
        <v>632.44775075021403</v>
      </c>
      <c r="U3">
        <v>558.86801067612498</v>
      </c>
      <c r="V3">
        <v>604.70727883283701</v>
      </c>
      <c r="W3">
        <v>610.64067361599496</v>
      </c>
    </row>
    <row r="4" spans="1:23" x14ac:dyDescent="0.2">
      <c r="A4" t="s">
        <v>31</v>
      </c>
      <c r="B4" s="3" t="str">
        <f>HYPERLINK("http://www.ncbi.nlm.nih.gov/gene/11984","Atp6v0c")</f>
        <v>Atp6v0c</v>
      </c>
      <c r="C4">
        <v>11984</v>
      </c>
      <c r="D4" t="s">
        <v>32</v>
      </c>
      <c r="E4" s="3" t="str">
        <f>HYPERLINK("http://genome.ucsc.edu/cgi-bin/hgTracks?db=mm10&amp;lastVirtModeType=default&amp;lastVirtModeExtraState=&amp;virtModeType=default&amp;virtMode=0&amp;nonVirtPosition=&amp;position=chr17:24163865-24169429","chr17:24163865-24169429")</f>
        <v>chr17:24163865-24169429</v>
      </c>
      <c r="F4" t="s">
        <v>25</v>
      </c>
      <c r="G4">
        <v>3.4139122956915098</v>
      </c>
      <c r="H4">
        <v>0.23485329976730801</v>
      </c>
      <c r="I4">
        <v>14.536360779576</v>
      </c>
      <c r="J4" s="1">
        <v>7.1282791476884398E-48</v>
      </c>
      <c r="K4" s="1">
        <v>3.1818262022231998E-44</v>
      </c>
      <c r="L4" t="s">
        <v>26</v>
      </c>
      <c r="M4" t="s">
        <v>27</v>
      </c>
      <c r="N4">
        <v>89.459119651983798</v>
      </c>
      <c r="O4">
        <v>10.7382142853861</v>
      </c>
      <c r="P4">
        <v>148.49979867693199</v>
      </c>
      <c r="Q4">
        <v>11.692643466120201</v>
      </c>
      <c r="R4">
        <v>7.58509832286689</v>
      </c>
      <c r="S4">
        <v>12.936901067171201</v>
      </c>
      <c r="T4">
        <v>155.82046032976299</v>
      </c>
      <c r="U4">
        <v>175.58305316261399</v>
      </c>
      <c r="V4">
        <v>130.210691427509</v>
      </c>
      <c r="W4">
        <v>132.38498978784301</v>
      </c>
    </row>
    <row r="5" spans="1:23" x14ac:dyDescent="0.2">
      <c r="A5" t="s">
        <v>33</v>
      </c>
      <c r="B5" s="3" t="str">
        <f>HYPERLINK("http://www.ncbi.nlm.nih.gov/gene/380669","Lin28b")</f>
        <v>Lin28b</v>
      </c>
      <c r="C5">
        <v>380669</v>
      </c>
      <c r="D5" t="s">
        <v>34</v>
      </c>
      <c r="E5" s="3" t="str">
        <f>HYPERLINK("http://genome.ucsc.edu/cgi-bin/hgTracks?db=mm10&amp;lastVirtModeType=default&amp;lastVirtModeExtraState=&amp;virtModeType=default&amp;virtMode=0&amp;nonVirtPosition=&amp;position=chr10:45376618-45470201","chr10:45376618-45470201")</f>
        <v>chr10:45376618-45470201</v>
      </c>
      <c r="F5" t="s">
        <v>25</v>
      </c>
      <c r="G5">
        <v>3.87670452069271</v>
      </c>
      <c r="H5">
        <v>0.26835459932783801</v>
      </c>
      <c r="I5">
        <v>14.446201147298799</v>
      </c>
      <c r="J5" s="1">
        <v>2.6489864521576298E-47</v>
      </c>
      <c r="K5" s="1">
        <v>8.8681443952106998E-44</v>
      </c>
      <c r="L5" t="s">
        <v>26</v>
      </c>
      <c r="M5" t="s">
        <v>27</v>
      </c>
      <c r="N5">
        <v>96.697751967776995</v>
      </c>
      <c r="O5">
        <v>6.8872250322345199</v>
      </c>
      <c r="P5">
        <v>164.055647169434</v>
      </c>
      <c r="Q5">
        <v>8.3518881900858695</v>
      </c>
      <c r="R5">
        <v>10.2398827358703</v>
      </c>
      <c r="S5">
        <v>2.0699041707473902</v>
      </c>
      <c r="T5">
        <v>201.650007485576</v>
      </c>
      <c r="U5">
        <v>171.30053967084299</v>
      </c>
      <c r="V5">
        <v>144.923763905193</v>
      </c>
      <c r="W5">
        <v>138.34827761612399</v>
      </c>
    </row>
    <row r="6" spans="1:23" x14ac:dyDescent="0.2">
      <c r="A6" t="s">
        <v>35</v>
      </c>
      <c r="B6" s="3" t="str">
        <f>HYPERLINK("http://www.ncbi.nlm.nih.gov/gene/55983","Pdzrn3")</f>
        <v>Pdzrn3</v>
      </c>
      <c r="C6">
        <v>55983</v>
      </c>
      <c r="D6" t="s">
        <v>36</v>
      </c>
      <c r="E6" s="3" t="str">
        <f>HYPERLINK("http://genome.ucsc.edu/cgi-bin/hgTracks?db=mm10&amp;lastVirtModeType=default&amp;lastVirtModeExtraState=&amp;virtModeType=default&amp;virtMode=0&amp;nonVirtPosition=&amp;position=chr6:101149606-101377897","chr6:101149606-101377897")</f>
        <v>chr6:101149606-101377897</v>
      </c>
      <c r="F6" t="s">
        <v>25</v>
      </c>
      <c r="G6">
        <v>2.4228704742348599</v>
      </c>
      <c r="H6">
        <v>0.174975563590374</v>
      </c>
      <c r="I6">
        <v>13.846907673959</v>
      </c>
      <c r="J6" s="1">
        <v>1.32807493938927E-43</v>
      </c>
      <c r="K6" s="1">
        <v>3.5568503026723502E-40</v>
      </c>
      <c r="L6" t="s">
        <v>26</v>
      </c>
      <c r="M6" t="s">
        <v>27</v>
      </c>
      <c r="N6">
        <v>140.080230593529</v>
      </c>
      <c r="O6">
        <v>37.573299660852399</v>
      </c>
      <c r="P6">
        <v>216.96042879303599</v>
      </c>
      <c r="Q6">
        <v>32.293967668332101</v>
      </c>
      <c r="R6">
        <v>40.580276027337902</v>
      </c>
      <c r="S6">
        <v>39.8456552868873</v>
      </c>
      <c r="T6">
        <v>187.90114333883199</v>
      </c>
      <c r="U6">
        <v>214.12567458855401</v>
      </c>
      <c r="V6">
        <v>252.32919299229101</v>
      </c>
      <c r="W6">
        <v>213.485704252467</v>
      </c>
    </row>
    <row r="7" spans="1:23" x14ac:dyDescent="0.2">
      <c r="A7" t="s">
        <v>37</v>
      </c>
      <c r="B7" s="3" t="str">
        <f>HYPERLINK("http://www.ncbi.nlm.nih.gov/gene/12293","Cacna2d1")</f>
        <v>Cacna2d1</v>
      </c>
      <c r="C7">
        <v>12293</v>
      </c>
      <c r="D7" t="s">
        <v>38</v>
      </c>
      <c r="E7" s="3" t="str">
        <f>HYPERLINK("http://genome.ucsc.edu/cgi-bin/hgTracks?db=mm10&amp;lastVirtModeType=default&amp;lastVirtModeExtraState=&amp;virtModeType=default&amp;virtMode=0&amp;nonVirtPosition=&amp;position=chr5:15934690-16374511","chr5:15934690-16374511")</f>
        <v>chr5:15934690-16374511</v>
      </c>
      <c r="F7" t="s">
        <v>30</v>
      </c>
      <c r="G7">
        <v>2.0813151413779201</v>
      </c>
      <c r="H7">
        <v>0.15613280265348101</v>
      </c>
      <c r="I7">
        <v>13.330415556538499</v>
      </c>
      <c r="J7" s="1">
        <v>1.5403723890300899E-40</v>
      </c>
      <c r="K7" s="1">
        <v>3.43785444358365E-37</v>
      </c>
      <c r="L7" t="s">
        <v>26</v>
      </c>
      <c r="M7" t="s">
        <v>27</v>
      </c>
      <c r="N7">
        <v>277.91879295164102</v>
      </c>
      <c r="O7">
        <v>92.018175965106295</v>
      </c>
      <c r="P7">
        <v>417.344255691542</v>
      </c>
      <c r="Q7">
        <v>83.518881900858702</v>
      </c>
      <c r="R7">
        <v>114.914239591433</v>
      </c>
      <c r="S7">
        <v>77.621406403027194</v>
      </c>
      <c r="T7">
        <v>430.797743264639</v>
      </c>
      <c r="U7">
        <v>413.26255195590801</v>
      </c>
      <c r="V7">
        <v>393.57468877806298</v>
      </c>
      <c r="W7">
        <v>431.742038767559</v>
      </c>
    </row>
    <row r="8" spans="1:23" x14ac:dyDescent="0.2">
      <c r="A8" t="s">
        <v>39</v>
      </c>
      <c r="B8" s="3" t="str">
        <f>HYPERLINK("http://www.ncbi.nlm.nih.gov/gene/80892","Zfhx4")</f>
        <v>Zfhx4</v>
      </c>
      <c r="C8">
        <v>80892</v>
      </c>
      <c r="D8" t="s">
        <v>40</v>
      </c>
      <c r="E8" s="3" t="str">
        <f>HYPERLINK("http://genome.ucsc.edu/cgi-bin/hgTracks?db=mm10&amp;lastVirtModeType=default&amp;lastVirtModeExtraState=&amp;virtModeType=default&amp;virtMode=0&amp;nonVirtPosition=&amp;position=chr3:5218553-5415855","chr3:5218553-5415855")</f>
        <v>chr3:5218553-5415855</v>
      </c>
      <c r="F8" t="s">
        <v>30</v>
      </c>
      <c r="G8">
        <v>2.8412008045829702</v>
      </c>
      <c r="H8">
        <v>0.21728690730329001</v>
      </c>
      <c r="I8">
        <v>13.0758030469697</v>
      </c>
      <c r="J8" s="1">
        <v>4.52757095879726E-39</v>
      </c>
      <c r="K8" s="1">
        <v>8.6612432441791605E-36</v>
      </c>
      <c r="L8" t="s">
        <v>26</v>
      </c>
      <c r="M8" t="s">
        <v>27</v>
      </c>
      <c r="N8">
        <v>198.08640489370299</v>
      </c>
      <c r="O8">
        <v>36.391911911706103</v>
      </c>
      <c r="P8">
        <v>319.357274630201</v>
      </c>
      <c r="Q8">
        <v>26.169249662269099</v>
      </c>
      <c r="R8">
        <v>51.957923511638199</v>
      </c>
      <c r="S8">
        <v>31.0485625612109</v>
      </c>
      <c r="T8">
        <v>403.30001497115097</v>
      </c>
      <c r="U8">
        <v>291.21091744043298</v>
      </c>
      <c r="V8">
        <v>269.249226341628</v>
      </c>
      <c r="W8">
        <v>313.66893976759098</v>
      </c>
    </row>
    <row r="9" spans="1:23" x14ac:dyDescent="0.2">
      <c r="A9" t="s">
        <v>41</v>
      </c>
      <c r="B9" s="3" t="str">
        <f>HYPERLINK("http://www.ncbi.nlm.nih.gov/gene/330166","Miat")</f>
        <v>Miat</v>
      </c>
      <c r="C9">
        <v>330166</v>
      </c>
      <c r="D9" t="s">
        <v>42</v>
      </c>
      <c r="E9" s="3" t="str">
        <f>HYPERLINK("http://genome.ucsc.edu/cgi-bin/hgTracks?db=mm10&amp;lastVirtModeType=default&amp;lastVirtModeExtraState=&amp;virtModeType=default&amp;virtMode=0&amp;nonVirtPosition=&amp;position=chr5:112213227-112228948","chr5:112213227-112228948")</f>
        <v>chr5:112213227-112228948</v>
      </c>
      <c r="F9" t="s">
        <v>25</v>
      </c>
      <c r="G9">
        <v>1.9777381413198201</v>
      </c>
      <c r="H9">
        <v>0.15815474473164901</v>
      </c>
      <c r="I9">
        <v>12.505082567554799</v>
      </c>
      <c r="J9" s="1">
        <v>7.00270264431544E-36</v>
      </c>
      <c r="K9" s="1">
        <v>1.1721648888753499E-32</v>
      </c>
      <c r="L9" t="s">
        <v>26</v>
      </c>
      <c r="M9" t="s">
        <v>27</v>
      </c>
      <c r="N9">
        <v>453.29657067842601</v>
      </c>
      <c r="O9">
        <v>161.47316017585899</v>
      </c>
      <c r="P9">
        <v>672.164128555351</v>
      </c>
      <c r="Q9">
        <v>159.79946070364301</v>
      </c>
      <c r="R9">
        <v>131.60145590174099</v>
      </c>
      <c r="S9">
        <v>193.01856392219401</v>
      </c>
      <c r="T9">
        <v>609.53297717230805</v>
      </c>
      <c r="U9">
        <v>805.11253645296097</v>
      </c>
      <c r="V9">
        <v>621.62731218217402</v>
      </c>
      <c r="W9">
        <v>652.383688413963</v>
      </c>
    </row>
    <row r="10" spans="1:23" x14ac:dyDescent="0.2">
      <c r="A10" t="s">
        <v>43</v>
      </c>
      <c r="B10" s="3" t="str">
        <f>HYPERLINK("http://www.ncbi.nlm.nih.gov/gene/14955","H19")</f>
        <v>H19</v>
      </c>
      <c r="C10">
        <v>14955</v>
      </c>
      <c r="D10" t="s">
        <v>44</v>
      </c>
      <c r="E10" s="3" t="str">
        <f>HYPERLINK("http://genome.ucsc.edu/cgi-bin/hgTracks?db=mm10&amp;lastVirtModeType=default&amp;lastVirtModeExtraState=&amp;virtModeType=default&amp;virtMode=0&amp;nonVirtPosition=&amp;position=chr7:142575529-142578146","chr7:142575529-142578146")</f>
        <v>chr7:142575529-142578146</v>
      </c>
      <c r="F10" t="s">
        <v>25</v>
      </c>
      <c r="G10">
        <v>2.8219932620794999</v>
      </c>
      <c r="H10">
        <v>0.23212967386534</v>
      </c>
      <c r="I10">
        <v>12.156969055651899</v>
      </c>
      <c r="J10" s="1">
        <v>5.2677084975347499E-34</v>
      </c>
      <c r="K10" s="1">
        <v>7.8377649433875402E-31</v>
      </c>
      <c r="L10" t="s">
        <v>26</v>
      </c>
      <c r="M10" t="s">
        <v>27</v>
      </c>
      <c r="N10">
        <v>167.39840808904799</v>
      </c>
      <c r="O10">
        <v>32.012196904027299</v>
      </c>
      <c r="P10">
        <v>268.93806647781298</v>
      </c>
      <c r="Q10">
        <v>32.850760214337797</v>
      </c>
      <c r="R10">
        <v>25.410079381604099</v>
      </c>
      <c r="S10">
        <v>37.775751116139901</v>
      </c>
      <c r="T10">
        <v>169.56932447650701</v>
      </c>
      <c r="U10">
        <v>224.83195831798099</v>
      </c>
      <c r="V10">
        <v>345.02154960170401</v>
      </c>
      <c r="W10">
        <v>336.32943351505997</v>
      </c>
    </row>
    <row r="11" spans="1:23" x14ac:dyDescent="0.2">
      <c r="A11" t="s">
        <v>45</v>
      </c>
      <c r="B11" s="3" t="str">
        <f>HYPERLINK("http://www.ncbi.nlm.nih.gov/gene/56711","Plag1")</f>
        <v>Plag1</v>
      </c>
      <c r="C11">
        <v>56711</v>
      </c>
      <c r="D11" t="s">
        <v>46</v>
      </c>
      <c r="E11" s="3" t="str">
        <f>HYPERLINK("http://genome.ucsc.edu/cgi-bin/hgTracks?db=mm10&amp;lastVirtModeType=default&amp;lastVirtModeExtraState=&amp;virtModeType=default&amp;virtMode=0&amp;nonVirtPosition=&amp;position=chr4:3901157-3938405","chr4:3901157-3938405")</f>
        <v>chr4:3901157-3938405</v>
      </c>
      <c r="F11" t="s">
        <v>25</v>
      </c>
      <c r="G11">
        <v>3.37850381006192</v>
      </c>
      <c r="H11">
        <v>0.28282988374337098</v>
      </c>
      <c r="I11">
        <v>11.945356570338401</v>
      </c>
      <c r="J11" s="1">
        <v>6.8655276988034594E-33</v>
      </c>
      <c r="K11" s="1">
        <v>9.1936281414677204E-30</v>
      </c>
      <c r="L11" t="s">
        <v>26</v>
      </c>
      <c r="M11" t="s">
        <v>27</v>
      </c>
      <c r="N11">
        <v>54.757033158416696</v>
      </c>
      <c r="O11">
        <v>5.4442016686170902</v>
      </c>
      <c r="P11">
        <v>91.741656775766302</v>
      </c>
      <c r="Q11">
        <v>6.1247180060629702</v>
      </c>
      <c r="R11">
        <v>6.0680786582935102</v>
      </c>
      <c r="S11">
        <v>4.1398083414947804</v>
      </c>
      <c r="T11">
        <v>128.322732036275</v>
      </c>
      <c r="U11">
        <v>64.237702376566105</v>
      </c>
      <c r="V11">
        <v>80.186245003381103</v>
      </c>
      <c r="W11">
        <v>94.2199476868429</v>
      </c>
    </row>
    <row r="12" spans="1:23" x14ac:dyDescent="0.2">
      <c r="A12" t="s">
        <v>47</v>
      </c>
      <c r="B12" s="3" t="str">
        <f>HYPERLINK("http://www.ncbi.nlm.nih.gov/gene/20750","Spp1")</f>
        <v>Spp1</v>
      </c>
      <c r="C12">
        <v>20750</v>
      </c>
      <c r="D12" t="s">
        <v>48</v>
      </c>
      <c r="E12" s="3" t="str">
        <f>HYPERLINK("http://genome.ucsc.edu/cgi-bin/hgTracks?db=mm10&amp;lastVirtModeType=default&amp;lastVirtModeExtraState=&amp;virtModeType=default&amp;virtMode=0&amp;nonVirtPosition=&amp;position=chr5:104436191-104441053","chr5:104436191-104441053")</f>
        <v>chr5:104436191-104441053</v>
      </c>
      <c r="F12" t="s">
        <v>30</v>
      </c>
      <c r="G12">
        <v>-2.5488828111485198</v>
      </c>
      <c r="H12">
        <v>0.21613444281396901</v>
      </c>
      <c r="I12">
        <v>-11.7930431538965</v>
      </c>
      <c r="J12" s="1">
        <v>4.2394052243435699E-32</v>
      </c>
      <c r="K12" s="1">
        <v>5.1608977599258804E-29</v>
      </c>
      <c r="L12" t="s">
        <v>26</v>
      </c>
      <c r="M12" t="s">
        <v>27</v>
      </c>
      <c r="N12">
        <v>213.35321962431999</v>
      </c>
      <c r="O12">
        <v>422.00738088203502</v>
      </c>
      <c r="P12">
        <v>56.862598681033901</v>
      </c>
      <c r="Q12">
        <v>368.59666545579</v>
      </c>
      <c r="R12">
        <v>371.66981782047799</v>
      </c>
      <c r="S12">
        <v>525.75565936983696</v>
      </c>
      <c r="T12">
        <v>27.497728293487601</v>
      </c>
      <c r="U12">
        <v>59.955188884795</v>
      </c>
      <c r="V12">
        <v>77.979284131728406</v>
      </c>
      <c r="W12">
        <v>62.018193414124497</v>
      </c>
    </row>
    <row r="13" spans="1:23" x14ac:dyDescent="0.2">
      <c r="A13" t="s">
        <v>49</v>
      </c>
      <c r="B13" s="3" t="str">
        <f>HYPERLINK("http://www.ncbi.nlm.nih.gov/gene/65255","Asb4")</f>
        <v>Asb4</v>
      </c>
      <c r="C13">
        <v>65255</v>
      </c>
      <c r="D13" t="s">
        <v>50</v>
      </c>
      <c r="E13" s="3" t="str">
        <f>HYPERLINK("http://genome.ucsc.edu/cgi-bin/hgTracks?db=mm10&amp;lastVirtModeType=default&amp;lastVirtModeExtraState=&amp;virtModeType=default&amp;virtMode=0&amp;nonVirtPosition=&amp;position=chr6:5383385-5433021","chr6:5383385-5433021")</f>
        <v>chr6:5383385-5433021</v>
      </c>
      <c r="F13" t="s">
        <v>30</v>
      </c>
      <c r="G13">
        <v>3.5420493280043099</v>
      </c>
      <c r="H13">
        <v>0.30366622661951698</v>
      </c>
      <c r="I13">
        <v>11.6642847228525</v>
      </c>
      <c r="J13" s="1">
        <v>1.9402684806771699E-31</v>
      </c>
      <c r="K13" s="1">
        <v>2.1651779353956702E-28</v>
      </c>
      <c r="L13" t="s">
        <v>26</v>
      </c>
      <c r="M13" t="s">
        <v>27</v>
      </c>
      <c r="N13">
        <v>117.62151650253401</v>
      </c>
      <c r="O13">
        <v>9.8266662355541108</v>
      </c>
      <c r="P13">
        <v>198.46765420276901</v>
      </c>
      <c r="Q13">
        <v>14.4766061961489</v>
      </c>
      <c r="R13">
        <v>5.6888237421501699</v>
      </c>
      <c r="S13">
        <v>9.3145687683632605</v>
      </c>
      <c r="T13">
        <v>238.31364521022601</v>
      </c>
      <c r="U13">
        <v>87.791526581306996</v>
      </c>
      <c r="V13">
        <v>262.62834372666998</v>
      </c>
      <c r="W13">
        <v>205.13710129287301</v>
      </c>
    </row>
    <row r="14" spans="1:23" x14ac:dyDescent="0.2">
      <c r="A14" t="s">
        <v>51</v>
      </c>
      <c r="B14" s="3" t="str">
        <f>HYPERLINK("http://www.ncbi.nlm.nih.gov/gene/16912","Psmb9")</f>
        <v>Psmb9</v>
      </c>
      <c r="C14">
        <v>16912</v>
      </c>
      <c r="D14" t="s">
        <v>52</v>
      </c>
      <c r="E14" s="3" t="str">
        <f>HYPERLINK("http://genome.ucsc.edu/cgi-bin/hgTracks?db=mm10&amp;lastVirtModeType=default&amp;lastVirtModeExtraState=&amp;virtModeType=default&amp;virtMode=0&amp;nonVirtPosition=&amp;position=chr17:34182098-34187330","chr17:34182098-34187330")</f>
        <v>chr17:34182098-34187330</v>
      </c>
      <c r="F14" t="s">
        <v>25</v>
      </c>
      <c r="G14">
        <v>3.1939576197291601</v>
      </c>
      <c r="H14">
        <v>0.276019709808211</v>
      </c>
      <c r="I14">
        <v>11.5714838695702</v>
      </c>
      <c r="J14" s="1">
        <v>5.7479859848835002E-31</v>
      </c>
      <c r="K14" s="1">
        <v>5.9208677171980704E-28</v>
      </c>
      <c r="L14" t="s">
        <v>26</v>
      </c>
      <c r="M14" t="s">
        <v>27</v>
      </c>
      <c r="N14">
        <v>188.138966656951</v>
      </c>
      <c r="O14">
        <v>23.6727510469007</v>
      </c>
      <c r="P14">
        <v>311.48862836448802</v>
      </c>
      <c r="Q14">
        <v>23.385286932240501</v>
      </c>
      <c r="R14">
        <v>15.549451561877101</v>
      </c>
      <c r="S14">
        <v>32.083514646584597</v>
      </c>
      <c r="T14">
        <v>357.47046781533902</v>
      </c>
      <c r="U14">
        <v>145.60545872021601</v>
      </c>
      <c r="V14">
        <v>370.76942643765199</v>
      </c>
      <c r="W14">
        <v>372.10916048474701</v>
      </c>
    </row>
    <row r="15" spans="1:23" x14ac:dyDescent="0.2">
      <c r="A15" t="s">
        <v>53</v>
      </c>
      <c r="B15" s="3" t="str">
        <f>HYPERLINK("http://www.ncbi.nlm.nih.gov/gene/17984","Ndn")</f>
        <v>Ndn</v>
      </c>
      <c r="C15">
        <v>17984</v>
      </c>
      <c r="D15" t="s">
        <v>54</v>
      </c>
      <c r="E15" s="3" t="str">
        <f>HYPERLINK("http://genome.ucsc.edu/cgi-bin/hgTracks?db=mm10&amp;lastVirtModeType=default&amp;lastVirtModeExtraState=&amp;virtModeType=default&amp;virtMode=0&amp;nonVirtPosition=&amp;position=chr7:62348276-62349927","chr7:62348276-62349927")</f>
        <v>chr7:62348276-62349927</v>
      </c>
      <c r="F15" t="s">
        <v>30</v>
      </c>
      <c r="G15">
        <v>1.76895823387758</v>
      </c>
      <c r="H15">
        <v>0.15759009557546599</v>
      </c>
      <c r="I15">
        <v>11.2250597184927</v>
      </c>
      <c r="J15" s="1">
        <v>3.0717885797064599E-29</v>
      </c>
      <c r="K15" s="1">
        <v>2.9381657764892297E-26</v>
      </c>
      <c r="L15" t="s">
        <v>26</v>
      </c>
      <c r="M15" t="s">
        <v>27</v>
      </c>
      <c r="N15">
        <v>523.06802747619201</v>
      </c>
      <c r="O15">
        <v>210.596009365605</v>
      </c>
      <c r="P15">
        <v>757.42204105913197</v>
      </c>
      <c r="Q15">
        <v>236.63683205243299</v>
      </c>
      <c r="R15">
        <v>219.20934153085301</v>
      </c>
      <c r="S15">
        <v>175.941854513528</v>
      </c>
      <c r="T15">
        <v>792.85116579555904</v>
      </c>
      <c r="U15">
        <v>794.40625272353395</v>
      </c>
      <c r="V15">
        <v>849.67993558628598</v>
      </c>
      <c r="W15">
        <v>592.75081013115096</v>
      </c>
    </row>
    <row r="16" spans="1:23" x14ac:dyDescent="0.2">
      <c r="A16" t="s">
        <v>55</v>
      </c>
      <c r="B16" s="3" t="str">
        <f>HYPERLINK("http://www.ncbi.nlm.nih.gov/gene/12393","Runx2")</f>
        <v>Runx2</v>
      </c>
      <c r="C16">
        <v>12393</v>
      </c>
      <c r="D16" t="s">
        <v>56</v>
      </c>
      <c r="E16" s="3" t="str">
        <f>HYPERLINK("http://genome.ucsc.edu/cgi-bin/hgTracks?db=mm10&amp;lastVirtModeType=default&amp;lastVirtModeExtraState=&amp;virtModeType=default&amp;virtMode=0&amp;nonVirtPosition=&amp;position=chr17:44603988-44814797","chr17:44603988-44814797")</f>
        <v>chr17:44603988-44814797</v>
      </c>
      <c r="F16" t="s">
        <v>25</v>
      </c>
      <c r="G16">
        <v>2.7213006647743998</v>
      </c>
      <c r="H16">
        <v>0.24811649970048999</v>
      </c>
      <c r="I16">
        <v>10.9678343361259</v>
      </c>
      <c r="J16" s="1">
        <v>5.4563630736704302E-28</v>
      </c>
      <c r="K16" s="1">
        <v>4.8710771946347103E-25</v>
      </c>
      <c r="L16" t="s">
        <v>26</v>
      </c>
      <c r="M16" t="s">
        <v>27</v>
      </c>
      <c r="N16">
        <v>84.936723756599804</v>
      </c>
      <c r="O16">
        <v>16.328288056067901</v>
      </c>
      <c r="P16">
        <v>136.39305053199899</v>
      </c>
      <c r="Q16">
        <v>20.601324202211799</v>
      </c>
      <c r="R16">
        <v>14.411686813447099</v>
      </c>
      <c r="S16">
        <v>13.971853152544901</v>
      </c>
      <c r="T16">
        <v>142.07159618301901</v>
      </c>
      <c r="U16">
        <v>130.61666149901799</v>
      </c>
      <c r="V16">
        <v>96.370624728834201</v>
      </c>
      <c r="W16">
        <v>176.51331971712301</v>
      </c>
    </row>
    <row r="17" spans="1:23" x14ac:dyDescent="0.2">
      <c r="A17" t="s">
        <v>57</v>
      </c>
      <c r="B17" s="3" t="str">
        <f>HYPERLINK("http://www.ncbi.nlm.nih.gov/gene/170676","Peg10")</f>
        <v>Peg10</v>
      </c>
      <c r="C17">
        <v>170676</v>
      </c>
      <c r="D17" t="s">
        <v>58</v>
      </c>
      <c r="E17" s="3" t="str">
        <f>HYPERLINK("http://genome.ucsc.edu/cgi-bin/hgTracks?db=mm10&amp;lastVirtModeType=default&amp;lastVirtModeExtraState=&amp;virtModeType=default&amp;virtMode=0&amp;nonVirtPosition=&amp;position=chr6:4747305-4760516","chr6:4747305-4760516")</f>
        <v>chr6:4747305-4760516</v>
      </c>
      <c r="F17" t="s">
        <v>30</v>
      </c>
      <c r="G17">
        <v>1.3488586724539799</v>
      </c>
      <c r="H17">
        <v>0.12508600222037899</v>
      </c>
      <c r="I17">
        <v>10.7834501743651</v>
      </c>
      <c r="J17" s="1">
        <v>4.1213159869800802E-27</v>
      </c>
      <c r="K17" s="1">
        <v>3.4492838988531404E-24</v>
      </c>
      <c r="L17" t="s">
        <v>26</v>
      </c>
      <c r="M17" t="s">
        <v>27</v>
      </c>
      <c r="N17">
        <v>468.79637706823002</v>
      </c>
      <c r="O17">
        <v>246.139961292848</v>
      </c>
      <c r="P17">
        <v>635.78868889976798</v>
      </c>
      <c r="Q17">
        <v>234.96645441441601</v>
      </c>
      <c r="R17">
        <v>257.134833145188</v>
      </c>
      <c r="S17">
        <v>246.318596318939</v>
      </c>
      <c r="T17">
        <v>591.20115830998304</v>
      </c>
      <c r="U17">
        <v>556.72675393023906</v>
      </c>
      <c r="V17">
        <v>710.64140067216601</v>
      </c>
      <c r="W17">
        <v>684.58544268668197</v>
      </c>
    </row>
    <row r="18" spans="1:23" x14ac:dyDescent="0.2">
      <c r="A18" t="s">
        <v>59</v>
      </c>
      <c r="B18" s="3" t="str">
        <f>HYPERLINK("http://www.ncbi.nlm.nih.gov/gene/68790","Fendrr")</f>
        <v>Fendrr</v>
      </c>
      <c r="C18">
        <v>68790</v>
      </c>
      <c r="D18" t="s">
        <v>60</v>
      </c>
      <c r="E18" s="3" t="str">
        <f>HYPERLINK("http://genome.ucsc.edu/cgi-bin/hgTracks?db=mm10&amp;lastVirtModeType=default&amp;lastVirtModeExtraState=&amp;virtModeType=default&amp;virtMode=0&amp;nonVirtPosition=&amp;position=chr8:121058801-121083110","chr8:121058801-121083110")</f>
        <v>chr8:121058801-121083110</v>
      </c>
      <c r="F18" t="s">
        <v>25</v>
      </c>
      <c r="G18">
        <v>3.10382681911637</v>
      </c>
      <c r="H18">
        <v>0.298934595801856</v>
      </c>
      <c r="I18">
        <v>10.3829629046137</v>
      </c>
      <c r="J18" s="1">
        <v>2.9642981411977701E-25</v>
      </c>
      <c r="K18" s="1">
        <v>2.33499508286937E-22</v>
      </c>
      <c r="L18" t="s">
        <v>26</v>
      </c>
      <c r="M18" t="s">
        <v>27</v>
      </c>
      <c r="N18">
        <v>61.682912515247097</v>
      </c>
      <c r="O18">
        <v>7.4743804260939797</v>
      </c>
      <c r="P18">
        <v>102.339311582112</v>
      </c>
      <c r="Q18">
        <v>8.3518881900858695</v>
      </c>
      <c r="R18">
        <v>6.8265884905801997</v>
      </c>
      <c r="S18">
        <v>7.2446645976158699</v>
      </c>
      <c r="T18">
        <v>123.739777320694</v>
      </c>
      <c r="U18">
        <v>49.248905155367297</v>
      </c>
      <c r="V18">
        <v>95.634971104949898</v>
      </c>
      <c r="W18">
        <v>140.73359274743601</v>
      </c>
    </row>
    <row r="19" spans="1:23" x14ac:dyDescent="0.2">
      <c r="A19" t="s">
        <v>61</v>
      </c>
      <c r="B19" s="3" t="str">
        <f>HYPERLINK("http://www.ncbi.nlm.nih.gov/gene/64929","Scel")</f>
        <v>Scel</v>
      </c>
      <c r="C19">
        <v>64929</v>
      </c>
      <c r="D19" t="s">
        <v>62</v>
      </c>
      <c r="E19" s="3" t="str">
        <f>HYPERLINK("http://genome.ucsc.edu/cgi-bin/hgTracks?db=mm10&amp;lastVirtModeType=default&amp;lastVirtModeExtraState=&amp;virtModeType=default&amp;virtMode=0&amp;nonVirtPosition=&amp;position=chr14:103513340-103613346","chr14:103513340-103613346")</f>
        <v>chr14:103513340-103613346</v>
      </c>
      <c r="F19" t="s">
        <v>30</v>
      </c>
      <c r="G19">
        <v>-3.2346751778353</v>
      </c>
      <c r="H19">
        <v>0.312338445015721</v>
      </c>
      <c r="I19">
        <v>-10.3563145346148</v>
      </c>
      <c r="J19" s="1">
        <v>3.9176750951326602E-25</v>
      </c>
      <c r="K19" s="1">
        <v>2.9145326221623098E-22</v>
      </c>
      <c r="L19" t="s">
        <v>26</v>
      </c>
      <c r="M19" t="s">
        <v>27</v>
      </c>
      <c r="N19">
        <v>77.2419560647282</v>
      </c>
      <c r="O19">
        <v>168.79374455905099</v>
      </c>
      <c r="P19">
        <v>8.5781146939857802</v>
      </c>
      <c r="Q19">
        <v>232.182491684387</v>
      </c>
      <c r="R19">
        <v>163.45886885778199</v>
      </c>
      <c r="S19">
        <v>110.739873134985</v>
      </c>
      <c r="T19">
        <v>4.58295471558126</v>
      </c>
      <c r="U19">
        <v>4.2825134917710699</v>
      </c>
      <c r="V19">
        <v>14.7130724776846</v>
      </c>
      <c r="W19">
        <v>10.733918090906201</v>
      </c>
    </row>
    <row r="20" spans="1:23" x14ac:dyDescent="0.2">
      <c r="A20" t="s">
        <v>63</v>
      </c>
      <c r="B20" s="3" t="str">
        <f>HYPERLINK("http://www.ncbi.nlm.nih.gov/gene/24014","Rnasel")</f>
        <v>Rnasel</v>
      </c>
      <c r="C20">
        <v>24014</v>
      </c>
      <c r="D20" t="s">
        <v>64</v>
      </c>
      <c r="E20" s="3" t="str">
        <f>HYPERLINK("http://genome.ucsc.edu/cgi-bin/hgTracks?db=mm10&amp;lastVirtModeType=default&amp;lastVirtModeExtraState=&amp;virtModeType=default&amp;virtMode=0&amp;nonVirtPosition=&amp;position=chr1:153749425-153764221","chr1:153749425-153764221")</f>
        <v>chr1:153749425-153764221</v>
      </c>
      <c r="F20" t="s">
        <v>30</v>
      </c>
      <c r="G20">
        <v>2.3963747127671802</v>
      </c>
      <c r="H20">
        <v>0.23171062604463899</v>
      </c>
      <c r="I20">
        <v>10.342101066636101</v>
      </c>
      <c r="J20" s="1">
        <v>4.5446257753744098E-25</v>
      </c>
      <c r="K20" s="1">
        <v>3.20300440831782E-22</v>
      </c>
      <c r="L20" t="s">
        <v>26</v>
      </c>
      <c r="M20" t="s">
        <v>27</v>
      </c>
      <c r="N20">
        <v>90.961586135854006</v>
      </c>
      <c r="O20">
        <v>22.599785138152001</v>
      </c>
      <c r="P20">
        <v>142.23293688413099</v>
      </c>
      <c r="Q20">
        <v>22.271701840228999</v>
      </c>
      <c r="R20">
        <v>17.066471226450499</v>
      </c>
      <c r="S20">
        <v>28.461182347776599</v>
      </c>
      <c r="T20">
        <v>178.735233907669</v>
      </c>
      <c r="U20">
        <v>98.497810310734593</v>
      </c>
      <c r="V20">
        <v>139.03853491411999</v>
      </c>
      <c r="W20">
        <v>152.66016840399899</v>
      </c>
    </row>
    <row r="21" spans="1:23" x14ac:dyDescent="0.2">
      <c r="A21" t="s">
        <v>65</v>
      </c>
      <c r="B21" s="3" t="str">
        <f>HYPERLINK("http://www.ncbi.nlm.nih.gov/gene/19946","Rpl30")</f>
        <v>Rpl30</v>
      </c>
      <c r="C21">
        <v>19946</v>
      </c>
      <c r="D21" t="s">
        <v>66</v>
      </c>
      <c r="E21" s="3" t="str">
        <f>HYPERLINK("http://genome.ucsc.edu/cgi-bin/hgTracks?db=mm10&amp;lastVirtModeType=default&amp;lastVirtModeExtraState=&amp;virtModeType=default&amp;virtMode=0&amp;nonVirtPosition=&amp;position=chr15:34440507-34443225","chr15:34440507-34443225")</f>
        <v>chr15:34440507-34443225</v>
      </c>
      <c r="F21" t="s">
        <v>25</v>
      </c>
      <c r="G21">
        <v>1.98759177585933</v>
      </c>
      <c r="H21">
        <v>0.19712778688859101</v>
      </c>
      <c r="I21">
        <v>10.0827580283374</v>
      </c>
      <c r="J21" s="1">
        <v>6.5851275689269702E-24</v>
      </c>
      <c r="K21" s="1">
        <v>4.4090721637750499E-21</v>
      </c>
      <c r="L21" t="s">
        <v>26</v>
      </c>
      <c r="M21" t="s">
        <v>27</v>
      </c>
      <c r="N21">
        <v>97.792576556568505</v>
      </c>
      <c r="O21">
        <v>33.8429439792125</v>
      </c>
      <c r="P21">
        <v>145.75480098958499</v>
      </c>
      <c r="Q21">
        <v>30.066797484309099</v>
      </c>
      <c r="R21">
        <v>31.098903123754301</v>
      </c>
      <c r="S21">
        <v>40.363131329574102</v>
      </c>
      <c r="T21">
        <v>123.739777320694</v>
      </c>
      <c r="U21">
        <v>156.31174244964399</v>
      </c>
      <c r="V21">
        <v>132.41765229916101</v>
      </c>
      <c r="W21">
        <v>170.550031888842</v>
      </c>
    </row>
    <row r="22" spans="1:23" x14ac:dyDescent="0.2">
      <c r="A22" t="s">
        <v>67</v>
      </c>
      <c r="B22" s="3" t="str">
        <f>HYPERLINK("http://www.ncbi.nlm.nih.gov/gene/24113","Vax2")</f>
        <v>Vax2</v>
      </c>
      <c r="C22">
        <v>24113</v>
      </c>
      <c r="D22" t="s">
        <v>68</v>
      </c>
      <c r="E22" s="3" t="str">
        <f>HYPERLINK("http://genome.ucsc.edu/cgi-bin/hgTracks?db=mm10&amp;lastVirtModeType=default&amp;lastVirtModeExtraState=&amp;virtModeType=default&amp;virtMode=0&amp;nonVirtPosition=&amp;position=chr6:83711263-83738304","chr6:83711263-83738304")</f>
        <v>chr6:83711263-83738304</v>
      </c>
      <c r="F22" t="s">
        <v>30</v>
      </c>
      <c r="G22">
        <v>3.5648781636067901</v>
      </c>
      <c r="H22">
        <v>0.35432076894751802</v>
      </c>
      <c r="I22">
        <v>10.0611606093427</v>
      </c>
      <c r="J22" s="1">
        <v>8.2025576519196595E-24</v>
      </c>
      <c r="K22" s="1">
        <v>5.2304975960407698E-21</v>
      </c>
      <c r="L22" t="s">
        <v>26</v>
      </c>
      <c r="M22" t="s">
        <v>27</v>
      </c>
      <c r="N22">
        <v>22.5445822293464</v>
      </c>
      <c r="O22">
        <v>0.87686825219494302</v>
      </c>
      <c r="P22">
        <v>38.795367712210002</v>
      </c>
      <c r="Q22">
        <v>1.1135850920114501</v>
      </c>
      <c r="R22">
        <v>1.51701966457338</v>
      </c>
      <c r="S22">
        <v>0</v>
      </c>
      <c r="T22">
        <v>32.0806830090688</v>
      </c>
      <c r="U22">
        <v>42.825134917710699</v>
      </c>
      <c r="V22">
        <v>39.7252956897484</v>
      </c>
      <c r="W22">
        <v>40.550357232312201</v>
      </c>
    </row>
    <row r="23" spans="1:23" x14ac:dyDescent="0.2">
      <c r="A23" t="s">
        <v>69</v>
      </c>
      <c r="B23" s="3" t="str">
        <f>HYPERLINK("http://www.ncbi.nlm.nih.gov/gene/11815","Apod")</f>
        <v>Apod</v>
      </c>
      <c r="C23">
        <v>11815</v>
      </c>
      <c r="D23" t="s">
        <v>70</v>
      </c>
      <c r="E23" s="3" t="str">
        <f>HYPERLINK("http://genome.ucsc.edu/cgi-bin/hgTracks?db=mm10&amp;lastVirtModeType=default&amp;lastVirtModeExtraState=&amp;virtModeType=default&amp;virtMode=0&amp;nonVirtPosition=&amp;position=chr16:31296191-31314808","chr16:31296191-31314808")</f>
        <v>chr16:31296191-31314808</v>
      </c>
      <c r="F23" t="s">
        <v>25</v>
      </c>
      <c r="G23">
        <v>-2.36714005288083</v>
      </c>
      <c r="H23">
        <v>0.240671039530968</v>
      </c>
      <c r="I23">
        <v>-9.8355832820352393</v>
      </c>
      <c r="J23" s="1">
        <v>7.9107855987324305E-23</v>
      </c>
      <c r="K23" s="1">
        <v>4.6271843153029999E-20</v>
      </c>
      <c r="L23" t="s">
        <v>26</v>
      </c>
      <c r="M23" t="s">
        <v>27</v>
      </c>
      <c r="N23">
        <v>490.74434011750299</v>
      </c>
      <c r="O23">
        <v>942.13477670210295</v>
      </c>
      <c r="P23">
        <v>152.201512679052</v>
      </c>
      <c r="Q23">
        <v>1473.82986927715</v>
      </c>
      <c r="R23">
        <v>697.44979078761105</v>
      </c>
      <c r="S23">
        <v>655.12467004154905</v>
      </c>
      <c r="T23">
        <v>151.237505614182</v>
      </c>
      <c r="U23">
        <v>167.018026179072</v>
      </c>
      <c r="V23">
        <v>158.16552913510901</v>
      </c>
      <c r="W23">
        <v>132.38498978784301</v>
      </c>
    </row>
    <row r="24" spans="1:23" x14ac:dyDescent="0.2">
      <c r="A24" t="s">
        <v>71</v>
      </c>
      <c r="B24" s="3" t="str">
        <f>HYPERLINK("http://www.ncbi.nlm.nih.gov/gene/14536","Nr6a1")</f>
        <v>Nr6a1</v>
      </c>
      <c r="C24">
        <v>14536</v>
      </c>
      <c r="D24" t="s">
        <v>72</v>
      </c>
      <c r="E24" s="3" t="str">
        <f>HYPERLINK("http://genome.ucsc.edu/cgi-bin/hgTracks?db=mm10&amp;lastVirtModeType=default&amp;lastVirtModeExtraState=&amp;virtModeType=default&amp;virtMode=0&amp;nonVirtPosition=&amp;position=chr2:38723373-38784515","chr2:38723373-38784515")</f>
        <v>chr2:38723373-38784515</v>
      </c>
      <c r="F24" t="s">
        <v>25</v>
      </c>
      <c r="G24">
        <v>2.4053608135772602</v>
      </c>
      <c r="H24">
        <v>0.244579552673688</v>
      </c>
      <c r="I24">
        <v>9.8346766411271798</v>
      </c>
      <c r="J24" s="1">
        <v>7.9823622961093997E-23</v>
      </c>
      <c r="K24" s="1">
        <v>4.6271843153029999E-20</v>
      </c>
      <c r="L24" t="s">
        <v>26</v>
      </c>
      <c r="M24" t="s">
        <v>27</v>
      </c>
      <c r="N24">
        <v>63.704382051671601</v>
      </c>
      <c r="O24">
        <v>14.951366212075801</v>
      </c>
      <c r="P24">
        <v>100.26914393136801</v>
      </c>
      <c r="Q24">
        <v>17.817361472183201</v>
      </c>
      <c r="R24">
        <v>16.6872163103072</v>
      </c>
      <c r="S24">
        <v>10.349520853736999</v>
      </c>
      <c r="T24">
        <v>132.90568675185699</v>
      </c>
      <c r="U24">
        <v>85.650269835421398</v>
      </c>
      <c r="V24">
        <v>97.841931976602595</v>
      </c>
      <c r="W24">
        <v>84.678687161593004</v>
      </c>
    </row>
    <row r="25" spans="1:23" x14ac:dyDescent="0.2">
      <c r="A25" t="s">
        <v>73</v>
      </c>
      <c r="B25" s="3" t="str">
        <f>HYPERLINK("http://www.ncbi.nlm.nih.gov/gene/109801","Glo1")</f>
        <v>Glo1</v>
      </c>
      <c r="C25">
        <v>109801</v>
      </c>
      <c r="D25" t="s">
        <v>74</v>
      </c>
      <c r="E25" s="3" t="str">
        <f>HYPERLINK("http://genome.ucsc.edu/cgi-bin/hgTracks?db=mm10&amp;lastVirtModeType=default&amp;lastVirtModeExtraState=&amp;virtModeType=default&amp;virtMode=0&amp;nonVirtPosition=&amp;position=chr17:30592861-30612659","chr17:30592861-30612659")</f>
        <v>chr17:30592861-30612659</v>
      </c>
      <c r="F25" t="s">
        <v>25</v>
      </c>
      <c r="G25">
        <v>-1.6140029536038201</v>
      </c>
      <c r="H25">
        <v>0.16417765327998199</v>
      </c>
      <c r="I25">
        <v>-9.8308321586943492</v>
      </c>
      <c r="J25" s="1">
        <v>8.29306426460099E-23</v>
      </c>
      <c r="K25" s="1">
        <v>4.6271843153029999E-20</v>
      </c>
      <c r="L25" t="s">
        <v>26</v>
      </c>
      <c r="M25" t="s">
        <v>27</v>
      </c>
      <c r="N25">
        <v>204.11147118161401</v>
      </c>
      <c r="O25">
        <v>333.93313519740201</v>
      </c>
      <c r="P25">
        <v>106.74522316977399</v>
      </c>
      <c r="Q25">
        <v>373.60779836984102</v>
      </c>
      <c r="R25">
        <v>328.05550246399298</v>
      </c>
      <c r="S25">
        <v>300.13610475837203</v>
      </c>
      <c r="T25">
        <v>114.573867889532</v>
      </c>
      <c r="U25">
        <v>119.91037776959</v>
      </c>
      <c r="V25">
        <v>87.542781242223398</v>
      </c>
      <c r="W25">
        <v>104.953865777749</v>
      </c>
    </row>
    <row r="26" spans="1:23" x14ac:dyDescent="0.2">
      <c r="A26" t="s">
        <v>75</v>
      </c>
      <c r="B26" s="3" t="str">
        <f>HYPERLINK("http://www.ncbi.nlm.nih.gov/gene/66559","Metap1d")</f>
        <v>Metap1d</v>
      </c>
      <c r="C26">
        <v>66559</v>
      </c>
      <c r="D26" t="s">
        <v>76</v>
      </c>
      <c r="E26" s="3" t="str">
        <f>HYPERLINK("http://genome.ucsc.edu/cgi-bin/hgTracks?db=mm10&amp;lastVirtModeType=default&amp;lastVirtModeExtraState=&amp;virtModeType=default&amp;virtMode=0&amp;nonVirtPosition=&amp;position=chr2:71453337-71525191","chr2:71453337-71525191")</f>
        <v>chr2:71453337-71525191</v>
      </c>
      <c r="F26" t="s">
        <v>30</v>
      </c>
      <c r="G26">
        <v>1.7824035436256001</v>
      </c>
      <c r="H26">
        <v>0.18187562706100699</v>
      </c>
      <c r="I26">
        <v>9.8001231524426906</v>
      </c>
      <c r="J26" s="1">
        <v>1.1244846331396501E-22</v>
      </c>
      <c r="K26" s="1">
        <v>6.0231894889492096E-20</v>
      </c>
      <c r="L26" t="s">
        <v>26</v>
      </c>
      <c r="M26" t="s">
        <v>27</v>
      </c>
      <c r="N26">
        <v>100.88197719620101</v>
      </c>
      <c r="O26">
        <v>40.0508661998919</v>
      </c>
      <c r="P26">
        <v>146.50531044343401</v>
      </c>
      <c r="Q26">
        <v>38.418685674395</v>
      </c>
      <c r="R26">
        <v>45.510589937201402</v>
      </c>
      <c r="S26">
        <v>36.223322988079303</v>
      </c>
      <c r="T26">
        <v>137.48864146743799</v>
      </c>
      <c r="U26">
        <v>132.75791824490301</v>
      </c>
      <c r="V26">
        <v>155.95856826345701</v>
      </c>
      <c r="W26">
        <v>159.816113797936</v>
      </c>
    </row>
    <row r="27" spans="1:23" x14ac:dyDescent="0.2">
      <c r="A27" t="s">
        <v>77</v>
      </c>
      <c r="B27" s="3" t="str">
        <f>HYPERLINK("http://www.ncbi.nlm.nih.gov/gene/209039","Tns2")</f>
        <v>Tns2</v>
      </c>
      <c r="C27">
        <v>209039</v>
      </c>
      <c r="D27" t="s">
        <v>78</v>
      </c>
      <c r="E27" s="3" t="str">
        <f>HYPERLINK("http://genome.ucsc.edu/cgi-bin/hgTracks?db=mm10&amp;lastVirtModeType=default&amp;lastVirtModeExtraState=&amp;virtModeType=default&amp;virtMode=0&amp;nonVirtPosition=&amp;position=chr15:102102987-102116401","chr15:102102987-102116401")</f>
        <v>chr15:102102987-102116401</v>
      </c>
      <c r="F27" t="s">
        <v>30</v>
      </c>
      <c r="G27">
        <v>1.9869850730882801</v>
      </c>
      <c r="H27">
        <v>0.20302730280360301</v>
      </c>
      <c r="I27">
        <v>9.7867875189691897</v>
      </c>
      <c r="J27" s="1">
        <v>1.2830774211915099E-22</v>
      </c>
      <c r="K27" s="1">
        <v>6.6083422104521204E-20</v>
      </c>
      <c r="L27" t="s">
        <v>26</v>
      </c>
      <c r="M27" t="s">
        <v>27</v>
      </c>
      <c r="N27">
        <v>254.80057150001801</v>
      </c>
      <c r="O27">
        <v>88.070690987318102</v>
      </c>
      <c r="P27">
        <v>379.847981884543</v>
      </c>
      <c r="Q27">
        <v>102.449828465053</v>
      </c>
      <c r="R27">
        <v>58.784512002218399</v>
      </c>
      <c r="S27">
        <v>102.977732494683</v>
      </c>
      <c r="T27">
        <v>279.560237650457</v>
      </c>
      <c r="U27">
        <v>400.41501148059501</v>
      </c>
      <c r="V27">
        <v>420.79387286178002</v>
      </c>
      <c r="W27">
        <v>418.62280554533999</v>
      </c>
    </row>
    <row r="28" spans="1:23" x14ac:dyDescent="0.2">
      <c r="A28" t="s">
        <v>79</v>
      </c>
      <c r="B28" s="3" t="str">
        <f>HYPERLINK("http://www.ncbi.nlm.nih.gov/gene/20637","Snrnp70")</f>
        <v>Snrnp70</v>
      </c>
      <c r="C28">
        <v>20637</v>
      </c>
      <c r="D28" t="s">
        <v>80</v>
      </c>
      <c r="E28" s="3" t="str">
        <f>HYPERLINK("http://genome.ucsc.edu/cgi-bin/hgTracks?db=mm10&amp;lastVirtModeType=default&amp;lastVirtModeExtraState=&amp;virtModeType=default&amp;virtMode=0&amp;nonVirtPosition=&amp;position=chr7:45376453-45395742","chr7:45376453-45395742")</f>
        <v>chr7:45376453-45395742</v>
      </c>
      <c r="F28" t="s">
        <v>25</v>
      </c>
      <c r="G28">
        <v>1.0241501964784101</v>
      </c>
      <c r="H28">
        <v>0.105354912070004</v>
      </c>
      <c r="I28">
        <v>9.7209534549077592</v>
      </c>
      <c r="J28" s="1">
        <v>2.4547206262304799E-22</v>
      </c>
      <c r="K28" s="1">
        <v>1.21745051503157E-19</v>
      </c>
      <c r="L28" t="s">
        <v>26</v>
      </c>
      <c r="M28" t="s">
        <v>27</v>
      </c>
      <c r="N28">
        <v>1163.3606886745599</v>
      </c>
      <c r="O28">
        <v>723.30820602619497</v>
      </c>
      <c r="P28">
        <v>1493.4000506608299</v>
      </c>
      <c r="Q28">
        <v>703.22898560523095</v>
      </c>
      <c r="R28">
        <v>696.69128095532403</v>
      </c>
      <c r="S28">
        <v>770.00435151802901</v>
      </c>
      <c r="T28">
        <v>1535.28982971972</v>
      </c>
      <c r="U28">
        <v>1509.5860058492999</v>
      </c>
      <c r="V28">
        <v>1348.4530925797901</v>
      </c>
      <c r="W28">
        <v>1580.27127449452</v>
      </c>
    </row>
    <row r="29" spans="1:23" x14ac:dyDescent="0.2">
      <c r="A29" t="s">
        <v>81</v>
      </c>
      <c r="B29" s="3" t="str">
        <f>HYPERLINK("http://www.ncbi.nlm.nih.gov/gene/21354","Tap1")</f>
        <v>Tap1</v>
      </c>
      <c r="C29">
        <v>21354</v>
      </c>
      <c r="D29" t="s">
        <v>82</v>
      </c>
      <c r="E29" s="3" t="str">
        <f>HYPERLINK("http://genome.ucsc.edu/cgi-bin/hgTracks?db=mm10&amp;lastVirtModeType=default&amp;lastVirtModeExtraState=&amp;virtModeType=default&amp;virtMode=0&amp;nonVirtPosition=&amp;position=chr17:34187555-34197225","chr17:34187555-34197225")</f>
        <v>chr17:34187555-34197225</v>
      </c>
      <c r="F29" t="s">
        <v>30</v>
      </c>
      <c r="G29">
        <v>2.41237009607643</v>
      </c>
      <c r="H29">
        <v>0.24949010008956901</v>
      </c>
      <c r="I29">
        <v>9.6692016845973896</v>
      </c>
      <c r="J29" s="1">
        <v>4.0754467310935301E-22</v>
      </c>
      <c r="K29" s="1">
        <v>1.9490823991454801E-19</v>
      </c>
      <c r="L29" t="s">
        <v>26</v>
      </c>
      <c r="M29" t="s">
        <v>27</v>
      </c>
      <c r="N29">
        <v>535.01217738691901</v>
      </c>
      <c r="O29">
        <v>127.86538930228799</v>
      </c>
      <c r="P29">
        <v>840.37226845039095</v>
      </c>
      <c r="Q29">
        <v>118.596812299219</v>
      </c>
      <c r="R29">
        <v>86.4701208806826</v>
      </c>
      <c r="S29">
        <v>178.52923472696199</v>
      </c>
      <c r="T29">
        <v>1131.9898147485701</v>
      </c>
      <c r="U29">
        <v>479.64151107836</v>
      </c>
      <c r="V29">
        <v>848.20862833851697</v>
      </c>
      <c r="W29">
        <v>901.64911963611701</v>
      </c>
    </row>
    <row r="30" spans="1:23" x14ac:dyDescent="0.2">
      <c r="A30" t="s">
        <v>83</v>
      </c>
      <c r="B30" s="3" t="str">
        <f>HYPERLINK("http://www.ncbi.nlm.nih.gov/gene/19132","Prph")</f>
        <v>Prph</v>
      </c>
      <c r="C30">
        <v>19132</v>
      </c>
      <c r="D30" t="s">
        <v>84</v>
      </c>
      <c r="E30" s="3" t="str">
        <f>HYPERLINK("http://genome.ucsc.edu/cgi-bin/hgTracks?db=mm10&amp;lastVirtModeType=default&amp;lastVirtModeExtraState=&amp;virtModeType=default&amp;virtMode=0&amp;nonVirtPosition=&amp;position=chr15:99055173-99058978","chr15:99055173-99058978")</f>
        <v>chr15:99055173-99058978</v>
      </c>
      <c r="F30" t="s">
        <v>30</v>
      </c>
      <c r="G30">
        <v>3.1075913408783999</v>
      </c>
      <c r="H30">
        <v>0.32398449969757498</v>
      </c>
      <c r="I30">
        <v>9.5917901744657694</v>
      </c>
      <c r="J30" s="1">
        <v>8.6569731009704504E-22</v>
      </c>
      <c r="K30" s="1">
        <v>3.9974319584515598E-19</v>
      </c>
      <c r="L30" t="s">
        <v>26</v>
      </c>
      <c r="M30" t="s">
        <v>27</v>
      </c>
      <c r="N30">
        <v>41.845413981242501</v>
      </c>
      <c r="O30">
        <v>4.4887004097843901</v>
      </c>
      <c r="P30">
        <v>69.862949159835907</v>
      </c>
      <c r="Q30">
        <v>1.67037763801717</v>
      </c>
      <c r="R30">
        <v>4.5510589937201402</v>
      </c>
      <c r="S30">
        <v>7.2446645976158699</v>
      </c>
      <c r="T30">
        <v>45.829547155812598</v>
      </c>
      <c r="U30">
        <v>53.531418647138402</v>
      </c>
      <c r="V30">
        <v>78.714937755612596</v>
      </c>
      <c r="W30">
        <v>101.37589308078</v>
      </c>
    </row>
    <row r="31" spans="1:23" x14ac:dyDescent="0.2">
      <c r="A31" t="s">
        <v>85</v>
      </c>
      <c r="B31" s="3" t="str">
        <f>HYPERLINK("http://www.ncbi.nlm.nih.gov/gene/19249","Ptpn13")</f>
        <v>Ptpn13</v>
      </c>
      <c r="C31">
        <v>19249</v>
      </c>
      <c r="D31" t="s">
        <v>86</v>
      </c>
      <c r="E31" s="3" t="str">
        <f>HYPERLINK("http://genome.ucsc.edu/cgi-bin/hgTracks?db=mm10&amp;lastVirtModeType=default&amp;lastVirtModeExtraState=&amp;virtModeType=default&amp;virtMode=0&amp;nonVirtPosition=&amp;position=chr5:103425191-103598361","chr5:103425191-103598361")</f>
        <v>chr5:103425191-103598361</v>
      </c>
      <c r="F31" t="s">
        <v>30</v>
      </c>
      <c r="G31">
        <v>1.64205672071819</v>
      </c>
      <c r="H31">
        <v>0.17206471948848501</v>
      </c>
      <c r="I31">
        <v>9.5432505024836498</v>
      </c>
      <c r="J31" s="1">
        <v>1.3842417179913501E-21</v>
      </c>
      <c r="K31" s="1">
        <v>6.1787936152074099E-19</v>
      </c>
      <c r="L31" t="s">
        <v>26</v>
      </c>
      <c r="M31" t="s">
        <v>27</v>
      </c>
      <c r="N31">
        <v>399.61973301757803</v>
      </c>
      <c r="O31">
        <v>171.31255711130399</v>
      </c>
      <c r="P31">
        <v>570.85011494728303</v>
      </c>
      <c r="Q31">
        <v>141.42530668545399</v>
      </c>
      <c r="R31">
        <v>174.83651634208201</v>
      </c>
      <c r="S31">
        <v>197.675848306376</v>
      </c>
      <c r="T31">
        <v>692.02616205277104</v>
      </c>
      <c r="U31">
        <v>419.68632219356499</v>
      </c>
      <c r="V31">
        <v>569.39590488639396</v>
      </c>
      <c r="W31">
        <v>602.29207065640105</v>
      </c>
    </row>
    <row r="32" spans="1:23" x14ac:dyDescent="0.2">
      <c r="A32" t="s">
        <v>87</v>
      </c>
      <c r="B32" s="3" t="str">
        <f>HYPERLINK("http://www.ncbi.nlm.nih.gov/gene/320429","Trank1")</f>
        <v>Trank1</v>
      </c>
      <c r="C32">
        <v>320429</v>
      </c>
      <c r="D32" t="s">
        <v>88</v>
      </c>
      <c r="E32" s="3" t="str">
        <f>HYPERLINK("http://genome.ucsc.edu/cgi-bin/hgTracks?db=mm10&amp;lastVirtModeType=default&amp;lastVirtModeExtraState=&amp;virtModeType=default&amp;virtMode=0&amp;nonVirtPosition=&amp;position=chr9:111311738-111395775","chr9:111311738-111395775")</f>
        <v>chr9:111311738-111395775</v>
      </c>
      <c r="F32" t="s">
        <v>30</v>
      </c>
      <c r="G32">
        <v>1.9945633023544</v>
      </c>
      <c r="H32">
        <v>0.20939472590071201</v>
      </c>
      <c r="I32">
        <v>9.5253750722459092</v>
      </c>
      <c r="J32" s="1">
        <v>1.6444699964625599E-21</v>
      </c>
      <c r="K32" s="1">
        <v>7.1035799105258398E-19</v>
      </c>
      <c r="L32" t="s">
        <v>26</v>
      </c>
      <c r="M32" t="s">
        <v>27</v>
      </c>
      <c r="N32">
        <v>278.84128443323698</v>
      </c>
      <c r="O32">
        <v>93.621634263595098</v>
      </c>
      <c r="P32">
        <v>417.75602206046898</v>
      </c>
      <c r="Q32">
        <v>96.881903004996104</v>
      </c>
      <c r="R32">
        <v>109.98392568157</v>
      </c>
      <c r="S32">
        <v>73.999074104219204</v>
      </c>
      <c r="T32">
        <v>380.385241393245</v>
      </c>
      <c r="U32">
        <v>464.65271385716102</v>
      </c>
      <c r="V32">
        <v>286.90491331484998</v>
      </c>
      <c r="W32">
        <v>539.08121967661998</v>
      </c>
    </row>
    <row r="33" spans="1:23" x14ac:dyDescent="0.2">
      <c r="A33" t="s">
        <v>89</v>
      </c>
      <c r="B33" s="3" t="str">
        <f>HYPERLINK("http://www.ncbi.nlm.nih.gov/gene/103012","Firre")</f>
        <v>Firre</v>
      </c>
      <c r="C33">
        <v>103012</v>
      </c>
      <c r="D33" t="s">
        <v>90</v>
      </c>
      <c r="E33" s="3" t="str">
        <f>HYPERLINK("http://genome.ucsc.edu/cgi-bin/hgTracks?db=mm10&amp;lastVirtModeType=default&amp;lastVirtModeExtraState=&amp;virtModeType=default&amp;virtMode=0&amp;nonVirtPosition=&amp;position=chrX:50563119-50635321","chrX:50563119-50635321")</f>
        <v>chrX:50563119-50635321</v>
      </c>
      <c r="F33" t="s">
        <v>25</v>
      </c>
      <c r="G33">
        <v>1.26763850075683</v>
      </c>
      <c r="H33">
        <v>0.13408092036438199</v>
      </c>
      <c r="I33">
        <v>9.4542795299425197</v>
      </c>
      <c r="J33" s="1">
        <v>3.25254096331522E-21</v>
      </c>
      <c r="K33" s="1">
        <v>1.3610867512423201E-18</v>
      </c>
      <c r="L33" t="s">
        <v>26</v>
      </c>
      <c r="M33" t="s">
        <v>27</v>
      </c>
      <c r="N33">
        <v>228.05589842355801</v>
      </c>
      <c r="O33">
        <v>122.471420888968</v>
      </c>
      <c r="P33">
        <v>307.24425657450001</v>
      </c>
      <c r="Q33">
        <v>120.26718993723701</v>
      </c>
      <c r="R33">
        <v>114.15572975914699</v>
      </c>
      <c r="S33">
        <v>132.99134297052001</v>
      </c>
      <c r="T33">
        <v>352.88751309975697</v>
      </c>
      <c r="U33">
        <v>289.069660694547</v>
      </c>
      <c r="V33">
        <v>297.20406404922898</v>
      </c>
      <c r="W33">
        <v>289.81578845446597</v>
      </c>
    </row>
    <row r="34" spans="1:23" x14ac:dyDescent="0.2">
      <c r="A34" t="s">
        <v>91</v>
      </c>
      <c r="B34" s="3" t="str">
        <f>HYPERLINK("http://www.ncbi.nlm.nih.gov/gene/15016","H2-Q5")</f>
        <v>H2-Q5</v>
      </c>
      <c r="C34">
        <v>15016</v>
      </c>
      <c r="D34" t="s">
        <v>92</v>
      </c>
      <c r="E34" s="3" t="str">
        <f>HYPERLINK("http://genome.ucsc.edu/cgi-bin/hgTracks?db=mm10&amp;lastVirtModeType=default&amp;lastVirtModeExtraState=&amp;virtModeType=default&amp;virtMode=0&amp;nonVirtPosition=&amp;position=chr17:35394098-35395630","chr17:35394098-35395630")</f>
        <v>chr17:35394098-35395630</v>
      </c>
      <c r="F34" t="s">
        <v>30</v>
      </c>
      <c r="G34">
        <v>3.1725186077309999</v>
      </c>
      <c r="H34">
        <v>0.33581753600057401</v>
      </c>
      <c r="I34">
        <v>9.4471499181197505</v>
      </c>
      <c r="J34" s="1">
        <v>3.4818189163741996E-21</v>
      </c>
      <c r="K34" s="1">
        <v>1.412879912399E-18</v>
      </c>
      <c r="L34" t="s">
        <v>26</v>
      </c>
      <c r="M34" t="s">
        <v>27</v>
      </c>
      <c r="N34">
        <v>69.259481822536401</v>
      </c>
      <c r="O34">
        <v>6.2055606666010101</v>
      </c>
      <c r="P34">
        <v>116.549922689488</v>
      </c>
      <c r="Q34">
        <v>2.78396273002862</v>
      </c>
      <c r="R34">
        <v>3.4132942452900998</v>
      </c>
      <c r="S34">
        <v>12.419425024484299</v>
      </c>
      <c r="T34">
        <v>155.82046032976299</v>
      </c>
      <c r="U34">
        <v>59.955188884795</v>
      </c>
      <c r="V34">
        <v>103.727160967676</v>
      </c>
      <c r="W34">
        <v>146.69688057571801</v>
      </c>
    </row>
    <row r="35" spans="1:23" x14ac:dyDescent="0.2">
      <c r="A35" t="s">
        <v>93</v>
      </c>
      <c r="B35" s="3" t="str">
        <f>HYPERLINK("http://www.ncbi.nlm.nih.gov/gene/63830","Kcnq1ot1")</f>
        <v>Kcnq1ot1</v>
      </c>
      <c r="C35">
        <v>63830</v>
      </c>
      <c r="D35" t="s">
        <v>94</v>
      </c>
      <c r="E35" s="3" t="str">
        <f>HYPERLINK("http://genome.ucsc.edu/cgi-bin/hgTracks?db=mm10&amp;lastVirtModeType=default&amp;lastVirtModeExtraState=&amp;virtModeType=default&amp;virtMode=0&amp;nonVirtPosition=&amp;position=chr7:143213110-143296547","chr7:143213110-143296547")</f>
        <v>chr7:143213110-143296547</v>
      </c>
      <c r="F35" t="s">
        <v>25</v>
      </c>
      <c r="G35">
        <v>1.26001612368731</v>
      </c>
      <c r="H35">
        <v>0.13362892443187599</v>
      </c>
      <c r="I35">
        <v>9.4292169831065902</v>
      </c>
      <c r="J35" s="1">
        <v>4.1316166092185303E-21</v>
      </c>
      <c r="K35" s="1">
        <v>1.62724935335427E-18</v>
      </c>
      <c r="L35" t="s">
        <v>26</v>
      </c>
      <c r="M35" t="s">
        <v>27</v>
      </c>
      <c r="N35">
        <v>1272.2167479946399</v>
      </c>
      <c r="O35">
        <v>696.31739565185899</v>
      </c>
      <c r="P35">
        <v>1704.14126225173</v>
      </c>
      <c r="Q35">
        <v>782.85031968404905</v>
      </c>
      <c r="R35">
        <v>587.84512002218401</v>
      </c>
      <c r="S35">
        <v>718.25674724934504</v>
      </c>
      <c r="T35">
        <v>1576.53642215995</v>
      </c>
      <c r="U35">
        <v>1569.5411947340999</v>
      </c>
      <c r="V35">
        <v>1870.7671655376</v>
      </c>
      <c r="W35">
        <v>1799.72026657527</v>
      </c>
    </row>
    <row r="36" spans="1:23" x14ac:dyDescent="0.2">
      <c r="A36" t="s">
        <v>95</v>
      </c>
      <c r="B36" s="3" t="str">
        <f>HYPERLINK("http://www.ncbi.nlm.nih.gov/gene/100039596","Tcf24")</f>
        <v>Tcf24</v>
      </c>
      <c r="C36">
        <v>100039596</v>
      </c>
      <c r="D36" t="s">
        <v>96</v>
      </c>
      <c r="E36" s="3" t="str">
        <f>HYPERLINK("http://genome.ucsc.edu/cgi-bin/hgTracks?db=mm10&amp;lastVirtModeType=default&amp;lastVirtModeExtraState=&amp;virtModeType=default&amp;virtMode=0&amp;nonVirtPosition=&amp;position=chr1:9960162-9967485","chr1:9960162-9967485")</f>
        <v>chr1:9960162-9967485</v>
      </c>
      <c r="F36" t="s">
        <v>25</v>
      </c>
      <c r="G36">
        <v>3.2166181282481698</v>
      </c>
      <c r="H36">
        <v>0.34406462809411098</v>
      </c>
      <c r="I36">
        <v>9.3488776979664898</v>
      </c>
      <c r="J36" s="1">
        <v>8.8582648628703004E-21</v>
      </c>
      <c r="K36" s="1">
        <v>3.3891721365341799E-18</v>
      </c>
      <c r="L36" t="s">
        <v>26</v>
      </c>
      <c r="M36" t="s">
        <v>27</v>
      </c>
      <c r="N36">
        <v>29.1308726372588</v>
      </c>
      <c r="O36">
        <v>2.20901906728318</v>
      </c>
      <c r="P36">
        <v>49.322262814740398</v>
      </c>
      <c r="Q36">
        <v>4.4543403680458002</v>
      </c>
      <c r="R36">
        <v>1.1377647484300299</v>
      </c>
      <c r="S36">
        <v>1.0349520853737</v>
      </c>
      <c r="T36">
        <v>59.578411302556397</v>
      </c>
      <c r="U36">
        <v>57.8139321389095</v>
      </c>
      <c r="V36">
        <v>34.575720322558801</v>
      </c>
      <c r="W36">
        <v>45.3209874949371</v>
      </c>
    </row>
    <row r="37" spans="1:23" x14ac:dyDescent="0.2">
      <c r="A37" t="s">
        <v>97</v>
      </c>
      <c r="B37" s="3" t="str">
        <f>HYPERLINK("http://www.ncbi.nlm.nih.gov/gene/17850","Mut")</f>
        <v>Mut</v>
      </c>
      <c r="C37">
        <v>17850</v>
      </c>
      <c r="D37" t="s">
        <v>98</v>
      </c>
      <c r="E37" s="3" t="str">
        <f>HYPERLINK("http://genome.ucsc.edu/cgi-bin/hgTracks?db=mm10&amp;lastVirtModeType=default&amp;lastVirtModeExtraState=&amp;virtModeType=default&amp;virtMode=0&amp;nonVirtPosition=&amp;position=chr17:40934684-40961989","chr17:40934684-40961989")</f>
        <v>chr17:40934684-40961989</v>
      </c>
      <c r="F37" t="s">
        <v>30</v>
      </c>
      <c r="G37">
        <v>-1.45507596161471</v>
      </c>
      <c r="H37">
        <v>0.15625402144504799</v>
      </c>
      <c r="I37">
        <v>-9.3122464827341194</v>
      </c>
      <c r="J37" s="1">
        <v>1.25156676280039E-20</v>
      </c>
      <c r="K37" s="1">
        <v>4.65548070018335E-18</v>
      </c>
      <c r="L37" t="s">
        <v>26</v>
      </c>
      <c r="M37" t="s">
        <v>27</v>
      </c>
      <c r="N37">
        <v>168.860161024501</v>
      </c>
      <c r="O37">
        <v>270.146519854877</v>
      </c>
      <c r="P37">
        <v>92.895391901718597</v>
      </c>
      <c r="Q37">
        <v>297.88401211306302</v>
      </c>
      <c r="R37">
        <v>266.23695113262801</v>
      </c>
      <c r="S37">
        <v>246.318596318939</v>
      </c>
      <c r="T37">
        <v>82.493184880462707</v>
      </c>
      <c r="U37">
        <v>98.497810310734593</v>
      </c>
      <c r="V37">
        <v>96.370624728834201</v>
      </c>
      <c r="W37">
        <v>94.2199476868429</v>
      </c>
    </row>
    <row r="38" spans="1:23" x14ac:dyDescent="0.2">
      <c r="A38" t="s">
        <v>99</v>
      </c>
      <c r="B38" s="3" t="str">
        <f>HYPERLINK("http://www.ncbi.nlm.nih.gov/gene/16917","Lmx1b")</f>
        <v>Lmx1b</v>
      </c>
      <c r="C38">
        <v>16917</v>
      </c>
      <c r="D38" t="s">
        <v>100</v>
      </c>
      <c r="E38" s="3" t="str">
        <f>HYPERLINK("http://genome.ucsc.edu/cgi-bin/hgTracks?db=mm10&amp;lastVirtModeType=default&amp;lastVirtModeExtraState=&amp;virtModeType=default&amp;virtMode=0&amp;nonVirtPosition=&amp;position=chr2:33564535-33640511","chr2:33564535-33640511")</f>
        <v>chr2:33564535-33640511</v>
      </c>
      <c r="F38" t="s">
        <v>25</v>
      </c>
      <c r="G38">
        <v>2.89434651677837</v>
      </c>
      <c r="H38">
        <v>0.31330433734590901</v>
      </c>
      <c r="I38">
        <v>9.2381310175824805</v>
      </c>
      <c r="J38" s="1">
        <v>2.5084024012313099E-20</v>
      </c>
      <c r="K38" s="1">
        <v>9.07838285267255E-18</v>
      </c>
      <c r="L38" t="s">
        <v>26</v>
      </c>
      <c r="M38" t="s">
        <v>27</v>
      </c>
      <c r="N38">
        <v>61.157063128933402</v>
      </c>
      <c r="O38">
        <v>8.5980567493723008</v>
      </c>
      <c r="P38">
        <v>100.576317913604</v>
      </c>
      <c r="Q38">
        <v>15.033398742154599</v>
      </c>
      <c r="R38">
        <v>4.5510589937201402</v>
      </c>
      <c r="S38">
        <v>6.2097125122421701</v>
      </c>
      <c r="T38">
        <v>59.578411302556397</v>
      </c>
      <c r="U38">
        <v>102.780323802506</v>
      </c>
      <c r="V38">
        <v>95.634971104949898</v>
      </c>
      <c r="W38">
        <v>144.31156544440501</v>
      </c>
    </row>
    <row r="39" spans="1:23" x14ac:dyDescent="0.2">
      <c r="A39" t="s">
        <v>101</v>
      </c>
      <c r="B39" s="3" t="str">
        <f>HYPERLINK("http://www.ncbi.nlm.nih.gov/gene/99681","Tchh")</f>
        <v>Tchh</v>
      </c>
      <c r="C39">
        <v>99681</v>
      </c>
      <c r="D39" t="s">
        <v>102</v>
      </c>
      <c r="E39" s="3" t="str">
        <f>HYPERLINK("http://genome.ucsc.edu/cgi-bin/hgTracks?db=mm10&amp;lastVirtModeType=default&amp;lastVirtModeExtraState=&amp;virtModeType=default&amp;virtMode=0&amp;nonVirtPosition=&amp;position=chr3:93442329-93449077","chr3:93442329-93449077")</f>
        <v>chr3:93442329-93449077</v>
      </c>
      <c r="F39" t="s">
        <v>30</v>
      </c>
      <c r="G39">
        <v>2.8844647140392099</v>
      </c>
      <c r="H39">
        <v>0.31836034533722901</v>
      </c>
      <c r="I39">
        <v>9.0603768851418494</v>
      </c>
      <c r="J39" s="1">
        <v>1.3000058925540399E-19</v>
      </c>
      <c r="K39" s="1">
        <v>4.5811523439976797E-17</v>
      </c>
      <c r="L39" t="s">
        <v>26</v>
      </c>
      <c r="M39" t="s">
        <v>27</v>
      </c>
      <c r="N39">
        <v>27.153759431312299</v>
      </c>
      <c r="O39">
        <v>3.37975202345475</v>
      </c>
      <c r="P39">
        <v>44.9842649872054</v>
      </c>
      <c r="Q39">
        <v>3.8975478220400701</v>
      </c>
      <c r="R39">
        <v>4.1718040775767902</v>
      </c>
      <c r="S39">
        <v>2.0699041707473902</v>
      </c>
      <c r="T39">
        <v>50.4125018713939</v>
      </c>
      <c r="U39">
        <v>49.248905155367297</v>
      </c>
      <c r="V39">
        <v>39.7252956897484</v>
      </c>
      <c r="W39">
        <v>40.550357232312201</v>
      </c>
    </row>
    <row r="40" spans="1:23" x14ac:dyDescent="0.2">
      <c r="A40" t="s">
        <v>103</v>
      </c>
      <c r="B40" s="3" t="str">
        <f>HYPERLINK("http://www.ncbi.nlm.nih.gov/gene/238393","Serpina3f")</f>
        <v>Serpina3f</v>
      </c>
      <c r="C40">
        <v>238393</v>
      </c>
      <c r="D40" t="s">
        <v>104</v>
      </c>
      <c r="E40" s="3" t="str">
        <f>HYPERLINK("http://genome.ucsc.edu/cgi-bin/hgTracks?db=mm10&amp;lastVirtModeType=default&amp;lastVirtModeExtraState=&amp;virtModeType=default&amp;virtMode=0&amp;nonVirtPosition=&amp;position=chr12:104214632-104221129","chr12:104214632-104221129")</f>
        <v>chr12:104214632-104221129</v>
      </c>
      <c r="F40" t="s">
        <v>30</v>
      </c>
      <c r="G40">
        <v>3.35251630330862</v>
      </c>
      <c r="H40">
        <v>0.37375488876989699</v>
      </c>
      <c r="I40">
        <v>8.9698259582434705</v>
      </c>
      <c r="J40" s="1">
        <v>2.9698332520607099E-19</v>
      </c>
      <c r="K40" s="1">
        <v>1.01971889944474E-16</v>
      </c>
      <c r="L40" t="s">
        <v>26</v>
      </c>
      <c r="M40" t="s">
        <v>27</v>
      </c>
      <c r="N40">
        <v>38.276241024320498</v>
      </c>
      <c r="O40">
        <v>1.43235811825676</v>
      </c>
      <c r="P40">
        <v>65.9091532038682</v>
      </c>
      <c r="Q40">
        <v>2.2271701840229001</v>
      </c>
      <c r="R40">
        <v>0</v>
      </c>
      <c r="S40">
        <v>2.0699041707473902</v>
      </c>
      <c r="T40">
        <v>96.242049027206505</v>
      </c>
      <c r="U40">
        <v>19.2713107129698</v>
      </c>
      <c r="V40">
        <v>61.059250782391103</v>
      </c>
      <c r="W40">
        <v>87.064002292905499</v>
      </c>
    </row>
    <row r="41" spans="1:23" x14ac:dyDescent="0.2">
      <c r="A41" t="s">
        <v>105</v>
      </c>
      <c r="B41" s="3" t="str">
        <f>HYPERLINK("http://www.ncbi.nlm.nih.gov/gene/14469","Gbp2")</f>
        <v>Gbp2</v>
      </c>
      <c r="C41">
        <v>14469</v>
      </c>
      <c r="D41" t="s">
        <v>106</v>
      </c>
      <c r="E41" s="3" t="str">
        <f>HYPERLINK("http://genome.ucsc.edu/cgi-bin/hgTracks?db=mm10&amp;lastVirtModeType=default&amp;lastVirtModeExtraState=&amp;virtModeType=default&amp;virtMode=0&amp;nonVirtPosition=&amp;position=chr3:142620662-142638008","chr3:142620662-142638008")</f>
        <v>chr3:142620662-142638008</v>
      </c>
      <c r="F41" t="s">
        <v>30</v>
      </c>
      <c r="G41">
        <v>2.4059057945737199</v>
      </c>
      <c r="H41">
        <v>0.26947675992536602</v>
      </c>
      <c r="I41">
        <v>8.9280641315416496</v>
      </c>
      <c r="J41" s="1">
        <v>4.33528309152423E-19</v>
      </c>
      <c r="K41" s="1">
        <v>1.4513443969650201E-16</v>
      </c>
      <c r="L41" t="s">
        <v>26</v>
      </c>
      <c r="M41" t="s">
        <v>27</v>
      </c>
      <c r="N41">
        <v>161.15513638527901</v>
      </c>
      <c r="O41">
        <v>36.5529995623383</v>
      </c>
      <c r="P41">
        <v>254.606739002485</v>
      </c>
      <c r="Q41">
        <v>28.953212392297701</v>
      </c>
      <c r="R41">
        <v>34.132942452900998</v>
      </c>
      <c r="S41">
        <v>46.572843841816301</v>
      </c>
      <c r="T41">
        <v>384.96819610882602</v>
      </c>
      <c r="U41">
        <v>128.47540475313201</v>
      </c>
      <c r="V41">
        <v>210.39693643089001</v>
      </c>
      <c r="W41">
        <v>294.58641871709102</v>
      </c>
    </row>
    <row r="42" spans="1:23" x14ac:dyDescent="0.2">
      <c r="A42" t="s">
        <v>107</v>
      </c>
      <c r="B42" s="3" t="str">
        <f>HYPERLINK("http://www.ncbi.nlm.nih.gov/gene/12399","Runx3")</f>
        <v>Runx3</v>
      </c>
      <c r="C42">
        <v>12399</v>
      </c>
      <c r="D42" t="s">
        <v>108</v>
      </c>
      <c r="E42" s="3" t="str">
        <f>HYPERLINK("http://genome.ucsc.edu/cgi-bin/hgTracks?db=mm10&amp;lastVirtModeType=default&amp;lastVirtModeExtraState=&amp;virtModeType=default&amp;virtMode=0&amp;nonVirtPosition=&amp;position=chr4:135120644-135177990","chr4:135120644-135177990")</f>
        <v>chr4:135120644-135177990</v>
      </c>
      <c r="F42" t="s">
        <v>30</v>
      </c>
      <c r="G42">
        <v>2.40625681861109</v>
      </c>
      <c r="H42">
        <v>0.27067259019293799</v>
      </c>
      <c r="I42">
        <v>8.8899168434302407</v>
      </c>
      <c r="J42" s="1">
        <v>6.1154659519141201E-19</v>
      </c>
      <c r="K42" s="1">
        <v>1.99737084297761E-16</v>
      </c>
      <c r="L42" t="s">
        <v>26</v>
      </c>
      <c r="M42" t="s">
        <v>27</v>
      </c>
      <c r="N42">
        <v>67.356024010566202</v>
      </c>
      <c r="O42">
        <v>15.1304503276915</v>
      </c>
      <c r="P42">
        <v>106.52520427272199</v>
      </c>
      <c r="Q42">
        <v>15.5901912881603</v>
      </c>
      <c r="R42">
        <v>9.1021179874402698</v>
      </c>
      <c r="S42">
        <v>20.699041707473899</v>
      </c>
      <c r="T42">
        <v>142.07159618301901</v>
      </c>
      <c r="U42">
        <v>100.63906705661999</v>
      </c>
      <c r="V42">
        <v>77.243630507844202</v>
      </c>
      <c r="W42">
        <v>106.14652334340499</v>
      </c>
    </row>
    <row r="43" spans="1:23" x14ac:dyDescent="0.2">
      <c r="A43" t="s">
        <v>109</v>
      </c>
      <c r="B43" s="3" t="str">
        <f>HYPERLINK("http://www.ncbi.nlm.nih.gov/gene/11906","Zfhx3")</f>
        <v>Zfhx3</v>
      </c>
      <c r="C43">
        <v>11906</v>
      </c>
      <c r="D43" t="s">
        <v>110</v>
      </c>
      <c r="E43" s="3" t="str">
        <f>HYPERLINK("http://genome.ucsc.edu/cgi-bin/hgTracks?db=mm10&amp;lastVirtModeType=default&amp;lastVirtModeExtraState=&amp;virtModeType=default&amp;virtMode=0&amp;nonVirtPosition=&amp;position=chr8:108714643-108961636","chr8:108714643-108961636")</f>
        <v>chr8:108714643-108961636</v>
      </c>
      <c r="F43" t="s">
        <v>30</v>
      </c>
      <c r="G43">
        <v>1.59120833230407</v>
      </c>
      <c r="H43">
        <v>0.181223150518209</v>
      </c>
      <c r="I43">
        <v>8.7803811364828093</v>
      </c>
      <c r="J43" s="1">
        <v>1.6292161296205499E-18</v>
      </c>
      <c r="K43" s="1">
        <v>5.1944840932735101E-16</v>
      </c>
      <c r="L43" t="s">
        <v>26</v>
      </c>
      <c r="M43" t="s">
        <v>27</v>
      </c>
      <c r="N43">
        <v>268.78613100728103</v>
      </c>
      <c r="O43">
        <v>119.26022918356</v>
      </c>
      <c r="P43">
        <v>380.93055737507098</v>
      </c>
      <c r="Q43">
        <v>145.32285450749399</v>
      </c>
      <c r="R43">
        <v>87.228630712969306</v>
      </c>
      <c r="S43">
        <v>125.22920233021701</v>
      </c>
      <c r="T43">
        <v>389.55115082440699</v>
      </c>
      <c r="U43">
        <v>329.75353886637203</v>
      </c>
      <c r="V43">
        <v>361.94158295104103</v>
      </c>
      <c r="W43">
        <v>442.475956858465</v>
      </c>
    </row>
    <row r="44" spans="1:23" x14ac:dyDescent="0.2">
      <c r="A44" t="s">
        <v>111</v>
      </c>
      <c r="B44" s="3" t="str">
        <f>HYPERLINK("http://www.ncbi.nlm.nih.gov/gene/19212","Pter")</f>
        <v>Pter</v>
      </c>
      <c r="C44">
        <v>19212</v>
      </c>
      <c r="D44" t="s">
        <v>112</v>
      </c>
      <c r="E44" s="3" t="str">
        <f>HYPERLINK("http://genome.ucsc.edu/cgi-bin/hgTracks?db=mm10&amp;lastVirtModeType=default&amp;lastVirtModeExtraState=&amp;virtModeType=default&amp;virtMode=0&amp;nonVirtPosition=&amp;position=chr2:12924040-13003454","chr2:12924040-13003454")</f>
        <v>chr2:12924040-13003454</v>
      </c>
      <c r="F44" t="s">
        <v>30</v>
      </c>
      <c r="G44">
        <v>-1.6152110642677899</v>
      </c>
      <c r="H44">
        <v>0.185475015069438</v>
      </c>
      <c r="I44">
        <v>-8.70851021989718</v>
      </c>
      <c r="J44" s="1">
        <v>3.0789458120803899E-18</v>
      </c>
      <c r="K44" s="1">
        <v>9.5884100859461692E-16</v>
      </c>
      <c r="L44" t="s">
        <v>26</v>
      </c>
      <c r="M44" t="s">
        <v>27</v>
      </c>
      <c r="N44">
        <v>195.49365059904099</v>
      </c>
      <c r="O44">
        <v>319.80801322546699</v>
      </c>
      <c r="P44">
        <v>102.257878629221</v>
      </c>
      <c r="Q44">
        <v>356.90402198967001</v>
      </c>
      <c r="R44">
        <v>336.01985570300297</v>
      </c>
      <c r="S44">
        <v>266.50016198372703</v>
      </c>
      <c r="T44">
        <v>137.48864146743799</v>
      </c>
      <c r="U44">
        <v>96.356553564849094</v>
      </c>
      <c r="V44">
        <v>100.04889284825499</v>
      </c>
      <c r="W44">
        <v>75.137426636343093</v>
      </c>
    </row>
    <row r="45" spans="1:23" x14ac:dyDescent="0.2">
      <c r="A45" t="s">
        <v>113</v>
      </c>
      <c r="B45" s="3" t="str">
        <f>HYPERLINK("http://www.ncbi.nlm.nih.gov/gene/319974","Auts2")</f>
        <v>Auts2</v>
      </c>
      <c r="C45">
        <v>319974</v>
      </c>
      <c r="D45" t="s">
        <v>114</v>
      </c>
      <c r="E45" s="3" t="str">
        <f>HYPERLINK("http://genome.ucsc.edu/cgi-bin/hgTracks?db=mm10&amp;lastVirtModeType=default&amp;lastVirtModeExtraState=&amp;virtModeType=default&amp;virtMode=0&amp;nonVirtPosition=&amp;position=chr5:131437681-132542343","chr5:131437681-132542343")</f>
        <v>chr5:131437681-132542343</v>
      </c>
      <c r="F45" t="s">
        <v>25</v>
      </c>
      <c r="G45">
        <v>1.67188016970564</v>
      </c>
      <c r="H45">
        <v>0.19215053340306301</v>
      </c>
      <c r="I45">
        <v>8.7008874765839703</v>
      </c>
      <c r="J45" s="1">
        <v>3.2929866105780298E-18</v>
      </c>
      <c r="K45" s="1">
        <v>1.0021905386875099E-15</v>
      </c>
      <c r="L45" t="s">
        <v>26</v>
      </c>
      <c r="M45" t="s">
        <v>27</v>
      </c>
      <c r="N45">
        <v>250.06042277970499</v>
      </c>
      <c r="O45">
        <v>103.517109736679</v>
      </c>
      <c r="P45">
        <v>359.96790756197402</v>
      </c>
      <c r="Q45">
        <v>76.280578802784305</v>
      </c>
      <c r="R45">
        <v>128.18816165645001</v>
      </c>
      <c r="S45">
        <v>106.08258875080401</v>
      </c>
      <c r="T45">
        <v>389.55115082440699</v>
      </c>
      <c r="U45">
        <v>355.44861981699898</v>
      </c>
      <c r="V45">
        <v>281.019684323776</v>
      </c>
      <c r="W45">
        <v>413.852175282715</v>
      </c>
    </row>
    <row r="46" spans="1:23" x14ac:dyDescent="0.2">
      <c r="A46" t="s">
        <v>115</v>
      </c>
      <c r="B46" s="3" t="str">
        <f>HYPERLINK("http://www.ncbi.nlm.nih.gov/gene/14972","H2-K1")</f>
        <v>H2-K1</v>
      </c>
      <c r="C46">
        <v>14972</v>
      </c>
      <c r="D46" t="s">
        <v>116</v>
      </c>
      <c r="E46" s="3" t="str">
        <f>HYPERLINK("http://genome.ucsc.edu/cgi-bin/hgTracks?db=mm10&amp;lastVirtModeType=default&amp;lastVirtModeExtraState=&amp;virtModeType=default&amp;virtMode=0&amp;nonVirtPosition=&amp;position=chr17:33996011-34000333","chr17:33996011-34000333")</f>
        <v>chr17:33996011-34000333</v>
      </c>
      <c r="F46" t="s">
        <v>25</v>
      </c>
      <c r="G46">
        <v>2.3179152873329398</v>
      </c>
      <c r="H46">
        <v>0.26703679167063199</v>
      </c>
      <c r="I46">
        <v>8.6801345718379395</v>
      </c>
      <c r="J46" s="1">
        <v>3.9530082283705602E-18</v>
      </c>
      <c r="K46" s="1">
        <v>1.17632740413578E-15</v>
      </c>
      <c r="L46" t="s">
        <v>26</v>
      </c>
      <c r="M46" t="s">
        <v>27</v>
      </c>
      <c r="N46">
        <v>2414.1912305838</v>
      </c>
      <c r="O46">
        <v>595.94550765029499</v>
      </c>
      <c r="P46">
        <v>3777.8755227839301</v>
      </c>
      <c r="Q46">
        <v>657.57199683276099</v>
      </c>
      <c r="R46">
        <v>356.120366258601</v>
      </c>
      <c r="S46">
        <v>774.14415985952405</v>
      </c>
      <c r="T46">
        <v>4706.6944929019601</v>
      </c>
      <c r="U46">
        <v>1948.54363875584</v>
      </c>
      <c r="V46">
        <v>4044.6236241155002</v>
      </c>
      <c r="W46">
        <v>4411.6403353624301</v>
      </c>
    </row>
    <row r="47" spans="1:23" x14ac:dyDescent="0.2">
      <c r="A47" t="s">
        <v>117</v>
      </c>
      <c r="B47" s="3" t="str">
        <f>HYPERLINK("http://www.ncbi.nlm.nih.gov/gene/56213","Htra1")</f>
        <v>Htra1</v>
      </c>
      <c r="C47">
        <v>56213</v>
      </c>
      <c r="D47" t="s">
        <v>118</v>
      </c>
      <c r="E47" s="3" t="str">
        <f>HYPERLINK("http://genome.ucsc.edu/cgi-bin/hgTracks?db=mm10&amp;lastVirtModeType=default&amp;lastVirtModeExtraState=&amp;virtModeType=default&amp;virtMode=0&amp;nonVirtPosition=&amp;position=chr7:130936202-130985658","chr7:130936202-130985658")</f>
        <v>chr7:130936202-130985658</v>
      </c>
      <c r="F47" t="s">
        <v>30</v>
      </c>
      <c r="G47">
        <v>-1.9746768422566101</v>
      </c>
      <c r="H47">
        <v>0.228049731188155</v>
      </c>
      <c r="I47">
        <v>-8.6589746542054797</v>
      </c>
      <c r="J47" s="1">
        <v>4.7602664326577697E-18</v>
      </c>
      <c r="K47" s="1">
        <v>1.38575495216783E-15</v>
      </c>
      <c r="L47" t="s">
        <v>26</v>
      </c>
      <c r="M47" t="s">
        <v>27</v>
      </c>
      <c r="N47">
        <v>693.55468085867403</v>
      </c>
      <c r="O47">
        <v>1253.6461326962301</v>
      </c>
      <c r="P47">
        <v>273.48609198051003</v>
      </c>
      <c r="Q47">
        <v>1491.64723074934</v>
      </c>
      <c r="R47">
        <v>885.56022919471002</v>
      </c>
      <c r="S47">
        <v>1383.73093814463</v>
      </c>
      <c r="T47">
        <v>197.06705276999401</v>
      </c>
      <c r="U47">
        <v>207.701904350897</v>
      </c>
      <c r="V47">
        <v>395.78164964971597</v>
      </c>
      <c r="W47">
        <v>293.393761151435</v>
      </c>
    </row>
    <row r="48" spans="1:23" x14ac:dyDescent="0.2">
      <c r="A48" t="s">
        <v>119</v>
      </c>
      <c r="B48" s="3" t="str">
        <f>HYPERLINK("http://www.ncbi.nlm.nih.gov/gene/140488","Igf2bp3")</f>
        <v>Igf2bp3</v>
      </c>
      <c r="C48">
        <v>140488</v>
      </c>
      <c r="D48" t="s">
        <v>120</v>
      </c>
      <c r="E48" s="3" t="str">
        <f>HYPERLINK("http://genome.ucsc.edu/cgi-bin/hgTracks?db=mm10&amp;lastVirtModeType=default&amp;lastVirtModeExtraState=&amp;virtModeType=default&amp;virtMode=0&amp;nonVirtPosition=&amp;position=chr6:49085217-49214954","chr6:49085217-49214954")</f>
        <v>chr6:49085217-49214954</v>
      </c>
      <c r="F48" t="s">
        <v>25</v>
      </c>
      <c r="G48">
        <v>2.4271371918361</v>
      </c>
      <c r="H48">
        <v>0.28071830199925901</v>
      </c>
      <c r="I48">
        <v>8.6461665468555893</v>
      </c>
      <c r="J48" s="1">
        <v>5.3258366909670601E-18</v>
      </c>
      <c r="K48" s="1">
        <v>1.5174101942285099E-15</v>
      </c>
      <c r="L48" t="s">
        <v>26</v>
      </c>
      <c r="M48" t="s">
        <v>27</v>
      </c>
      <c r="N48">
        <v>84.745035972880999</v>
      </c>
      <c r="O48">
        <v>19.2796971846921</v>
      </c>
      <c r="P48">
        <v>133.84404006402301</v>
      </c>
      <c r="Q48">
        <v>27.282834754280501</v>
      </c>
      <c r="R48">
        <v>15.549451561877101</v>
      </c>
      <c r="S48">
        <v>15.0068052379186</v>
      </c>
      <c r="T48">
        <v>105.407958458369</v>
      </c>
      <c r="U48">
        <v>81.367756343650299</v>
      </c>
      <c r="V48">
        <v>187.59167409047899</v>
      </c>
      <c r="W48">
        <v>161.00877136359199</v>
      </c>
    </row>
    <row r="49" spans="1:23" x14ac:dyDescent="0.2">
      <c r="A49" t="s">
        <v>121</v>
      </c>
      <c r="B49" s="3" t="str">
        <f>HYPERLINK("http://www.ncbi.nlm.nih.gov/gene/216551","Lgalsl")</f>
        <v>Lgalsl</v>
      </c>
      <c r="C49">
        <v>216551</v>
      </c>
      <c r="D49" t="s">
        <v>122</v>
      </c>
      <c r="E49" s="3" t="str">
        <f>HYPERLINK("http://genome.ucsc.edu/cgi-bin/hgTracks?db=mm10&amp;lastVirtModeType=default&amp;lastVirtModeExtraState=&amp;virtModeType=default&amp;virtMode=0&amp;nonVirtPosition=&amp;position=chr11:20823354-20831108","chr11:20823354-20831108")</f>
        <v>chr11:20823354-20831108</v>
      </c>
      <c r="F49" t="s">
        <v>25</v>
      </c>
      <c r="G49">
        <v>-0.94596479493440799</v>
      </c>
      <c r="H49">
        <v>0.109707855669731</v>
      </c>
      <c r="I49">
        <v>-8.6225802989184395</v>
      </c>
      <c r="J49" s="1">
        <v>6.5462028642670703E-18</v>
      </c>
      <c r="K49" s="1">
        <v>1.8197451756991301E-15</v>
      </c>
      <c r="L49" t="s">
        <v>26</v>
      </c>
      <c r="M49" t="s">
        <v>27</v>
      </c>
      <c r="N49">
        <v>541.45231358725403</v>
      </c>
      <c r="O49">
        <v>753.11881963822998</v>
      </c>
      <c r="P49">
        <v>382.702434049023</v>
      </c>
      <c r="Q49">
        <v>736.07974581956796</v>
      </c>
      <c r="R49">
        <v>805.53744188846395</v>
      </c>
      <c r="S49">
        <v>717.73927120665803</v>
      </c>
      <c r="T49">
        <v>357.47046781533902</v>
      </c>
      <c r="U49">
        <v>391.84998449705301</v>
      </c>
      <c r="V49">
        <v>404.60949313632699</v>
      </c>
      <c r="W49">
        <v>376.879790747372</v>
      </c>
    </row>
    <row r="50" spans="1:23" x14ac:dyDescent="0.2">
      <c r="A50" t="s">
        <v>123</v>
      </c>
      <c r="B50" s="3" t="str">
        <f>HYPERLINK("http://www.ncbi.nlm.nih.gov/gene/232798","Leng8")</f>
        <v>Leng8</v>
      </c>
      <c r="C50">
        <v>232798</v>
      </c>
      <c r="D50" t="s">
        <v>124</v>
      </c>
      <c r="E50" s="3" t="str">
        <f>HYPERLINK("http://genome.ucsc.edu/cgi-bin/hgTracks?db=mm10&amp;lastVirtModeType=default&amp;lastVirtModeExtraState=&amp;virtModeType=default&amp;virtMode=0&amp;nonVirtPosition=&amp;position=chr7:4137055-4148173","chr7:4137055-4148173")</f>
        <v>chr7:4137055-4148173</v>
      </c>
      <c r="F50" t="s">
        <v>30</v>
      </c>
      <c r="G50">
        <v>1.3924153139356901</v>
      </c>
      <c r="H50">
        <v>0.161521323246926</v>
      </c>
      <c r="I50">
        <v>8.6206284467285705</v>
      </c>
      <c r="J50" s="1">
        <v>6.6587643648164896E-18</v>
      </c>
      <c r="K50" s="1">
        <v>1.8197451756991301E-15</v>
      </c>
      <c r="L50" t="s">
        <v>26</v>
      </c>
      <c r="M50" t="s">
        <v>27</v>
      </c>
      <c r="N50">
        <v>775.61851486380795</v>
      </c>
      <c r="O50">
        <v>388.44430233570102</v>
      </c>
      <c r="P50">
        <v>1065.99917425989</v>
      </c>
      <c r="Q50">
        <v>331.84835741941203</v>
      </c>
      <c r="R50">
        <v>339.81240486443699</v>
      </c>
      <c r="S50">
        <v>493.67214472325298</v>
      </c>
      <c r="T50">
        <v>1154.9045883264801</v>
      </c>
      <c r="U50">
        <v>937.87045469786403</v>
      </c>
      <c r="V50">
        <v>1001.22458210644</v>
      </c>
      <c r="W50">
        <v>1169.9970719087701</v>
      </c>
    </row>
    <row r="51" spans="1:23" x14ac:dyDescent="0.2">
      <c r="A51" t="s">
        <v>125</v>
      </c>
      <c r="B51" s="3" t="str">
        <f>HYPERLINK("http://www.ncbi.nlm.nih.gov/gene/18542","Pcolce")</f>
        <v>Pcolce</v>
      </c>
      <c r="C51">
        <v>18542</v>
      </c>
      <c r="D51" t="s">
        <v>126</v>
      </c>
      <c r="E51" s="3" t="str">
        <f>HYPERLINK("http://genome.ucsc.edu/cgi-bin/hgTracks?db=mm10&amp;lastVirtModeType=default&amp;lastVirtModeExtraState=&amp;virtModeType=default&amp;virtMode=0&amp;nonVirtPosition=&amp;position=chr5:137605106-137611404","chr5:137605106-137611404")</f>
        <v>chr5:137605106-137611404</v>
      </c>
      <c r="F51" t="s">
        <v>25</v>
      </c>
      <c r="G51">
        <v>2.1302139852165198</v>
      </c>
      <c r="H51">
        <v>0.24766313306392099</v>
      </c>
      <c r="I51">
        <v>8.6012559029797995</v>
      </c>
      <c r="J51" s="1">
        <v>7.8848452691043404E-18</v>
      </c>
      <c r="K51" s="1">
        <v>2.1117192599715198E-15</v>
      </c>
      <c r="L51" t="s">
        <v>26</v>
      </c>
      <c r="M51" t="s">
        <v>27</v>
      </c>
      <c r="N51">
        <v>261.48933060992198</v>
      </c>
      <c r="O51">
        <v>77.690233271633701</v>
      </c>
      <c r="P51">
        <v>399.338653613639</v>
      </c>
      <c r="Q51">
        <v>107.460961379105</v>
      </c>
      <c r="R51">
        <v>55.750472673071698</v>
      </c>
      <c r="S51">
        <v>69.859265762724405</v>
      </c>
      <c r="T51">
        <v>238.31364521022601</v>
      </c>
      <c r="U51">
        <v>338.31856584991499</v>
      </c>
      <c r="V51">
        <v>509.07230772788699</v>
      </c>
      <c r="W51">
        <v>511.65009566652702</v>
      </c>
    </row>
    <row r="52" spans="1:23" x14ac:dyDescent="0.2">
      <c r="A52" t="s">
        <v>127</v>
      </c>
      <c r="B52" s="3" t="str">
        <f>HYPERLINK("http://www.ncbi.nlm.nih.gov/gene/75769","Plppr5")</f>
        <v>Plppr5</v>
      </c>
      <c r="C52">
        <v>75769</v>
      </c>
      <c r="D52" t="s">
        <v>128</v>
      </c>
      <c r="E52" s="3" t="str">
        <f>HYPERLINK("http://genome.ucsc.edu/cgi-bin/hgTracks?db=mm10&amp;lastVirtModeType=default&amp;lastVirtModeExtraState=&amp;virtModeType=default&amp;virtMode=0&amp;nonVirtPosition=&amp;position=chr3:117575226-117689508","chr3:117575226-117689508")</f>
        <v>chr3:117575226-117689508</v>
      </c>
      <c r="F52" t="s">
        <v>30</v>
      </c>
      <c r="G52">
        <v>-1.1791508203312</v>
      </c>
      <c r="H52">
        <v>0.13726053220242601</v>
      </c>
      <c r="I52">
        <v>-8.5906035872878395</v>
      </c>
      <c r="J52" s="1">
        <v>8.6513632310198401E-18</v>
      </c>
      <c r="K52" s="1">
        <v>2.2715765691487599E-15</v>
      </c>
      <c r="L52" t="s">
        <v>26</v>
      </c>
      <c r="M52" t="s">
        <v>27</v>
      </c>
      <c r="N52">
        <v>562.16094134248897</v>
      </c>
      <c r="O52">
        <v>828.58621563116697</v>
      </c>
      <c r="P52">
        <v>362.34198562597999</v>
      </c>
      <c r="Q52">
        <v>793.42937805815802</v>
      </c>
      <c r="R52">
        <v>845.73846299965896</v>
      </c>
      <c r="S52">
        <v>846.590805835683</v>
      </c>
      <c r="T52">
        <v>417.04887911789501</v>
      </c>
      <c r="U52">
        <v>376.86118727585398</v>
      </c>
      <c r="V52">
        <v>375.18334818095701</v>
      </c>
      <c r="W52">
        <v>280.27452792921599</v>
      </c>
    </row>
    <row r="53" spans="1:23" x14ac:dyDescent="0.2">
      <c r="A53" t="s">
        <v>129</v>
      </c>
      <c r="B53" s="3" t="str">
        <f>HYPERLINK("http://www.ncbi.nlm.nih.gov/gene/668253","Dleu2")</f>
        <v>Dleu2</v>
      </c>
      <c r="C53">
        <v>668253</v>
      </c>
      <c r="D53" t="s">
        <v>130</v>
      </c>
      <c r="E53" s="3" t="str">
        <f>HYPERLINK("http://genome.ucsc.edu/cgi-bin/hgTracks?db=mm10&amp;lastVirtModeType=default&amp;lastVirtModeExtraState=&amp;virtModeType=default&amp;virtMode=0&amp;nonVirtPosition=&amp;position=chr14:61602835-61682373","chr14:61602835-61682373")</f>
        <v>chr14:61602835-61682373</v>
      </c>
      <c r="F53" t="s">
        <v>25</v>
      </c>
      <c r="G53">
        <v>1.0312007565688499</v>
      </c>
      <c r="H53">
        <v>0.120284786895808</v>
      </c>
      <c r="I53">
        <v>8.5729940018274302</v>
      </c>
      <c r="J53" s="1">
        <v>1.0082875783475999E-17</v>
      </c>
      <c r="K53" s="1">
        <v>2.59653441570244E-15</v>
      </c>
      <c r="L53" t="s">
        <v>26</v>
      </c>
      <c r="M53" t="s">
        <v>27</v>
      </c>
      <c r="N53">
        <v>262.86906538964502</v>
      </c>
      <c r="O53">
        <v>162.63234181748601</v>
      </c>
      <c r="P53">
        <v>338.04660806876399</v>
      </c>
      <c r="Q53">
        <v>165.36738616369999</v>
      </c>
      <c r="R53">
        <v>165.734398354642</v>
      </c>
      <c r="S53">
        <v>156.79524093411499</v>
      </c>
      <c r="T53">
        <v>352.88751309975697</v>
      </c>
      <c r="U53">
        <v>306.19971466163202</v>
      </c>
      <c r="V53">
        <v>347.22851047335701</v>
      </c>
      <c r="W53">
        <v>345.87069404031001</v>
      </c>
    </row>
    <row r="54" spans="1:23" x14ac:dyDescent="0.2">
      <c r="A54" t="s">
        <v>131</v>
      </c>
      <c r="B54" s="3" t="str">
        <f>HYPERLINK("http://www.ncbi.nlm.nih.gov/gene/233332","Adamts17")</f>
        <v>Adamts17</v>
      </c>
      <c r="C54">
        <v>233332</v>
      </c>
      <c r="D54" t="s">
        <v>132</v>
      </c>
      <c r="E54" s="3" t="str">
        <f>HYPERLINK("http://genome.ucsc.edu/cgi-bin/hgTracks?db=mm10&amp;lastVirtModeType=default&amp;lastVirtModeExtraState=&amp;virtModeType=default&amp;virtMode=0&amp;nonVirtPosition=&amp;position=chr7:66839734-67152625","chr7:66839734-67152625")</f>
        <v>chr7:66839734-67152625</v>
      </c>
      <c r="F54" t="s">
        <v>30</v>
      </c>
      <c r="G54">
        <v>1.80496701695697</v>
      </c>
      <c r="H54">
        <v>0.21088126184127001</v>
      </c>
      <c r="I54">
        <v>8.55916263587023</v>
      </c>
      <c r="J54" s="1">
        <v>1.13690240694079E-17</v>
      </c>
      <c r="K54" s="1">
        <v>2.87250191157437E-15</v>
      </c>
      <c r="L54" t="s">
        <v>26</v>
      </c>
      <c r="M54" t="s">
        <v>27</v>
      </c>
      <c r="N54">
        <v>85.680467441352704</v>
      </c>
      <c r="O54">
        <v>33.060099838750901</v>
      </c>
      <c r="P54">
        <v>125.145743143304</v>
      </c>
      <c r="Q54">
        <v>26.169249662269099</v>
      </c>
      <c r="R54">
        <v>36.787726865904403</v>
      </c>
      <c r="S54">
        <v>36.223322988079303</v>
      </c>
      <c r="T54">
        <v>87.076139596044001</v>
      </c>
      <c r="U54">
        <v>145.60545872021601</v>
      </c>
      <c r="V54">
        <v>123.589808812551</v>
      </c>
      <c r="W54">
        <v>144.31156544440501</v>
      </c>
    </row>
    <row r="55" spans="1:23" x14ac:dyDescent="0.2">
      <c r="A55" t="s">
        <v>133</v>
      </c>
      <c r="B55" s="3" t="str">
        <f>HYPERLINK("http://www.ncbi.nlm.nih.gov/gene/16870","Lhx2")</f>
        <v>Lhx2</v>
      </c>
      <c r="C55">
        <v>16870</v>
      </c>
      <c r="D55" t="s">
        <v>134</v>
      </c>
      <c r="E55" s="3" t="str">
        <f>HYPERLINK("http://genome.ucsc.edu/cgi-bin/hgTracks?db=mm10&amp;lastVirtModeType=default&amp;lastVirtModeExtraState=&amp;virtModeType=default&amp;virtMode=0&amp;nonVirtPosition=&amp;position=chr2:38351307-38369737","chr2:38351307-38369737")</f>
        <v>chr2:38351307-38369737</v>
      </c>
      <c r="F55" t="s">
        <v>30</v>
      </c>
      <c r="G55">
        <v>2.4563511121714998</v>
      </c>
      <c r="H55">
        <v>0.28724304247170901</v>
      </c>
      <c r="I55">
        <v>8.5514729653144901</v>
      </c>
      <c r="J55" s="1">
        <v>1.2152754240488301E-17</v>
      </c>
      <c r="K55" s="1">
        <v>3.0136580006366602E-15</v>
      </c>
      <c r="L55" t="s">
        <v>26</v>
      </c>
      <c r="M55" t="s">
        <v>27</v>
      </c>
      <c r="N55">
        <v>36.523230837274497</v>
      </c>
      <c r="O55">
        <v>8.1364258909016804</v>
      </c>
      <c r="P55">
        <v>57.813334547054097</v>
      </c>
      <c r="Q55">
        <v>10.579058374108801</v>
      </c>
      <c r="R55">
        <v>6.0680786582935102</v>
      </c>
      <c r="S55">
        <v>7.7621406403027198</v>
      </c>
      <c r="T55">
        <v>41.246592440231403</v>
      </c>
      <c r="U55">
        <v>53.531418647138402</v>
      </c>
      <c r="V55">
        <v>62.530558030159597</v>
      </c>
      <c r="W55">
        <v>73.944769070686903</v>
      </c>
    </row>
    <row r="56" spans="1:23" x14ac:dyDescent="0.2">
      <c r="A56" t="s">
        <v>135</v>
      </c>
      <c r="B56" s="3" t="str">
        <f>HYPERLINK("http://www.ncbi.nlm.nih.gov/gene/194401","Mical3")</f>
        <v>Mical3</v>
      </c>
      <c r="C56">
        <v>194401</v>
      </c>
      <c r="D56" t="s">
        <v>136</v>
      </c>
      <c r="E56" s="3" t="str">
        <f>HYPERLINK("http://genome.ucsc.edu/cgi-bin/hgTracks?db=mm10&amp;lastVirtModeType=default&amp;lastVirtModeExtraState=&amp;virtModeType=default&amp;virtMode=0&amp;nonVirtPosition=&amp;position=chr6:120931545-121131022","chr6:120931545-121131022")</f>
        <v>chr6:120931545-121131022</v>
      </c>
      <c r="F56" t="s">
        <v>25</v>
      </c>
      <c r="G56">
        <v>1.0233881644831999</v>
      </c>
      <c r="H56">
        <v>0.121896265963173</v>
      </c>
      <c r="I56">
        <v>8.3955661512418907</v>
      </c>
      <c r="J56" s="1">
        <v>4.6365466917707899E-17</v>
      </c>
      <c r="K56" s="1">
        <v>1.12887266817278E-14</v>
      </c>
      <c r="L56" t="s">
        <v>26</v>
      </c>
      <c r="M56" t="s">
        <v>27</v>
      </c>
      <c r="N56">
        <v>585.92056488247204</v>
      </c>
      <c r="O56">
        <v>364.38786386089203</v>
      </c>
      <c r="P56">
        <v>752.07009064865701</v>
      </c>
      <c r="Q56">
        <v>370.26704309380699</v>
      </c>
      <c r="R56">
        <v>316.677854979693</v>
      </c>
      <c r="S56">
        <v>406.21869350917501</v>
      </c>
      <c r="T56">
        <v>765.35343750207096</v>
      </c>
      <c r="U56">
        <v>698.04969915868401</v>
      </c>
      <c r="V56">
        <v>757.723232600757</v>
      </c>
      <c r="W56">
        <v>787.15399333311802</v>
      </c>
    </row>
    <row r="57" spans="1:23" x14ac:dyDescent="0.2">
      <c r="A57" t="s">
        <v>137</v>
      </c>
      <c r="B57" s="3" t="str">
        <f>HYPERLINK("http://www.ncbi.nlm.nih.gov/gene/11630","Aim1")</f>
        <v>Aim1</v>
      </c>
      <c r="C57">
        <v>11630</v>
      </c>
      <c r="D57" t="s">
        <v>138</v>
      </c>
      <c r="E57" s="3" t="str">
        <f>HYPERLINK("http://genome.ucsc.edu/cgi-bin/hgTracks?db=mm10&amp;lastVirtModeType=default&amp;lastVirtModeExtraState=&amp;virtModeType=default&amp;virtMode=0&amp;nonVirtPosition=&amp;position=chr10:43950306-44004846","chr10:43950306-44004846")</f>
        <v>chr10:43950306-44004846</v>
      </c>
      <c r="F57" t="s">
        <v>25</v>
      </c>
      <c r="G57">
        <v>2.0768730792107699</v>
      </c>
      <c r="H57">
        <v>0.24747997387805201</v>
      </c>
      <c r="I57">
        <v>8.3920854146936605</v>
      </c>
      <c r="J57" s="1">
        <v>4.7759370843650698E-17</v>
      </c>
      <c r="K57" s="1">
        <v>1.1420459552987999E-14</v>
      </c>
      <c r="L57" t="s">
        <v>26</v>
      </c>
      <c r="M57" t="s">
        <v>27</v>
      </c>
      <c r="N57">
        <v>55.493003368766303</v>
      </c>
      <c r="O57">
        <v>16.937911516450399</v>
      </c>
      <c r="P57">
        <v>84.409322258003201</v>
      </c>
      <c r="Q57">
        <v>20.601324202211799</v>
      </c>
      <c r="R57">
        <v>13.653176981160399</v>
      </c>
      <c r="S57">
        <v>16.5592333659791</v>
      </c>
      <c r="T57">
        <v>91.659094311625296</v>
      </c>
      <c r="U57">
        <v>64.237702376566105</v>
      </c>
      <c r="V57">
        <v>77.979284131728406</v>
      </c>
      <c r="W57">
        <v>103.761208212093</v>
      </c>
    </row>
    <row r="58" spans="1:23" x14ac:dyDescent="0.2">
      <c r="A58" t="s">
        <v>139</v>
      </c>
      <c r="B58" s="3" t="str">
        <f>HYPERLINK("http://www.ncbi.nlm.nih.gov/gene/106572","Rab31")</f>
        <v>Rab31</v>
      </c>
      <c r="C58">
        <v>106572</v>
      </c>
      <c r="D58" t="s">
        <v>140</v>
      </c>
      <c r="E58" s="3" t="str">
        <f>HYPERLINK("http://genome.ucsc.edu/cgi-bin/hgTracks?db=mm10&amp;lastVirtModeType=default&amp;lastVirtModeExtraState=&amp;virtModeType=default&amp;virtMode=0&amp;nonVirtPosition=&amp;position=chr17:65651725-65772752","chr17:65651725-65772752")</f>
        <v>chr17:65651725-65772752</v>
      </c>
      <c r="F58" t="s">
        <v>25</v>
      </c>
      <c r="G58">
        <v>-1.3607399595353</v>
      </c>
      <c r="H58">
        <v>0.16339682387010199</v>
      </c>
      <c r="I58">
        <v>-8.3278238052966902</v>
      </c>
      <c r="J58" s="1">
        <v>8.2341941614999697E-17</v>
      </c>
      <c r="K58" s="1">
        <v>1.9344577897657199E-14</v>
      </c>
      <c r="L58" t="s">
        <v>26</v>
      </c>
      <c r="M58" t="s">
        <v>27</v>
      </c>
      <c r="N58">
        <v>2552.74180281602</v>
      </c>
      <c r="O58">
        <v>3979.4396310392499</v>
      </c>
      <c r="P58">
        <v>1482.71843164859</v>
      </c>
      <c r="Q58">
        <v>5141.9791623628698</v>
      </c>
      <c r="R58">
        <v>3250.5938862646099</v>
      </c>
      <c r="S58">
        <v>3545.74584449028</v>
      </c>
      <c r="T58">
        <v>1406.96709768345</v>
      </c>
      <c r="U58">
        <v>1518.15103283284</v>
      </c>
      <c r="V58">
        <v>1531.63084492697</v>
      </c>
      <c r="W58">
        <v>1474.1247511511101</v>
      </c>
    </row>
    <row r="59" spans="1:23" x14ac:dyDescent="0.2">
      <c r="A59" t="s">
        <v>141</v>
      </c>
      <c r="B59" s="3" t="str">
        <f>HYPERLINK("http://www.ncbi.nlm.nih.gov/gene/239102","Zfhx2")</f>
        <v>Zfhx2</v>
      </c>
      <c r="C59">
        <v>239102</v>
      </c>
      <c r="D59" t="s">
        <v>142</v>
      </c>
      <c r="E59" s="3" t="str">
        <f>HYPERLINK("http://genome.ucsc.edu/cgi-bin/hgTracks?db=mm10&amp;lastVirtModeType=default&amp;lastVirtModeExtraState=&amp;virtModeType=default&amp;virtMode=0&amp;nonVirtPosition=&amp;position=chr14:55061658-55092048","chr14:55061658-55092048")</f>
        <v>chr14:55061658-55092048</v>
      </c>
      <c r="F59" t="s">
        <v>25</v>
      </c>
      <c r="G59">
        <v>1.7354950014219199</v>
      </c>
      <c r="H59">
        <v>0.20893302480484899</v>
      </c>
      <c r="I59">
        <v>8.3064656869967308</v>
      </c>
      <c r="J59" s="1">
        <v>9.8594722606033596E-17</v>
      </c>
      <c r="K59" s="1">
        <v>2.2763481558920599E-14</v>
      </c>
      <c r="L59" t="s">
        <v>26</v>
      </c>
      <c r="M59" t="s">
        <v>27</v>
      </c>
      <c r="N59">
        <v>471.67487766141102</v>
      </c>
      <c r="O59">
        <v>187.331759965598</v>
      </c>
      <c r="P59">
        <v>684.93221593326996</v>
      </c>
      <c r="Q59">
        <v>135.85738122539701</v>
      </c>
      <c r="R59">
        <v>149.80569187662101</v>
      </c>
      <c r="S59">
        <v>276.33220679477699</v>
      </c>
      <c r="T59">
        <v>618.69888660347101</v>
      </c>
      <c r="U59">
        <v>758.00488804347901</v>
      </c>
      <c r="V59">
        <v>710.64140067216601</v>
      </c>
      <c r="W59">
        <v>652.383688413963</v>
      </c>
    </row>
    <row r="60" spans="1:23" x14ac:dyDescent="0.2">
      <c r="A60" t="s">
        <v>143</v>
      </c>
      <c r="B60" s="3" t="str">
        <f>HYPERLINK("http://www.ncbi.nlm.nih.gov/gene/16517","Kcnj16")</f>
        <v>Kcnj16</v>
      </c>
      <c r="C60">
        <v>16517</v>
      </c>
      <c r="D60" t="s">
        <v>144</v>
      </c>
      <c r="E60" s="3" t="str">
        <f>HYPERLINK("http://genome.ucsc.edu/cgi-bin/hgTracks?db=mm10&amp;lastVirtModeType=default&amp;lastVirtModeExtraState=&amp;virtModeType=default&amp;virtMode=0&amp;nonVirtPosition=&amp;position=chr11:110968032-111027967","chr11:110968032-111027967")</f>
        <v>chr11:110968032-111027967</v>
      </c>
      <c r="F60" t="s">
        <v>30</v>
      </c>
      <c r="G60">
        <v>-1.8611867792483701</v>
      </c>
      <c r="H60">
        <v>0.225291110514763</v>
      </c>
      <c r="I60">
        <v>-8.2612526299674496</v>
      </c>
      <c r="J60" s="1">
        <v>1.4415163009458301E-16</v>
      </c>
      <c r="K60" s="1">
        <v>3.2717533535534799E-14</v>
      </c>
      <c r="L60" t="s">
        <v>26</v>
      </c>
      <c r="M60" t="s">
        <v>27</v>
      </c>
      <c r="N60">
        <v>238.319151856524</v>
      </c>
      <c r="O60">
        <v>417.61606397341501</v>
      </c>
      <c r="P60">
        <v>103.846467768856</v>
      </c>
      <c r="Q60">
        <v>598.551986956154</v>
      </c>
      <c r="R60">
        <v>345.88048352273</v>
      </c>
      <c r="S60">
        <v>308.41572144136097</v>
      </c>
      <c r="T60">
        <v>119.15682260511301</v>
      </c>
      <c r="U60">
        <v>111.345350786048</v>
      </c>
      <c r="V60">
        <v>88.278434866107602</v>
      </c>
      <c r="W60">
        <v>96.605262818155396</v>
      </c>
    </row>
    <row r="61" spans="1:23" x14ac:dyDescent="0.2">
      <c r="A61" t="s">
        <v>145</v>
      </c>
      <c r="B61" s="3" t="str">
        <f>HYPERLINK("http://www.ncbi.nlm.nih.gov/gene/14465","Gata6")</f>
        <v>Gata6</v>
      </c>
      <c r="C61">
        <v>14465</v>
      </c>
      <c r="D61" t="s">
        <v>146</v>
      </c>
      <c r="E61" s="3" t="str">
        <f>HYPERLINK("http://genome.ucsc.edu/cgi-bin/hgTracks?db=mm10&amp;lastVirtModeType=default&amp;lastVirtModeExtraState=&amp;virtModeType=default&amp;virtMode=0&amp;nonVirtPosition=&amp;position=chr18:11052509-11085635","chr18:11052509-11085635")</f>
        <v>chr18:11052509-11085635</v>
      </c>
      <c r="F61" t="s">
        <v>30</v>
      </c>
      <c r="G61">
        <v>1.87679788931992</v>
      </c>
      <c r="H61">
        <v>0.22748559651879799</v>
      </c>
      <c r="I61">
        <v>8.2501833876098907</v>
      </c>
      <c r="J61" s="1">
        <v>1.5815164309565301E-16</v>
      </c>
      <c r="K61" s="1">
        <v>3.5296810878231397E-14</v>
      </c>
      <c r="L61" t="s">
        <v>26</v>
      </c>
      <c r="M61" t="s">
        <v>27</v>
      </c>
      <c r="N61">
        <v>53.619101368939297</v>
      </c>
      <c r="O61">
        <v>19.326753817585399</v>
      </c>
      <c r="P61">
        <v>79.338362032454796</v>
      </c>
      <c r="Q61">
        <v>20.0445316562061</v>
      </c>
      <c r="R61">
        <v>20.859020387884001</v>
      </c>
      <c r="S61">
        <v>17.076709408666002</v>
      </c>
      <c r="T61">
        <v>68.744320733718993</v>
      </c>
      <c r="U61">
        <v>85.650269835421398</v>
      </c>
      <c r="V61">
        <v>89.014088489991806</v>
      </c>
      <c r="W61">
        <v>73.944769070686903</v>
      </c>
    </row>
    <row r="62" spans="1:23" x14ac:dyDescent="0.2">
      <c r="A62" t="s">
        <v>147</v>
      </c>
      <c r="B62" s="3" t="str">
        <f>HYPERLINK("http://www.ncbi.nlm.nih.gov/gene/75202","Spaca6")</f>
        <v>Spaca6</v>
      </c>
      <c r="C62">
        <v>75202</v>
      </c>
      <c r="D62" t="s">
        <v>148</v>
      </c>
      <c r="E62" s="3" t="str">
        <f>HYPERLINK("http://genome.ucsc.edu/cgi-bin/hgTracks?db=mm10&amp;lastVirtModeType=default&amp;lastVirtModeExtraState=&amp;virtModeType=default&amp;virtMode=0&amp;nonVirtPosition=&amp;position=chr17:17830974-17839071","chr17:17830974-17839071")</f>
        <v>chr17:17830974-17839071</v>
      </c>
      <c r="F62" t="s">
        <v>30</v>
      </c>
      <c r="G62">
        <v>1.2097617604422399</v>
      </c>
      <c r="H62">
        <v>0.146699453415751</v>
      </c>
      <c r="I62">
        <v>8.2465321599647208</v>
      </c>
      <c r="J62" s="1">
        <v>1.6305726928635001E-16</v>
      </c>
      <c r="K62" s="1">
        <v>3.5795080213336298E-14</v>
      </c>
      <c r="L62" t="s">
        <v>26</v>
      </c>
      <c r="M62" t="s">
        <v>27</v>
      </c>
      <c r="N62">
        <v>169.41529213531999</v>
      </c>
      <c r="O62">
        <v>95.164204513812194</v>
      </c>
      <c r="P62">
        <v>225.10360785144999</v>
      </c>
      <c r="Q62">
        <v>95.768317912984699</v>
      </c>
      <c r="R62">
        <v>85.711611048395895</v>
      </c>
      <c r="S62">
        <v>104.012684580056</v>
      </c>
      <c r="T62">
        <v>210.81591691673799</v>
      </c>
      <c r="U62">
        <v>244.103269030951</v>
      </c>
      <c r="V62">
        <v>233.202198771301</v>
      </c>
      <c r="W62">
        <v>212.29304668681101</v>
      </c>
    </row>
    <row r="63" spans="1:23" x14ac:dyDescent="0.2">
      <c r="A63" t="s">
        <v>149</v>
      </c>
      <c r="B63" s="3" t="str">
        <f>HYPERLINK("http://www.ncbi.nlm.nih.gov/gene/57330","Gigyf1")</f>
        <v>Gigyf1</v>
      </c>
      <c r="C63">
        <v>57330</v>
      </c>
      <c r="D63" t="s">
        <v>150</v>
      </c>
      <c r="E63" s="3" t="str">
        <f>HYPERLINK("http://genome.ucsc.edu/cgi-bin/hgTracks?db=mm10&amp;lastVirtModeType=default&amp;lastVirtModeExtraState=&amp;virtModeType=default&amp;virtMode=0&amp;nonVirtPosition=&amp;position=chr5:137518879-137527935","chr5:137518879-137527935")</f>
        <v>chr5:137518879-137527935</v>
      </c>
      <c r="F63" t="s">
        <v>30</v>
      </c>
      <c r="G63">
        <v>1.4666193691012099</v>
      </c>
      <c r="H63">
        <v>0.18033348073672201</v>
      </c>
      <c r="I63">
        <v>8.1328179498869808</v>
      </c>
      <c r="J63" s="1">
        <v>4.1942427882105501E-16</v>
      </c>
      <c r="K63" s="1">
        <v>9.0588879317625101E-14</v>
      </c>
      <c r="L63" t="s">
        <v>26</v>
      </c>
      <c r="M63" t="s">
        <v>27</v>
      </c>
      <c r="N63">
        <v>289.794666580848</v>
      </c>
      <c r="O63">
        <v>138.18431395474801</v>
      </c>
      <c r="P63">
        <v>403.50243105042398</v>
      </c>
      <c r="Q63">
        <v>118.040019753214</v>
      </c>
      <c r="R63">
        <v>116.431259256007</v>
      </c>
      <c r="S63">
        <v>180.08166285502301</v>
      </c>
      <c r="T63">
        <v>398.71706025557</v>
      </c>
      <c r="U63">
        <v>368.29616029231198</v>
      </c>
      <c r="V63">
        <v>366.35550469434702</v>
      </c>
      <c r="W63">
        <v>480.64099895946498</v>
      </c>
    </row>
    <row r="64" spans="1:23" x14ac:dyDescent="0.2">
      <c r="A64" t="s">
        <v>151</v>
      </c>
      <c r="B64" s="3" t="str">
        <f>HYPERLINK("http://www.ncbi.nlm.nih.gov/gene/319670","Eml5")</f>
        <v>Eml5</v>
      </c>
      <c r="C64">
        <v>319670</v>
      </c>
      <c r="D64" t="s">
        <v>152</v>
      </c>
      <c r="E64" s="3" t="str">
        <f>HYPERLINK("http://genome.ucsc.edu/cgi-bin/hgTracks?db=mm10&amp;lastVirtModeType=default&amp;lastVirtModeExtraState=&amp;virtModeType=default&amp;virtMode=0&amp;nonVirtPosition=&amp;position=chr12:98786603-98901484","chr12:98786603-98901484")</f>
        <v>chr12:98786603-98901484</v>
      </c>
      <c r="F64" t="s">
        <v>25</v>
      </c>
      <c r="G64">
        <v>1.03152499375825</v>
      </c>
      <c r="H64">
        <v>0.12732928595423801</v>
      </c>
      <c r="I64">
        <v>8.1012391299278796</v>
      </c>
      <c r="J64" s="1">
        <v>5.4402196249336396E-16</v>
      </c>
      <c r="K64" s="1">
        <v>1.13832522661187E-13</v>
      </c>
      <c r="L64" t="s">
        <v>26</v>
      </c>
      <c r="M64" t="s">
        <v>27</v>
      </c>
      <c r="N64">
        <v>409.77084569797199</v>
      </c>
      <c r="O64">
        <v>250.78651218238801</v>
      </c>
      <c r="P64">
        <v>529.00909583466103</v>
      </c>
      <c r="Q64">
        <v>233.29607677639899</v>
      </c>
      <c r="R64">
        <v>286.71671660436903</v>
      </c>
      <c r="S64">
        <v>232.34674316639499</v>
      </c>
      <c r="T64">
        <v>591.20115830998304</v>
      </c>
      <c r="U64">
        <v>509.61910552075699</v>
      </c>
      <c r="V64">
        <v>508.336654104003</v>
      </c>
      <c r="W64">
        <v>506.87946540390197</v>
      </c>
    </row>
    <row r="65" spans="1:23" x14ac:dyDescent="0.2">
      <c r="A65" t="s">
        <v>153</v>
      </c>
      <c r="B65" s="3" t="str">
        <f>HYPERLINK("http://www.ncbi.nlm.nih.gov/gene/74091","Npl")</f>
        <v>Npl</v>
      </c>
      <c r="C65">
        <v>74091</v>
      </c>
      <c r="D65" t="s">
        <v>154</v>
      </c>
      <c r="E65" s="3" t="str">
        <f>HYPERLINK("http://genome.ucsc.edu/cgi-bin/hgTracks?db=mm10&amp;lastVirtModeType=default&amp;lastVirtModeExtraState=&amp;virtModeType=default&amp;virtMode=0&amp;nonVirtPosition=&amp;position=chr1:153503015-153549714","chr1:153503015-153549714")</f>
        <v>chr1:153503015-153549714</v>
      </c>
      <c r="F65" t="s">
        <v>25</v>
      </c>
      <c r="G65">
        <v>-1.9488863948114401</v>
      </c>
      <c r="H65">
        <v>0.24056659748891801</v>
      </c>
      <c r="I65">
        <v>-8.1012343989327906</v>
      </c>
      <c r="J65" s="1">
        <v>5.4404312226988098E-16</v>
      </c>
      <c r="K65" s="1">
        <v>1.13832522661187E-13</v>
      </c>
      <c r="L65" t="s">
        <v>26</v>
      </c>
      <c r="M65" t="s">
        <v>27</v>
      </c>
      <c r="N65">
        <v>75.993666542587306</v>
      </c>
      <c r="O65">
        <v>138.429394480393</v>
      </c>
      <c r="P65">
        <v>29.1668705892329</v>
      </c>
      <c r="Q65">
        <v>168.15134889372899</v>
      </c>
      <c r="R65">
        <v>131.222200985597</v>
      </c>
      <c r="S65">
        <v>115.914633561854</v>
      </c>
      <c r="T65">
        <v>27.497728293487601</v>
      </c>
      <c r="U65">
        <v>19.2713107129698</v>
      </c>
      <c r="V65">
        <v>35.311373946442998</v>
      </c>
      <c r="W65">
        <v>34.587069404030998</v>
      </c>
    </row>
    <row r="66" spans="1:23" x14ac:dyDescent="0.2">
      <c r="A66" t="s">
        <v>155</v>
      </c>
      <c r="B66" s="3" t="str">
        <f>HYPERLINK("http://www.ncbi.nlm.nih.gov/gene/14667","Gm2a")</f>
        <v>Gm2a</v>
      </c>
      <c r="C66">
        <v>14667</v>
      </c>
      <c r="D66" t="s">
        <v>156</v>
      </c>
      <c r="E66" s="3" t="str">
        <f>HYPERLINK("http://genome.ucsc.edu/cgi-bin/hgTracks?db=mm10&amp;lastVirtModeType=default&amp;lastVirtModeExtraState=&amp;virtModeType=default&amp;virtMode=0&amp;nonVirtPosition=&amp;position=chr11:55097984-55113028","chr11:55097984-55113028")</f>
        <v>chr11:55097984-55113028</v>
      </c>
      <c r="F66" t="s">
        <v>30</v>
      </c>
      <c r="G66">
        <v>-1.32771304580322</v>
      </c>
      <c r="H66">
        <v>0.16434924172328999</v>
      </c>
      <c r="I66">
        <v>-8.0786076764421395</v>
      </c>
      <c r="J66" s="1">
        <v>6.5510414793802998E-16</v>
      </c>
      <c r="K66" s="1">
        <v>1.34961533000587E-13</v>
      </c>
      <c r="L66" t="s">
        <v>26</v>
      </c>
      <c r="M66" t="s">
        <v>27</v>
      </c>
      <c r="N66">
        <v>858.11960834438503</v>
      </c>
      <c r="O66">
        <v>1326.0723661120701</v>
      </c>
      <c r="P66">
        <v>507.15504001862303</v>
      </c>
      <c r="Q66">
        <v>1621.3798939686701</v>
      </c>
      <c r="R66">
        <v>1363.80067845147</v>
      </c>
      <c r="S66">
        <v>993.03652591606101</v>
      </c>
      <c r="T66">
        <v>527.03979229184495</v>
      </c>
      <c r="U66">
        <v>503.19533528310097</v>
      </c>
      <c r="V66">
        <v>529.67060919664596</v>
      </c>
      <c r="W66">
        <v>468.71442330290199</v>
      </c>
    </row>
    <row r="67" spans="1:23" x14ac:dyDescent="0.2">
      <c r="A67" t="s">
        <v>157</v>
      </c>
      <c r="B67" s="3" t="str">
        <f>HYPERLINK("http://www.ncbi.nlm.nih.gov/gene/67414","Mfn1")</f>
        <v>Mfn1</v>
      </c>
      <c r="C67">
        <v>67414</v>
      </c>
      <c r="D67" t="s">
        <v>158</v>
      </c>
      <c r="E67" s="3" t="str">
        <f>HYPERLINK("http://genome.ucsc.edu/cgi-bin/hgTracks?db=mm10&amp;lastVirtModeType=default&amp;lastVirtModeExtraState=&amp;virtModeType=default&amp;virtMode=0&amp;nonVirtPosition=&amp;position=chr3:32529481-32579225","chr3:32529481-32579225")</f>
        <v>chr3:32529481-32579225</v>
      </c>
      <c r="F67" t="s">
        <v>30</v>
      </c>
      <c r="G67">
        <v>-1.21753451773735</v>
      </c>
      <c r="H67">
        <v>0.151595747667499</v>
      </c>
      <c r="I67">
        <v>-8.0314556078962305</v>
      </c>
      <c r="J67" s="1">
        <v>9.6322927335927799E-16</v>
      </c>
      <c r="K67" s="1">
        <v>1.9543338181142601E-13</v>
      </c>
      <c r="L67" t="s">
        <v>26</v>
      </c>
      <c r="M67" t="s">
        <v>27</v>
      </c>
      <c r="N67">
        <v>559.02624561037499</v>
      </c>
      <c r="O67">
        <v>839.61702876908998</v>
      </c>
      <c r="P67">
        <v>348.58315824133803</v>
      </c>
      <c r="Q67">
        <v>672.04860302890995</v>
      </c>
      <c r="R67">
        <v>978.47768364982903</v>
      </c>
      <c r="S67">
        <v>868.32479962852995</v>
      </c>
      <c r="T67">
        <v>348.304558384176</v>
      </c>
      <c r="U67">
        <v>334.03605235814302</v>
      </c>
      <c r="V67">
        <v>384.01119166756803</v>
      </c>
      <c r="W67">
        <v>327.98083055546601</v>
      </c>
    </row>
    <row r="68" spans="1:23" x14ac:dyDescent="0.2">
      <c r="A68" t="s">
        <v>159</v>
      </c>
      <c r="B68" s="3" t="str">
        <f>HYPERLINK("http://www.ncbi.nlm.nih.gov/gene/78889","Wsb1")</f>
        <v>Wsb1</v>
      </c>
      <c r="C68">
        <v>78889</v>
      </c>
      <c r="D68" t="s">
        <v>160</v>
      </c>
      <c r="E68" s="3" t="str">
        <f>HYPERLINK("http://genome.ucsc.edu/cgi-bin/hgTracks?db=mm10&amp;lastVirtModeType=default&amp;lastVirtModeExtraState=&amp;virtModeType=default&amp;virtMode=0&amp;nonVirtPosition=&amp;position=chr11:79239382-79243024","chr11:79239382-79243024")</f>
        <v>chr11:79239382-79243024</v>
      </c>
      <c r="F68" t="s">
        <v>25</v>
      </c>
      <c r="G68">
        <v>0.96797293820928598</v>
      </c>
      <c r="H68">
        <v>0.120601421442098</v>
      </c>
      <c r="I68">
        <v>8.0262150033946096</v>
      </c>
      <c r="J68" s="1">
        <v>1.0052598065478E-15</v>
      </c>
      <c r="K68" s="1">
        <v>2.0091692641017299E-13</v>
      </c>
      <c r="L68" t="s">
        <v>26</v>
      </c>
      <c r="M68" t="s">
        <v>27</v>
      </c>
      <c r="N68">
        <v>542.16233379256096</v>
      </c>
      <c r="O68">
        <v>347.96759073969201</v>
      </c>
      <c r="P68">
        <v>687.80839108221198</v>
      </c>
      <c r="Q68">
        <v>367.48308036377801</v>
      </c>
      <c r="R68">
        <v>329.193267212423</v>
      </c>
      <c r="S68">
        <v>347.22642464287497</v>
      </c>
      <c r="T68">
        <v>692.02616205277104</v>
      </c>
      <c r="U68">
        <v>584.56309162675097</v>
      </c>
      <c r="V68">
        <v>736.38927750811399</v>
      </c>
      <c r="W68">
        <v>738.25503314121204</v>
      </c>
    </row>
    <row r="69" spans="1:23" x14ac:dyDescent="0.2">
      <c r="A69" t="s">
        <v>161</v>
      </c>
      <c r="B69" s="3" t="str">
        <f>HYPERLINK("http://www.ncbi.nlm.nih.gov/gene/574519","Vax2os")</f>
        <v>Vax2os</v>
      </c>
      <c r="C69">
        <v>574519</v>
      </c>
      <c r="D69" t="s">
        <v>162</v>
      </c>
      <c r="E69" s="3" t="str">
        <f>HYPERLINK("http://genome.ucsc.edu/cgi-bin/hgTracks?db=mm10&amp;lastVirtModeType=default&amp;lastVirtModeExtraState=&amp;virtModeType=default&amp;virtMode=0&amp;nonVirtPosition=&amp;position=chr6:83702126-83710806","chr6:83702126-83710806")</f>
        <v>chr6:83702126-83710806</v>
      </c>
      <c r="F69" t="s">
        <v>25</v>
      </c>
      <c r="G69">
        <v>2.9302975096764499</v>
      </c>
      <c r="H69">
        <v>0.36885319315667597</v>
      </c>
      <c r="I69">
        <v>7.9443463254275297</v>
      </c>
      <c r="J69" s="1">
        <v>1.9521747494850701E-15</v>
      </c>
      <c r="K69" s="1">
        <v>3.8443488338756602E-13</v>
      </c>
      <c r="L69" t="s">
        <v>26</v>
      </c>
      <c r="M69" t="s">
        <v>27</v>
      </c>
      <c r="N69">
        <v>30.389835795180002</v>
      </c>
      <c r="O69">
        <v>2.1760508595416401</v>
      </c>
      <c r="P69">
        <v>51.550174496908802</v>
      </c>
      <c r="Q69">
        <v>5.0111329140515304</v>
      </c>
      <c r="R69">
        <v>1.51701966457338</v>
      </c>
      <c r="S69">
        <v>0</v>
      </c>
      <c r="T69">
        <v>87.076139596044001</v>
      </c>
      <c r="U69">
        <v>27.836337696512</v>
      </c>
      <c r="V69">
        <v>41.1966029375169</v>
      </c>
      <c r="W69">
        <v>50.091617757562098</v>
      </c>
    </row>
    <row r="70" spans="1:23" x14ac:dyDescent="0.2">
      <c r="A70" t="s">
        <v>163</v>
      </c>
      <c r="B70" s="3" t="str">
        <f>HYPERLINK("http://www.ncbi.nlm.nih.gov/gene/20499","Slc12a7")</f>
        <v>Slc12a7</v>
      </c>
      <c r="C70">
        <v>20499</v>
      </c>
      <c r="D70" t="s">
        <v>164</v>
      </c>
      <c r="E70" s="3" t="str">
        <f>HYPERLINK("http://genome.ucsc.edu/cgi-bin/hgTracks?db=mm10&amp;lastVirtModeType=default&amp;lastVirtModeExtraState=&amp;virtModeType=default&amp;virtMode=0&amp;nonVirtPosition=&amp;position=chr13:73763696-73816742","chr13:73763696-73816742")</f>
        <v>chr13:73763696-73816742</v>
      </c>
      <c r="F70" t="s">
        <v>30</v>
      </c>
      <c r="G70">
        <v>2.01563944060663</v>
      </c>
      <c r="H70">
        <v>0.25409316362141199</v>
      </c>
      <c r="I70">
        <v>7.9326787540409702</v>
      </c>
      <c r="J70" s="1">
        <v>2.1446869341769001E-15</v>
      </c>
      <c r="K70" s="1">
        <v>4.16224677326999E-13</v>
      </c>
      <c r="L70" t="s">
        <v>26</v>
      </c>
      <c r="M70" t="s">
        <v>27</v>
      </c>
      <c r="N70">
        <v>178.02153575756699</v>
      </c>
      <c r="O70">
        <v>55.2704392230537</v>
      </c>
      <c r="P70">
        <v>270.08485815845302</v>
      </c>
      <c r="Q70">
        <v>63.474350244652598</v>
      </c>
      <c r="R70">
        <v>32.995177704470997</v>
      </c>
      <c r="S70">
        <v>69.341789720037596</v>
      </c>
      <c r="T70">
        <v>375.80228667766397</v>
      </c>
      <c r="U70">
        <v>167.018026179072</v>
      </c>
      <c r="V70">
        <v>275.13445533270198</v>
      </c>
      <c r="W70">
        <v>262.38466444437302</v>
      </c>
    </row>
    <row r="71" spans="1:23" x14ac:dyDescent="0.2">
      <c r="A71" t="s">
        <v>165</v>
      </c>
      <c r="B71" s="3" t="str">
        <f>HYPERLINK("http://www.ncbi.nlm.nih.gov/gene/50932","Mink1")</f>
        <v>Mink1</v>
      </c>
      <c r="C71">
        <v>50932</v>
      </c>
      <c r="D71" t="s">
        <v>166</v>
      </c>
      <c r="E71" s="3" t="str">
        <f>HYPERLINK("http://genome.ucsc.edu/cgi-bin/hgTracks?db=mm10&amp;lastVirtModeType=default&amp;lastVirtModeExtraState=&amp;virtModeType=default&amp;virtMode=0&amp;nonVirtPosition=&amp;position=chr11:70562880-70614482","chr11:70562880-70614482")</f>
        <v>chr11:70562880-70614482</v>
      </c>
      <c r="F71" t="s">
        <v>30</v>
      </c>
      <c r="G71">
        <v>0.89199353774289403</v>
      </c>
      <c r="H71">
        <v>0.113010271900504</v>
      </c>
      <c r="I71">
        <v>7.8930306311290197</v>
      </c>
      <c r="J71" s="1">
        <v>2.9493518885826498E-15</v>
      </c>
      <c r="K71" s="1">
        <v>5.6421101628586102E-13</v>
      </c>
      <c r="L71" t="s">
        <v>26</v>
      </c>
      <c r="M71" t="s">
        <v>27</v>
      </c>
      <c r="N71">
        <v>502.97167499975399</v>
      </c>
      <c r="O71">
        <v>335.48606414104597</v>
      </c>
      <c r="P71">
        <v>628.58588314378505</v>
      </c>
      <c r="Q71">
        <v>340.75703815550401</v>
      </c>
      <c r="R71">
        <v>311.74754106982903</v>
      </c>
      <c r="S71">
        <v>353.95361319780397</v>
      </c>
      <c r="T71">
        <v>646.19661489695795</v>
      </c>
      <c r="U71">
        <v>561.00926742201</v>
      </c>
      <c r="V71">
        <v>664.29522236746004</v>
      </c>
      <c r="W71">
        <v>642.84242788871302</v>
      </c>
    </row>
    <row r="72" spans="1:23" x14ac:dyDescent="0.2">
      <c r="A72" t="s">
        <v>167</v>
      </c>
      <c r="B72" s="3" t="str">
        <f>HYPERLINK("http://www.ncbi.nlm.nih.gov/gene/236899","Pcyt1b")</f>
        <v>Pcyt1b</v>
      </c>
      <c r="C72">
        <v>236899</v>
      </c>
      <c r="D72" t="s">
        <v>168</v>
      </c>
      <c r="E72" s="3" t="str">
        <f>HYPERLINK("http://genome.ucsc.edu/cgi-bin/hgTracks?db=mm10&amp;lastVirtModeType=default&amp;lastVirtModeExtraState=&amp;virtModeType=default&amp;virtMode=0&amp;nonVirtPosition=&amp;position=chrX:93675111-93749948","chrX:93675111-93749948")</f>
        <v>chrX:93675111-93749948</v>
      </c>
      <c r="F72" t="s">
        <v>30</v>
      </c>
      <c r="G72">
        <v>-1.0867564809416099</v>
      </c>
      <c r="H72">
        <v>0.13792579702042099</v>
      </c>
      <c r="I72">
        <v>-7.8792836758500604</v>
      </c>
      <c r="J72" s="1">
        <v>3.29263203272495E-15</v>
      </c>
      <c r="K72" s="1">
        <v>6.2100895141154605E-13</v>
      </c>
      <c r="L72" t="s">
        <v>26</v>
      </c>
      <c r="M72" t="s">
        <v>27</v>
      </c>
      <c r="N72">
        <v>385.32656838703201</v>
      </c>
      <c r="O72">
        <v>560.24911734179295</v>
      </c>
      <c r="P72">
        <v>254.13465667096199</v>
      </c>
      <c r="Q72">
        <v>596.88160931813695</v>
      </c>
      <c r="R72">
        <v>526.02656869081898</v>
      </c>
      <c r="S72">
        <v>557.83917401642202</v>
      </c>
      <c r="T72">
        <v>206.23296220115699</v>
      </c>
      <c r="U72">
        <v>312.62348489928797</v>
      </c>
      <c r="V72">
        <v>266.30661184609102</v>
      </c>
      <c r="W72">
        <v>231.375567737311</v>
      </c>
    </row>
    <row r="73" spans="1:23" x14ac:dyDescent="0.2">
      <c r="A73" t="s">
        <v>169</v>
      </c>
      <c r="B73" s="3" t="str">
        <f>HYPERLINK("http://www.ncbi.nlm.nih.gov/gene/268354","Fam19a2")</f>
        <v>Fam19a2</v>
      </c>
      <c r="C73">
        <v>268354</v>
      </c>
      <c r="D73" t="s">
        <v>170</v>
      </c>
      <c r="E73" s="3" t="str">
        <f>HYPERLINK("http://genome.ucsc.edu/cgi-bin/hgTracks?db=mm10&amp;lastVirtModeType=default&amp;lastVirtModeExtraState=&amp;virtModeType=default&amp;virtMode=0&amp;nonVirtPosition=&amp;position=chr10:123264075-123741204","chr10:123264075-123741204")</f>
        <v>chr10:123264075-123741204</v>
      </c>
      <c r="F73" t="s">
        <v>30</v>
      </c>
      <c r="G73">
        <v>-1.3248469210674201</v>
      </c>
      <c r="H73">
        <v>0.16876974523232299</v>
      </c>
      <c r="I73">
        <v>-7.8500261954160004</v>
      </c>
      <c r="J73" s="1">
        <v>4.15950381416963E-15</v>
      </c>
      <c r="K73" s="1">
        <v>7.73609938549243E-13</v>
      </c>
      <c r="L73" t="s">
        <v>26</v>
      </c>
      <c r="M73" t="s">
        <v>27</v>
      </c>
      <c r="N73">
        <v>263.32959304881598</v>
      </c>
      <c r="O73">
        <v>407.02276799374602</v>
      </c>
      <c r="P73">
        <v>155.55971184012</v>
      </c>
      <c r="Q73">
        <v>455.45630263268299</v>
      </c>
      <c r="R73">
        <v>420.97295691911302</v>
      </c>
      <c r="S73">
        <v>344.63904442944101</v>
      </c>
      <c r="T73">
        <v>132.90568675185699</v>
      </c>
      <c r="U73">
        <v>203.419390859126</v>
      </c>
      <c r="V73">
        <v>136.831574042467</v>
      </c>
      <c r="W73">
        <v>149.08219570703</v>
      </c>
    </row>
    <row r="74" spans="1:23" x14ac:dyDescent="0.2">
      <c r="A74" t="s">
        <v>171</v>
      </c>
      <c r="B74" s="3" t="str">
        <f>HYPERLINK("http://www.ncbi.nlm.nih.gov/gene/12628","Cfh")</f>
        <v>Cfh</v>
      </c>
      <c r="C74">
        <v>12628</v>
      </c>
      <c r="D74" t="s">
        <v>172</v>
      </c>
      <c r="E74" s="3" t="str">
        <f>HYPERLINK("http://genome.ucsc.edu/cgi-bin/hgTracks?db=mm10&amp;lastVirtModeType=default&amp;lastVirtModeExtraState=&amp;virtModeType=default&amp;virtMode=0&amp;nonVirtPosition=&amp;position=chr1:140085854-140183411","chr1:140085854-140183411")</f>
        <v>chr1:140085854-140183411</v>
      </c>
      <c r="F74" t="s">
        <v>25</v>
      </c>
      <c r="G74">
        <v>-1.94465958059383</v>
      </c>
      <c r="H74">
        <v>0.24792730909163899</v>
      </c>
      <c r="I74">
        <v>-7.8436683224559198</v>
      </c>
      <c r="J74" s="1">
        <v>4.3757191832692898E-15</v>
      </c>
      <c r="K74" s="1">
        <v>8.0267473401587796E-13</v>
      </c>
      <c r="L74" t="s">
        <v>26</v>
      </c>
      <c r="M74" t="s">
        <v>27</v>
      </c>
      <c r="N74">
        <v>82.294463429736993</v>
      </c>
      <c r="O74">
        <v>152.343302853647</v>
      </c>
      <c r="P74">
        <v>29.757833861804802</v>
      </c>
      <c r="Q74">
        <v>166.48097125571201</v>
      </c>
      <c r="R74">
        <v>166.87216310307201</v>
      </c>
      <c r="S74">
        <v>123.67677420215701</v>
      </c>
      <c r="T74">
        <v>9.1659094311625307</v>
      </c>
      <c r="U74">
        <v>34.260107934168602</v>
      </c>
      <c r="V74">
        <v>43.403563809169597</v>
      </c>
      <c r="W74">
        <v>32.201754272718503</v>
      </c>
    </row>
    <row r="75" spans="1:23" x14ac:dyDescent="0.2">
      <c r="A75" t="s">
        <v>173</v>
      </c>
      <c r="B75" s="3" t="str">
        <f>HYPERLINK("http://www.ncbi.nlm.nih.gov/gene/12283","Cab39")</f>
        <v>Cab39</v>
      </c>
      <c r="C75">
        <v>12283</v>
      </c>
      <c r="D75" t="s">
        <v>174</v>
      </c>
      <c r="E75" s="3" t="str">
        <f>HYPERLINK("http://genome.ucsc.edu/cgi-bin/hgTracks?db=mm10&amp;lastVirtModeType=default&amp;lastVirtModeExtraState=&amp;virtModeType=default&amp;virtMode=0&amp;nonVirtPosition=&amp;position=chr1:85793446-85851577","chr1:85793446-85851577")</f>
        <v>chr1:85793446-85851577</v>
      </c>
      <c r="F75" t="s">
        <v>30</v>
      </c>
      <c r="G75">
        <v>-0.81260914113807703</v>
      </c>
      <c r="H75">
        <v>0.103726502112783</v>
      </c>
      <c r="I75">
        <v>-7.8341515869735696</v>
      </c>
      <c r="J75" s="1">
        <v>4.7201903473955503E-15</v>
      </c>
      <c r="K75" s="1">
        <v>8.5416309381045702E-13</v>
      </c>
      <c r="L75" t="s">
        <v>26</v>
      </c>
      <c r="M75" t="s">
        <v>27</v>
      </c>
      <c r="N75">
        <v>782.20458206178898</v>
      </c>
      <c r="O75">
        <v>1045.6293015614301</v>
      </c>
      <c r="P75">
        <v>584.63604243705402</v>
      </c>
      <c r="Q75">
        <v>1058.4626299568799</v>
      </c>
      <c r="R75">
        <v>1092.63341340898</v>
      </c>
      <c r="S75">
        <v>985.79186131844494</v>
      </c>
      <c r="T75">
        <v>540.78865643858899</v>
      </c>
      <c r="U75">
        <v>597.41063210206403</v>
      </c>
      <c r="V75">
        <v>623.09861942994303</v>
      </c>
      <c r="W75">
        <v>577.24626177762002</v>
      </c>
    </row>
    <row r="76" spans="1:23" x14ac:dyDescent="0.2">
      <c r="A76" t="s">
        <v>175</v>
      </c>
      <c r="B76" s="3" t="str">
        <f>HYPERLINK("http://www.ncbi.nlm.nih.gov/gene/268297","Scml4")</f>
        <v>Scml4</v>
      </c>
      <c r="C76">
        <v>268297</v>
      </c>
      <c r="D76" t="s">
        <v>176</v>
      </c>
      <c r="E76" s="3" t="str">
        <f>HYPERLINK("http://genome.ucsc.edu/cgi-bin/hgTracks?db=mm10&amp;lastVirtModeType=default&amp;lastVirtModeExtraState=&amp;virtModeType=default&amp;virtMode=0&amp;nonVirtPosition=&amp;position=chr10:42860511-42960782","chr10:42860511-42960782")</f>
        <v>chr10:42860511-42960782</v>
      </c>
      <c r="F76" t="s">
        <v>30</v>
      </c>
      <c r="G76">
        <v>-1.6156902509323099</v>
      </c>
      <c r="H76">
        <v>0.20633317590112399</v>
      </c>
      <c r="I76">
        <v>-7.83049184347633</v>
      </c>
      <c r="J76" s="1">
        <v>4.8596506589575202E-15</v>
      </c>
      <c r="K76" s="1">
        <v>8.6767442632133501E-13</v>
      </c>
      <c r="L76" t="s">
        <v>26</v>
      </c>
      <c r="M76" t="s">
        <v>27</v>
      </c>
      <c r="N76">
        <v>262.73732609868699</v>
      </c>
      <c r="O76">
        <v>438.1387666338</v>
      </c>
      <c r="P76">
        <v>131.18624569735101</v>
      </c>
      <c r="Q76">
        <v>296.77042702105098</v>
      </c>
      <c r="R76">
        <v>497.58244998006802</v>
      </c>
      <c r="S76">
        <v>520.06342290028203</v>
      </c>
      <c r="T76">
        <v>123.739777320694</v>
      </c>
      <c r="U76">
        <v>154.170485703759</v>
      </c>
      <c r="V76">
        <v>138.30288129023501</v>
      </c>
      <c r="W76">
        <v>108.531838474718</v>
      </c>
    </row>
    <row r="77" spans="1:23" x14ac:dyDescent="0.2">
      <c r="A77" t="s">
        <v>177</v>
      </c>
      <c r="B77" s="3" t="str">
        <f>HYPERLINK("http://www.ncbi.nlm.nih.gov/gene/27385","Magel2")</f>
        <v>Magel2</v>
      </c>
      <c r="C77">
        <v>27385</v>
      </c>
      <c r="D77" t="s">
        <v>178</v>
      </c>
      <c r="E77" s="3" t="str">
        <f>HYPERLINK("http://genome.ucsc.edu/cgi-bin/hgTracks?db=mm10&amp;lastVirtModeType=default&amp;lastVirtModeExtraState=&amp;virtModeType=default&amp;virtMode=0&amp;nonVirtPosition=&amp;position=chr7:62376978-62381640","chr7:62376978-62381640")</f>
        <v>chr7:62376978-62381640</v>
      </c>
      <c r="F77" t="s">
        <v>30</v>
      </c>
      <c r="G77">
        <v>2.76105916274927</v>
      </c>
      <c r="H77">
        <v>0.35273112572853199</v>
      </c>
      <c r="I77">
        <v>7.8276595439276102</v>
      </c>
      <c r="J77" s="1">
        <v>4.9703569900610897E-15</v>
      </c>
      <c r="K77" s="1">
        <v>8.7576382176194796E-13</v>
      </c>
      <c r="L77" t="s">
        <v>26</v>
      </c>
      <c r="M77" t="s">
        <v>27</v>
      </c>
      <c r="N77">
        <v>20.230002239778401</v>
      </c>
      <c r="O77">
        <v>2.2120333371226</v>
      </c>
      <c r="P77">
        <v>33.7434789167703</v>
      </c>
      <c r="Q77">
        <v>1.67037763801717</v>
      </c>
      <c r="R77">
        <v>3.4132942452900998</v>
      </c>
      <c r="S77">
        <v>1.5524281280605401</v>
      </c>
      <c r="T77">
        <v>32.0806830090688</v>
      </c>
      <c r="U77">
        <v>23.553824204740899</v>
      </c>
      <c r="V77">
        <v>31.6331058270219</v>
      </c>
      <c r="W77">
        <v>47.706302626249602</v>
      </c>
    </row>
    <row r="78" spans="1:23" x14ac:dyDescent="0.2">
      <c r="A78" t="s">
        <v>179</v>
      </c>
      <c r="B78" s="3" t="str">
        <f>HYPERLINK("http://www.ncbi.nlm.nih.gov/gene/12571","Cdk6")</f>
        <v>Cdk6</v>
      </c>
      <c r="C78">
        <v>12571</v>
      </c>
      <c r="D78" t="s">
        <v>180</v>
      </c>
      <c r="E78" s="3" t="str">
        <f>HYPERLINK("http://genome.ucsc.edu/cgi-bin/hgTracks?db=mm10&amp;lastVirtModeType=default&amp;lastVirtModeExtraState=&amp;virtModeType=default&amp;virtMode=0&amp;nonVirtPosition=&amp;position=chr5:3343892-3531005","chr5:3343892-3531005")</f>
        <v>chr5:3343892-3531005</v>
      </c>
      <c r="F78" t="s">
        <v>30</v>
      </c>
      <c r="G78">
        <v>1.6904831009535599</v>
      </c>
      <c r="H78">
        <v>0.216256520957851</v>
      </c>
      <c r="I78">
        <v>7.81702717432987</v>
      </c>
      <c r="J78" s="1">
        <v>5.4085431324918999E-15</v>
      </c>
      <c r="K78" s="1">
        <v>9.4059481931427197E-13</v>
      </c>
      <c r="L78" t="s">
        <v>26</v>
      </c>
      <c r="M78" t="s">
        <v>27</v>
      </c>
      <c r="N78">
        <v>218.57020876405701</v>
      </c>
      <c r="O78">
        <v>88.759023404427595</v>
      </c>
      <c r="P78">
        <v>315.92859778377903</v>
      </c>
      <c r="Q78">
        <v>118.040019753214</v>
      </c>
      <c r="R78">
        <v>61.8185513313652</v>
      </c>
      <c r="S78">
        <v>86.418499128703601</v>
      </c>
      <c r="T78">
        <v>334.55569423743202</v>
      </c>
      <c r="U78">
        <v>250.52703926860801</v>
      </c>
      <c r="V78">
        <v>280.28403069989201</v>
      </c>
      <c r="W78">
        <v>398.347626929184</v>
      </c>
    </row>
    <row r="79" spans="1:23" x14ac:dyDescent="0.2">
      <c r="A79" t="s">
        <v>181</v>
      </c>
      <c r="B79" s="3" t="str">
        <f>HYPERLINK("http://www.ncbi.nlm.nih.gov/gene/72421","Ttc30b")</f>
        <v>Ttc30b</v>
      </c>
      <c r="C79">
        <v>72421</v>
      </c>
      <c r="D79" t="s">
        <v>182</v>
      </c>
      <c r="E79" s="3" t="str">
        <f>HYPERLINK("http://genome.ucsc.edu/cgi-bin/hgTracks?db=mm10&amp;lastVirtModeType=default&amp;lastVirtModeExtraState=&amp;virtModeType=default&amp;virtMode=0&amp;nonVirtPosition=&amp;position=chr2:75935849-75938462","chr2:75935849-75938462")</f>
        <v>chr2:75935849-75938462</v>
      </c>
      <c r="F79" t="s">
        <v>25</v>
      </c>
      <c r="G79">
        <v>-2.2808995882277299</v>
      </c>
      <c r="H79">
        <v>0.29250387780474801</v>
      </c>
      <c r="I79">
        <v>-7.7978439306376401</v>
      </c>
      <c r="J79" s="1">
        <v>6.2973823797938897E-15</v>
      </c>
      <c r="K79" s="1">
        <v>1.0811313775361499E-12</v>
      </c>
      <c r="L79" t="s">
        <v>26</v>
      </c>
      <c r="M79" t="s">
        <v>27</v>
      </c>
      <c r="N79">
        <v>58.417028213637103</v>
      </c>
      <c r="O79">
        <v>115.296168180365</v>
      </c>
      <c r="P79">
        <v>15.757673238591201</v>
      </c>
      <c r="Q79">
        <v>155.34512033559699</v>
      </c>
      <c r="R79">
        <v>100.502552777986</v>
      </c>
      <c r="S79">
        <v>90.040831427511506</v>
      </c>
      <c r="T79">
        <v>9.1659094311625307</v>
      </c>
      <c r="U79">
        <v>10.7062837294277</v>
      </c>
      <c r="V79">
        <v>16.920033349337299</v>
      </c>
      <c r="W79">
        <v>26.2384664444373</v>
      </c>
    </row>
    <row r="80" spans="1:23" x14ac:dyDescent="0.2">
      <c r="A80" t="s">
        <v>183</v>
      </c>
      <c r="B80" s="3" t="str">
        <f>HYPERLINK("http://www.ncbi.nlm.nih.gov/gene/18516","Pbx3")</f>
        <v>Pbx3</v>
      </c>
      <c r="C80">
        <v>18516</v>
      </c>
      <c r="D80" t="s">
        <v>184</v>
      </c>
      <c r="E80" s="3" t="str">
        <f>HYPERLINK("http://genome.ucsc.edu/cgi-bin/hgTracks?db=mm10&amp;lastVirtModeType=default&amp;lastVirtModeExtraState=&amp;virtModeType=default&amp;virtMode=0&amp;nonVirtPosition=&amp;position=chr2:34171456-34372045","chr2:34171456-34372045")</f>
        <v>chr2:34171456-34372045</v>
      </c>
      <c r="F80" t="s">
        <v>25</v>
      </c>
      <c r="G80">
        <v>1.4802789695318299</v>
      </c>
      <c r="H80">
        <v>0.190047689055203</v>
      </c>
      <c r="I80">
        <v>7.7889869479120897</v>
      </c>
      <c r="J80" s="1">
        <v>6.7548583423783302E-15</v>
      </c>
      <c r="K80" s="1">
        <v>1.1449912413011199E-12</v>
      </c>
      <c r="L80" t="s">
        <v>26</v>
      </c>
      <c r="M80" t="s">
        <v>27</v>
      </c>
      <c r="N80">
        <v>135.88409207649099</v>
      </c>
      <c r="O80">
        <v>64.6129514882969</v>
      </c>
      <c r="P80">
        <v>189.33744751763501</v>
      </c>
      <c r="Q80">
        <v>47.8841589564923</v>
      </c>
      <c r="R80">
        <v>70.920669318805395</v>
      </c>
      <c r="S80">
        <v>75.034026189592893</v>
      </c>
      <c r="T80">
        <v>146.65455089860001</v>
      </c>
      <c r="U80">
        <v>205.56064760501101</v>
      </c>
      <c r="V80">
        <v>196.41951757708901</v>
      </c>
      <c r="W80">
        <v>208.71507398984201</v>
      </c>
    </row>
    <row r="81" spans="1:23" x14ac:dyDescent="0.2">
      <c r="A81" t="s">
        <v>185</v>
      </c>
      <c r="B81" s="3" t="str">
        <f>HYPERLINK("http://www.ncbi.nlm.nih.gov/gene/216028","Lrrtm3")</f>
        <v>Lrrtm3</v>
      </c>
      <c r="C81">
        <v>216028</v>
      </c>
      <c r="D81" t="s">
        <v>186</v>
      </c>
      <c r="E81" s="3" t="str">
        <f>HYPERLINK("http://genome.ucsc.edu/cgi-bin/hgTracks?db=mm10&amp;lastVirtModeType=default&amp;lastVirtModeExtraState=&amp;virtModeType=default&amp;virtMode=0&amp;nonVirtPosition=&amp;position=chr10:63928496-64090255","chr10:63928496-64090255")</f>
        <v>chr10:63928496-64090255</v>
      </c>
      <c r="F81" t="s">
        <v>25</v>
      </c>
      <c r="G81">
        <v>-0.94936242698185502</v>
      </c>
      <c r="H81">
        <v>0.122098069489553</v>
      </c>
      <c r="I81">
        <v>-7.7754089884532096</v>
      </c>
      <c r="J81" s="1">
        <v>7.5204031757047398E-15</v>
      </c>
      <c r="K81" s="1">
        <v>1.25882148657328E-12</v>
      </c>
      <c r="L81" t="s">
        <v>26</v>
      </c>
      <c r="M81" t="s">
        <v>27</v>
      </c>
      <c r="N81">
        <v>535.31882477303395</v>
      </c>
      <c r="O81">
        <v>743.92506553287205</v>
      </c>
      <c r="P81">
        <v>378.86414420315498</v>
      </c>
      <c r="Q81">
        <v>772.828053855946</v>
      </c>
      <c r="R81">
        <v>673.93598598672304</v>
      </c>
      <c r="S81">
        <v>785.01115675594804</v>
      </c>
      <c r="T81">
        <v>366.63637724650101</v>
      </c>
      <c r="U81">
        <v>417.54506544767901</v>
      </c>
      <c r="V81">
        <v>391.36772790640998</v>
      </c>
      <c r="W81">
        <v>339.90740621202798</v>
      </c>
    </row>
    <row r="82" spans="1:23" x14ac:dyDescent="0.2">
      <c r="A82" t="s">
        <v>187</v>
      </c>
      <c r="B82" s="3" t="str">
        <f>HYPERLINK("http://www.ncbi.nlm.nih.gov/gene/22041","Trf")</f>
        <v>Trf</v>
      </c>
      <c r="C82">
        <v>22041</v>
      </c>
      <c r="D82" t="s">
        <v>188</v>
      </c>
      <c r="E82" s="3" t="str">
        <f>HYPERLINK("http://genome.ucsc.edu/cgi-bin/hgTracks?db=mm10&amp;lastVirtModeType=default&amp;lastVirtModeExtraState=&amp;virtModeType=default&amp;virtMode=0&amp;nonVirtPosition=&amp;position=chr9:103208875-103230286","chr9:103208875-103230286")</f>
        <v>chr9:103208875-103230286</v>
      </c>
      <c r="F82" t="s">
        <v>25</v>
      </c>
      <c r="G82">
        <v>-1.33953034846814</v>
      </c>
      <c r="H82">
        <v>0.17243398909822999</v>
      </c>
      <c r="I82">
        <v>-7.7683660598088498</v>
      </c>
      <c r="J82" s="1">
        <v>7.9505015891662701E-15</v>
      </c>
      <c r="K82" s="1">
        <v>1.31438477506822E-12</v>
      </c>
      <c r="L82" t="s">
        <v>26</v>
      </c>
      <c r="M82" t="s">
        <v>27</v>
      </c>
      <c r="N82">
        <v>729.16088469905003</v>
      </c>
      <c r="O82">
        <v>1140.20603868992</v>
      </c>
      <c r="P82">
        <v>420.87701920590098</v>
      </c>
      <c r="Q82">
        <v>1309.5760682054699</v>
      </c>
      <c r="R82">
        <v>1008.8180769413</v>
      </c>
      <c r="S82">
        <v>1102.22397092299</v>
      </c>
      <c r="T82">
        <v>297.89205651278201</v>
      </c>
      <c r="U82">
        <v>383.28495751351102</v>
      </c>
      <c r="V82">
        <v>490.68096713078199</v>
      </c>
      <c r="W82">
        <v>511.65009566652702</v>
      </c>
    </row>
    <row r="83" spans="1:23" x14ac:dyDescent="0.2">
      <c r="A83" t="s">
        <v>189</v>
      </c>
      <c r="B83" s="3" t="str">
        <f>HYPERLINK("http://www.ncbi.nlm.nih.gov/gene/16001","Igf1r")</f>
        <v>Igf1r</v>
      </c>
      <c r="C83">
        <v>16001</v>
      </c>
      <c r="D83" t="s">
        <v>190</v>
      </c>
      <c r="E83" s="3" t="str">
        <f>HYPERLINK("http://genome.ucsc.edu/cgi-bin/hgTracks?db=mm10&amp;lastVirtModeType=default&amp;lastVirtModeExtraState=&amp;virtModeType=default&amp;virtMode=0&amp;nonVirtPosition=&amp;position=chr7:67952256-68233667","chr7:67952256-68233667")</f>
        <v>chr7:67952256-68233667</v>
      </c>
      <c r="F83" t="s">
        <v>30</v>
      </c>
      <c r="G83">
        <v>1.1233628958620001</v>
      </c>
      <c r="H83">
        <v>0.14509685105282599</v>
      </c>
      <c r="I83">
        <v>7.7421590317836602</v>
      </c>
      <c r="J83" s="1">
        <v>9.7742623158413004E-15</v>
      </c>
      <c r="K83" s="1">
        <v>1.59618471550525E-12</v>
      </c>
      <c r="L83" t="s">
        <v>26</v>
      </c>
      <c r="M83" t="s">
        <v>27</v>
      </c>
      <c r="N83">
        <v>1098.49354937204</v>
      </c>
      <c r="O83">
        <v>644.89626872291501</v>
      </c>
      <c r="P83">
        <v>1438.69150985889</v>
      </c>
      <c r="Q83">
        <v>550.11103545365597</v>
      </c>
      <c r="R83">
        <v>601.11904208720102</v>
      </c>
      <c r="S83">
        <v>783.45872862788701</v>
      </c>
      <c r="T83">
        <v>1306.1420939406601</v>
      </c>
      <c r="U83">
        <v>1353.27426339966</v>
      </c>
      <c r="V83">
        <v>1554.4361072673801</v>
      </c>
      <c r="W83">
        <v>1540.91357482786</v>
      </c>
    </row>
    <row r="84" spans="1:23" x14ac:dyDescent="0.2">
      <c r="A84" t="s">
        <v>191</v>
      </c>
      <c r="B84" s="3" t="str">
        <f>HYPERLINK("http://www.ncbi.nlm.nih.gov/gene/18091","Nkx2-5")</f>
        <v>Nkx2-5</v>
      </c>
      <c r="C84">
        <v>18091</v>
      </c>
      <c r="D84" t="s">
        <v>192</v>
      </c>
      <c r="E84" s="3" t="str">
        <f>HYPERLINK("http://genome.ucsc.edu/cgi-bin/hgTracks?db=mm10&amp;lastVirtModeType=default&amp;lastVirtModeExtraState=&amp;virtModeType=default&amp;virtMode=0&amp;nonVirtPosition=&amp;position=chr17:26838664-26841565","chr17:26838664-26841565")</f>
        <v>chr17:26838664-26841565</v>
      </c>
      <c r="F84" t="s">
        <v>25</v>
      </c>
      <c r="G84">
        <v>3.0258838489397499</v>
      </c>
      <c r="H84">
        <v>0.39111600807487901</v>
      </c>
      <c r="I84">
        <v>7.7365379745859197</v>
      </c>
      <c r="J84" s="1">
        <v>1.02160479231364E-14</v>
      </c>
      <c r="K84" s="1">
        <v>1.6482300932375901E-12</v>
      </c>
      <c r="L84" t="s">
        <v>26</v>
      </c>
      <c r="M84" t="s">
        <v>27</v>
      </c>
      <c r="N84">
        <v>12.133157645982299</v>
      </c>
      <c r="O84">
        <v>0.172492014228949</v>
      </c>
      <c r="P84">
        <v>21.103656869797302</v>
      </c>
      <c r="Q84">
        <v>0</v>
      </c>
      <c r="R84">
        <v>0</v>
      </c>
      <c r="S84">
        <v>0.51747604268684799</v>
      </c>
      <c r="T84">
        <v>13.7488641467438</v>
      </c>
      <c r="U84">
        <v>17.130053967084301</v>
      </c>
      <c r="V84">
        <v>21.3339550926427</v>
      </c>
      <c r="W84">
        <v>32.201754272718503</v>
      </c>
    </row>
    <row r="85" spans="1:23" x14ac:dyDescent="0.2">
      <c r="A85" t="s">
        <v>193</v>
      </c>
      <c r="B85" s="3" t="str">
        <f>HYPERLINK("http://www.ncbi.nlm.nih.gov/gene/210356","Nckap5")</f>
        <v>Nckap5</v>
      </c>
      <c r="C85">
        <v>210356</v>
      </c>
      <c r="D85" t="s">
        <v>194</v>
      </c>
      <c r="E85" s="3" t="str">
        <f>HYPERLINK("http://genome.ucsc.edu/cgi-bin/hgTracks?db=mm10&amp;lastVirtModeType=default&amp;lastVirtModeExtraState=&amp;virtModeType=default&amp;virtMode=0&amp;nonVirtPosition=&amp;position=chr1:125913635-126830632","chr1:125913635-126830632")</f>
        <v>chr1:125913635-126830632</v>
      </c>
      <c r="F85" t="s">
        <v>25</v>
      </c>
      <c r="G85">
        <v>1.1588683315125199</v>
      </c>
      <c r="H85">
        <v>0.15034257357366099</v>
      </c>
      <c r="I85">
        <v>7.7081847407961899</v>
      </c>
      <c r="J85" s="1">
        <v>1.27619920941717E-14</v>
      </c>
      <c r="K85" s="1">
        <v>2.0344742396792101E-12</v>
      </c>
      <c r="L85" t="s">
        <v>26</v>
      </c>
      <c r="M85" t="s">
        <v>27</v>
      </c>
      <c r="N85">
        <v>223.894801498334</v>
      </c>
      <c r="O85">
        <v>126.82628261969499</v>
      </c>
      <c r="P85">
        <v>296.69619065731302</v>
      </c>
      <c r="Q85">
        <v>138.64134395542601</v>
      </c>
      <c r="R85">
        <v>108.84616093314</v>
      </c>
      <c r="S85">
        <v>132.99134297052001</v>
      </c>
      <c r="T85">
        <v>343.72160366859498</v>
      </c>
      <c r="U85">
        <v>289.069660694547</v>
      </c>
      <c r="V85">
        <v>258.21442198336501</v>
      </c>
      <c r="W85">
        <v>295.77907628274698</v>
      </c>
    </row>
    <row r="86" spans="1:23" x14ac:dyDescent="0.2">
      <c r="A86" t="s">
        <v>195</v>
      </c>
      <c r="B86" s="3" t="str">
        <f>HYPERLINK("http://www.ncbi.nlm.nih.gov/gene/12338","Capn6")</f>
        <v>Capn6</v>
      </c>
      <c r="C86">
        <v>12338</v>
      </c>
      <c r="D86" t="s">
        <v>196</v>
      </c>
      <c r="E86" s="3" t="str">
        <f>HYPERLINK("http://genome.ucsc.edu/cgi-bin/hgTracks?db=mm10&amp;lastVirtModeType=default&amp;lastVirtModeExtraState=&amp;virtModeType=default&amp;virtMode=0&amp;nonVirtPosition=&amp;position=chrX:143802236-143827412","chrX:143802236-143827412")</f>
        <v>chrX:143802236-143827412</v>
      </c>
      <c r="F86" t="s">
        <v>25</v>
      </c>
      <c r="G86">
        <v>1.83713596297744</v>
      </c>
      <c r="H86">
        <v>0.23948660453763601</v>
      </c>
      <c r="I86">
        <v>7.6711428871953</v>
      </c>
      <c r="J86" s="1">
        <v>1.7047051365560799E-14</v>
      </c>
      <c r="K86" s="1">
        <v>2.6856125274850002E-12</v>
      </c>
      <c r="L86" t="s">
        <v>26</v>
      </c>
      <c r="M86" t="s">
        <v>27</v>
      </c>
      <c r="N86">
        <v>107.870202154265</v>
      </c>
      <c r="O86">
        <v>39.910283519270003</v>
      </c>
      <c r="P86">
        <v>158.840141130512</v>
      </c>
      <c r="Q86">
        <v>32.850760214337797</v>
      </c>
      <c r="R86">
        <v>35.649962117474402</v>
      </c>
      <c r="S86">
        <v>51.230128225997902</v>
      </c>
      <c r="T86">
        <v>109.99091317395001</v>
      </c>
      <c r="U86">
        <v>143.46420197433099</v>
      </c>
      <c r="V86">
        <v>228.05262340411099</v>
      </c>
      <c r="W86">
        <v>153.85282596965499</v>
      </c>
    </row>
    <row r="87" spans="1:23" x14ac:dyDescent="0.2">
      <c r="A87" t="s">
        <v>197</v>
      </c>
      <c r="B87" s="3" t="str">
        <f>HYPERLINK("http://www.ncbi.nlm.nih.gov/gene/110789","Adgrv1")</f>
        <v>Adgrv1</v>
      </c>
      <c r="C87">
        <v>110789</v>
      </c>
      <c r="D87" t="s">
        <v>198</v>
      </c>
      <c r="E87" s="3" t="str">
        <f>HYPERLINK("http://genome.ucsc.edu/cgi-bin/hgTracks?db=mm10&amp;lastVirtModeType=default&amp;lastVirtModeExtraState=&amp;virtModeType=default&amp;virtMode=0&amp;nonVirtPosition=&amp;position=chr13:81095067-81633144","chr13:81095067-81633144")</f>
        <v>chr13:81095067-81633144</v>
      </c>
      <c r="F87" t="s">
        <v>25</v>
      </c>
      <c r="G87">
        <v>1.34486702567744</v>
      </c>
      <c r="H87">
        <v>0.17580931153867799</v>
      </c>
      <c r="I87">
        <v>7.6495779086283999</v>
      </c>
      <c r="J87" s="1">
        <v>2.0164008032214E-14</v>
      </c>
      <c r="K87" s="1">
        <v>3.13972362278346E-12</v>
      </c>
      <c r="L87" t="s">
        <v>26</v>
      </c>
      <c r="M87" t="s">
        <v>27</v>
      </c>
      <c r="N87">
        <v>410.605893398722</v>
      </c>
      <c r="O87">
        <v>210.59040569141999</v>
      </c>
      <c r="P87">
        <v>560.61750917919903</v>
      </c>
      <c r="Q87">
        <v>197.10456128602701</v>
      </c>
      <c r="R87">
        <v>194.55777198153601</v>
      </c>
      <c r="S87">
        <v>240.10888380669701</v>
      </c>
      <c r="T87">
        <v>586.61820359440196</v>
      </c>
      <c r="U87">
        <v>391.84998449705301</v>
      </c>
      <c r="V87">
        <v>578.22374837300504</v>
      </c>
      <c r="W87">
        <v>685.77810025233805</v>
      </c>
    </row>
    <row r="88" spans="1:23" x14ac:dyDescent="0.2">
      <c r="A88" t="s">
        <v>199</v>
      </c>
      <c r="B88" s="3" t="str">
        <f>HYPERLINK("http://www.ncbi.nlm.nih.gov/gene/18196","Nsg1")</f>
        <v>Nsg1</v>
      </c>
      <c r="C88">
        <v>18196</v>
      </c>
      <c r="D88" t="s">
        <v>200</v>
      </c>
      <c r="E88" s="3" t="str">
        <f>HYPERLINK("http://genome.ucsc.edu/cgi-bin/hgTracks?db=mm10&amp;lastVirtModeType=default&amp;lastVirtModeExtraState=&amp;virtModeType=default&amp;virtMode=0&amp;nonVirtPosition=&amp;position=chr5:38137192-38159467","chr5:38137192-38159467")</f>
        <v>chr5:38137192-38159467</v>
      </c>
      <c r="F88" t="s">
        <v>25</v>
      </c>
      <c r="G88">
        <v>-1.0497503449530701</v>
      </c>
      <c r="H88">
        <v>0.138554629932789</v>
      </c>
      <c r="I88">
        <v>-7.5764364241187003</v>
      </c>
      <c r="J88" s="1">
        <v>3.5517562744509201E-14</v>
      </c>
      <c r="K88" s="1">
        <v>5.4668469277209401E-12</v>
      </c>
      <c r="L88" t="s">
        <v>26</v>
      </c>
      <c r="M88" t="s">
        <v>27</v>
      </c>
      <c r="N88">
        <v>677.81912161295497</v>
      </c>
      <c r="O88">
        <v>973.67497727042405</v>
      </c>
      <c r="P88">
        <v>455.92722986985399</v>
      </c>
      <c r="Q88">
        <v>940.97940274967505</v>
      </c>
      <c r="R88">
        <v>1133.9721992686</v>
      </c>
      <c r="S88">
        <v>846.07332979299599</v>
      </c>
      <c r="T88">
        <v>398.71706025557</v>
      </c>
      <c r="U88">
        <v>498.91282179132997</v>
      </c>
      <c r="V88">
        <v>484.79573813970802</v>
      </c>
      <c r="W88">
        <v>441.28329929280898</v>
      </c>
    </row>
    <row r="89" spans="1:23" x14ac:dyDescent="0.2">
      <c r="A89" t="s">
        <v>201</v>
      </c>
      <c r="B89" s="3" t="str">
        <f>HYPERLINK("http://www.ncbi.nlm.nih.gov/gene/78134","Lpar4")</f>
        <v>Lpar4</v>
      </c>
      <c r="C89">
        <v>78134</v>
      </c>
      <c r="D89" t="s">
        <v>202</v>
      </c>
      <c r="E89" s="3" t="str">
        <f>HYPERLINK("http://genome.ucsc.edu/cgi-bin/hgTracks?db=mm10&amp;lastVirtModeType=default&amp;lastVirtModeExtraState=&amp;virtModeType=default&amp;virtMode=0&amp;nonVirtPosition=&amp;position=chrX:106920624-106933899","chrX:106920624-106933899")</f>
        <v>chrX:106920624-106933899</v>
      </c>
      <c r="F89" t="s">
        <v>30</v>
      </c>
      <c r="G89">
        <v>2.2704117994728201</v>
      </c>
      <c r="H89">
        <v>0.30018740132034</v>
      </c>
      <c r="I89">
        <v>7.5633147476765101</v>
      </c>
      <c r="J89" s="1">
        <v>3.9292527364909298E-14</v>
      </c>
      <c r="K89" s="1">
        <v>5.97916174935796E-12</v>
      </c>
      <c r="L89" t="s">
        <v>26</v>
      </c>
      <c r="M89" t="s">
        <v>27</v>
      </c>
      <c r="N89">
        <v>65.429592603483698</v>
      </c>
      <c r="O89">
        <v>15.881385134546001</v>
      </c>
      <c r="P89">
        <v>102.590748205187</v>
      </c>
      <c r="Q89">
        <v>25.055664570257601</v>
      </c>
      <c r="R89">
        <v>13.2739220650171</v>
      </c>
      <c r="S89">
        <v>9.3145687683632605</v>
      </c>
      <c r="T89">
        <v>73.327275449300203</v>
      </c>
      <c r="U89">
        <v>70.661472614222703</v>
      </c>
      <c r="V89">
        <v>137.56722766635099</v>
      </c>
      <c r="W89">
        <v>128.80701709087401</v>
      </c>
    </row>
    <row r="90" spans="1:23" x14ac:dyDescent="0.2">
      <c r="A90" t="s">
        <v>203</v>
      </c>
      <c r="B90" s="3" t="str">
        <f>HYPERLINK("http://www.ncbi.nlm.nih.gov/gene/20378","Frzb")</f>
        <v>Frzb</v>
      </c>
      <c r="C90">
        <v>20378</v>
      </c>
      <c r="D90" t="s">
        <v>204</v>
      </c>
      <c r="E90" s="3" t="str">
        <f>HYPERLINK("http://genome.ucsc.edu/cgi-bin/hgTracks?db=mm10&amp;lastVirtModeType=default&amp;lastVirtModeExtraState=&amp;virtModeType=default&amp;virtMode=0&amp;nonVirtPosition=&amp;position=chr2:80411969-80447396","chr2:80411969-80447396")</f>
        <v>chr2:80411969-80447396</v>
      </c>
      <c r="F90" t="s">
        <v>25</v>
      </c>
      <c r="G90">
        <v>-1.9316678638331</v>
      </c>
      <c r="H90">
        <v>0.25647518800087499</v>
      </c>
      <c r="I90">
        <v>-7.5315974184080003</v>
      </c>
      <c r="J90" s="1">
        <v>5.0123294370111599E-14</v>
      </c>
      <c r="K90" s="1">
        <v>7.5415846619119704E-12</v>
      </c>
      <c r="L90" t="s">
        <v>26</v>
      </c>
      <c r="M90" t="s">
        <v>27</v>
      </c>
      <c r="N90">
        <v>80.622262145312007</v>
      </c>
      <c r="O90">
        <v>145.024133438684</v>
      </c>
      <c r="P90">
        <v>32.320858675282899</v>
      </c>
      <c r="Q90">
        <v>190.979843279964</v>
      </c>
      <c r="R90">
        <v>145.25463288290101</v>
      </c>
      <c r="S90">
        <v>98.837924153187899</v>
      </c>
      <c r="T90">
        <v>36.663637724650101</v>
      </c>
      <c r="U90">
        <v>29.9775944423975</v>
      </c>
      <c r="V90">
        <v>31.6331058270219</v>
      </c>
      <c r="W90">
        <v>31.009096707062199</v>
      </c>
    </row>
    <row r="91" spans="1:23" x14ac:dyDescent="0.2">
      <c r="A91" t="s">
        <v>205</v>
      </c>
      <c r="B91" s="3" t="str">
        <f>HYPERLINK("http://www.ncbi.nlm.nih.gov/gene/12390","Cav2")</f>
        <v>Cav2</v>
      </c>
      <c r="C91">
        <v>12390</v>
      </c>
      <c r="D91" t="s">
        <v>206</v>
      </c>
      <c r="E91" s="3" t="str">
        <f>HYPERLINK("http://genome.ucsc.edu/cgi-bin/hgTracks?db=mm10&amp;lastVirtModeType=default&amp;lastVirtModeExtraState=&amp;virtModeType=default&amp;virtMode=0&amp;nonVirtPosition=&amp;position=chr6:17281184-17282684","chr6:17281184-17282684")</f>
        <v>chr6:17281184-17282684</v>
      </c>
      <c r="F91" t="s">
        <v>30</v>
      </c>
      <c r="G91">
        <v>-1.38286369127655</v>
      </c>
      <c r="H91">
        <v>0.184204174257319</v>
      </c>
      <c r="I91">
        <v>-7.5072331930154999</v>
      </c>
      <c r="J91" s="1">
        <v>6.0390097816361906E-14</v>
      </c>
      <c r="K91" s="1">
        <v>8.9741188954702995E-12</v>
      </c>
      <c r="L91" t="s">
        <v>26</v>
      </c>
      <c r="M91" t="s">
        <v>27</v>
      </c>
      <c r="N91">
        <v>630.63265151383996</v>
      </c>
      <c r="O91">
        <v>995.70401747748201</v>
      </c>
      <c r="P91">
        <v>356.82912704110902</v>
      </c>
      <c r="Q91">
        <v>1262.80549434098</v>
      </c>
      <c r="R91">
        <v>850.28952199337903</v>
      </c>
      <c r="S91">
        <v>874.01703609808601</v>
      </c>
      <c r="T91">
        <v>307.05796594394502</v>
      </c>
      <c r="U91">
        <v>368.29616029231198</v>
      </c>
      <c r="V91">
        <v>450.22001781714903</v>
      </c>
      <c r="W91">
        <v>301.74236411102902</v>
      </c>
    </row>
    <row r="92" spans="1:23" x14ac:dyDescent="0.2">
      <c r="A92" t="s">
        <v>207</v>
      </c>
      <c r="B92" s="3" t="str">
        <f>HYPERLINK("http://www.ncbi.nlm.nih.gov/gene/14555","Gpd1")</f>
        <v>Gpd1</v>
      </c>
      <c r="C92">
        <v>14555</v>
      </c>
      <c r="D92" t="s">
        <v>208</v>
      </c>
      <c r="E92" s="3" t="str">
        <f>HYPERLINK("http://genome.ucsc.edu/cgi-bin/hgTracks?db=mm10&amp;lastVirtModeType=default&amp;lastVirtModeExtraState=&amp;virtModeType=default&amp;virtMode=0&amp;nonVirtPosition=&amp;position=chr15:99717592-99725007","chr15:99717592-99725007")</f>
        <v>chr15:99717592-99725007</v>
      </c>
      <c r="F92" t="s">
        <v>30</v>
      </c>
      <c r="G92">
        <v>-1.6349096439294</v>
      </c>
      <c r="H92">
        <v>0.21781514686565101</v>
      </c>
      <c r="I92">
        <v>-7.5059501942617999</v>
      </c>
      <c r="J92" s="1">
        <v>6.0984603053378905E-14</v>
      </c>
      <c r="K92" s="1">
        <v>8.9741188954702995E-12</v>
      </c>
      <c r="L92" t="s">
        <v>26</v>
      </c>
      <c r="M92" t="s">
        <v>27</v>
      </c>
      <c r="N92">
        <v>120.86440089238999</v>
      </c>
      <c r="O92">
        <v>207.385530892623</v>
      </c>
      <c r="P92">
        <v>55.973553392216097</v>
      </c>
      <c r="Q92">
        <v>168.15134889372899</v>
      </c>
      <c r="R92">
        <v>219.588596446997</v>
      </c>
      <c r="S92">
        <v>234.416647337142</v>
      </c>
      <c r="T92">
        <v>32.0806830090688</v>
      </c>
      <c r="U92">
        <v>55.672675393023901</v>
      </c>
      <c r="V92">
        <v>76.507976883959898</v>
      </c>
      <c r="W92">
        <v>59.632878282812001</v>
      </c>
    </row>
    <row r="93" spans="1:23" x14ac:dyDescent="0.2">
      <c r="A93" t="s">
        <v>209</v>
      </c>
      <c r="B93" s="3" t="str">
        <f>HYPERLINK("http://www.ncbi.nlm.nih.gov/gene/636931","Trim71")</f>
        <v>Trim71</v>
      </c>
      <c r="C93">
        <v>636931</v>
      </c>
      <c r="D93" t="s">
        <v>210</v>
      </c>
      <c r="E93" s="3" t="str">
        <f>HYPERLINK("http://genome.ucsc.edu/cgi-bin/hgTracks?db=mm10&amp;lastVirtModeType=default&amp;lastVirtModeExtraState=&amp;virtModeType=default&amp;virtMode=0&amp;nonVirtPosition=&amp;position=chr9:114511272-114564369","chr9:114511272-114564369")</f>
        <v>chr9:114511272-114564369</v>
      </c>
      <c r="F93" t="s">
        <v>25</v>
      </c>
      <c r="G93">
        <v>2.3477994765391998</v>
      </c>
      <c r="H93">
        <v>0.31301198859433899</v>
      </c>
      <c r="I93">
        <v>7.5006695017740403</v>
      </c>
      <c r="J93" s="1">
        <v>6.3492694087792895E-14</v>
      </c>
      <c r="K93" s="1">
        <v>9.2416376796699496E-12</v>
      </c>
      <c r="L93" t="s">
        <v>26</v>
      </c>
      <c r="M93" t="s">
        <v>27</v>
      </c>
      <c r="N93">
        <v>39.592157235728003</v>
      </c>
      <c r="O93">
        <v>8.2682987218678399</v>
      </c>
      <c r="P93">
        <v>63.0850511211232</v>
      </c>
      <c r="Q93">
        <v>8.3518881900858695</v>
      </c>
      <c r="R93">
        <v>4.5510589937201402</v>
      </c>
      <c r="S93">
        <v>11.901948981797499</v>
      </c>
      <c r="T93">
        <v>68.744320733718993</v>
      </c>
      <c r="U93">
        <v>70.661472614222703</v>
      </c>
      <c r="V93">
        <v>38.989642065864203</v>
      </c>
      <c r="W93">
        <v>73.944769070686903</v>
      </c>
    </row>
    <row r="94" spans="1:23" x14ac:dyDescent="0.2">
      <c r="A94" t="s">
        <v>211</v>
      </c>
      <c r="B94" s="3" t="str">
        <f>HYPERLINK("http://www.ncbi.nlm.nih.gov/gene/212483","Fam193b")</f>
        <v>Fam193b</v>
      </c>
      <c r="C94">
        <v>212483</v>
      </c>
      <c r="D94" t="s">
        <v>212</v>
      </c>
      <c r="E94" s="3" t="str">
        <f>HYPERLINK("http://genome.ucsc.edu/cgi-bin/hgTracks?db=mm10&amp;lastVirtModeType=default&amp;lastVirtModeExtraState=&amp;virtModeType=default&amp;virtMode=0&amp;nonVirtPosition=&amp;position=chr13:55539315-55571120","chr13:55539315-55571120")</f>
        <v>chr13:55539315-55571120</v>
      </c>
      <c r="F94" t="s">
        <v>25</v>
      </c>
      <c r="G94">
        <v>1.1719046336168699</v>
      </c>
      <c r="H94">
        <v>0.15689453542835199</v>
      </c>
      <c r="I94">
        <v>7.4693782700420099</v>
      </c>
      <c r="J94" s="1">
        <v>8.0574607183265605E-14</v>
      </c>
      <c r="K94" s="1">
        <v>1.16018770407646E-11</v>
      </c>
      <c r="L94" t="s">
        <v>26</v>
      </c>
      <c r="M94" t="s">
        <v>27</v>
      </c>
      <c r="N94">
        <v>412.08016096845301</v>
      </c>
      <c r="O94">
        <v>233.780350040885</v>
      </c>
      <c r="P94">
        <v>545.805019164128</v>
      </c>
      <c r="Q94">
        <v>223.27381094829599</v>
      </c>
      <c r="R94">
        <v>191.90298756853201</v>
      </c>
      <c r="S94">
        <v>286.16425160582702</v>
      </c>
      <c r="T94">
        <v>554.53752058533303</v>
      </c>
      <c r="U94">
        <v>565.29178091378105</v>
      </c>
      <c r="V94">
        <v>473.02528015756002</v>
      </c>
      <c r="W94">
        <v>590.36549499983903</v>
      </c>
    </row>
    <row r="95" spans="1:23" x14ac:dyDescent="0.2">
      <c r="A95" t="s">
        <v>213</v>
      </c>
      <c r="B95" s="3" t="str">
        <f>HYPERLINK("http://www.ncbi.nlm.nih.gov/gene/170643","Kirrel")</f>
        <v>Kirrel</v>
      </c>
      <c r="C95">
        <v>170643</v>
      </c>
      <c r="D95" t="s">
        <v>214</v>
      </c>
      <c r="E95" s="3" t="str">
        <f>HYPERLINK("http://genome.ucsc.edu/cgi-bin/hgTracks?db=mm10&amp;lastVirtModeType=default&amp;lastVirtModeExtraState=&amp;virtModeType=default&amp;virtMode=0&amp;nonVirtPosition=&amp;position=chr3:87078591-87174747","chr3:87078591-87174747")</f>
        <v>chr3:87078591-87174747</v>
      </c>
      <c r="F95" t="s">
        <v>25</v>
      </c>
      <c r="G95">
        <v>1.2992388382836699</v>
      </c>
      <c r="H95">
        <v>0.17398301534525401</v>
      </c>
      <c r="I95">
        <v>7.4676188115571902</v>
      </c>
      <c r="J95" s="1">
        <v>8.1658986412889705E-14</v>
      </c>
      <c r="K95" s="1">
        <v>1.16329307133511E-11</v>
      </c>
      <c r="L95" t="s">
        <v>26</v>
      </c>
      <c r="M95" t="s">
        <v>27</v>
      </c>
      <c r="N95">
        <v>182.951043429306</v>
      </c>
      <c r="O95">
        <v>97.890201559777594</v>
      </c>
      <c r="P95">
        <v>246.746674831452</v>
      </c>
      <c r="Q95">
        <v>115.812849569191</v>
      </c>
      <c r="R95">
        <v>84.194591383822498</v>
      </c>
      <c r="S95">
        <v>93.663163726319397</v>
      </c>
      <c r="T95">
        <v>192.48409805441301</v>
      </c>
      <c r="U95">
        <v>276.222120219234</v>
      </c>
      <c r="V95">
        <v>286.90491331484998</v>
      </c>
      <c r="W95">
        <v>231.375567737311</v>
      </c>
    </row>
    <row r="96" spans="1:23" x14ac:dyDescent="0.2">
      <c r="A96" t="s">
        <v>215</v>
      </c>
      <c r="B96" s="3" t="str">
        <f>HYPERLINK("http://www.ncbi.nlm.nih.gov/gene/16370","Irs4")</f>
        <v>Irs4</v>
      </c>
      <c r="C96">
        <v>16370</v>
      </c>
      <c r="D96" t="s">
        <v>216</v>
      </c>
      <c r="E96" s="3" t="str">
        <f>HYPERLINK("http://genome.ucsc.edu/cgi-bin/hgTracks?db=mm10&amp;lastVirtModeType=default&amp;lastVirtModeExtraState=&amp;virtModeType=default&amp;virtMode=0&amp;nonVirtPosition=&amp;position=chrX:141710997-141725217","chrX:141710997-141725217")</f>
        <v>chrX:141710997-141725217</v>
      </c>
      <c r="F96" t="s">
        <v>25</v>
      </c>
      <c r="G96">
        <v>2.5662554949019798</v>
      </c>
      <c r="H96">
        <v>0.34384830449366399</v>
      </c>
      <c r="I96">
        <v>7.46333619030327</v>
      </c>
      <c r="J96" s="1">
        <v>8.4358737817515299E-14</v>
      </c>
      <c r="K96" s="1">
        <v>1.18910300854142E-11</v>
      </c>
      <c r="L96" t="s">
        <v>26</v>
      </c>
      <c r="M96" t="s">
        <v>27</v>
      </c>
      <c r="N96">
        <v>28.773110237967</v>
      </c>
      <c r="O96">
        <v>4.4227639943013104</v>
      </c>
      <c r="P96">
        <v>47.035869920716301</v>
      </c>
      <c r="Q96">
        <v>2.78396273002862</v>
      </c>
      <c r="R96">
        <v>5.3095688260068199</v>
      </c>
      <c r="S96">
        <v>5.1747604268684801</v>
      </c>
      <c r="T96">
        <v>27.497728293487601</v>
      </c>
      <c r="U96">
        <v>29.9775944423975</v>
      </c>
      <c r="V96">
        <v>50.7601000480119</v>
      </c>
      <c r="W96">
        <v>79.908056898968098</v>
      </c>
    </row>
    <row r="97" spans="1:23" x14ac:dyDescent="0.2">
      <c r="A97" t="s">
        <v>217</v>
      </c>
      <c r="B97" s="3" t="str">
        <f>HYPERLINK("http://www.ncbi.nlm.nih.gov/gene/224796","Clic5")</f>
        <v>Clic5</v>
      </c>
      <c r="C97">
        <v>224796</v>
      </c>
      <c r="D97" t="s">
        <v>218</v>
      </c>
      <c r="E97" s="3" t="str">
        <f>HYPERLINK("http://genome.ucsc.edu/cgi-bin/hgTracks?db=mm10&amp;lastVirtModeType=default&amp;lastVirtModeExtraState=&amp;virtModeType=default&amp;virtMode=0&amp;nonVirtPosition=&amp;position=chr17:44188571-44280168","chr17:44188571-44280168")</f>
        <v>chr17:44188571-44280168</v>
      </c>
      <c r="F97" t="s">
        <v>30</v>
      </c>
      <c r="G97">
        <v>-1.71432773379947</v>
      </c>
      <c r="H97">
        <v>0.23054352573702999</v>
      </c>
      <c r="I97">
        <v>-7.4360263569271599</v>
      </c>
      <c r="J97" s="1">
        <v>1.03759143945812E-13</v>
      </c>
      <c r="K97" s="1">
        <v>1.44733197560247E-11</v>
      </c>
      <c r="L97" t="s">
        <v>26</v>
      </c>
      <c r="M97" t="s">
        <v>27</v>
      </c>
      <c r="N97">
        <v>665.69468981853299</v>
      </c>
      <c r="O97">
        <v>1139.2520980377999</v>
      </c>
      <c r="P97">
        <v>310.526633654085</v>
      </c>
      <c r="Q97">
        <v>694.87709741514504</v>
      </c>
      <c r="R97">
        <v>1455.5803681581599</v>
      </c>
      <c r="S97">
        <v>1267.29882854009</v>
      </c>
      <c r="T97">
        <v>320.80683009068798</v>
      </c>
      <c r="U97">
        <v>413.26255195590801</v>
      </c>
      <c r="V97">
        <v>261.157036478902</v>
      </c>
      <c r="W97">
        <v>246.88011609084199</v>
      </c>
    </row>
    <row r="98" spans="1:23" x14ac:dyDescent="0.2">
      <c r="A98" t="s">
        <v>219</v>
      </c>
      <c r="B98" s="3" t="str">
        <f>HYPERLINK("http://www.ncbi.nlm.nih.gov/gene/26457","Slc27a1")</f>
        <v>Slc27a1</v>
      </c>
      <c r="C98">
        <v>26457</v>
      </c>
      <c r="D98" t="s">
        <v>220</v>
      </c>
      <c r="E98" s="3" t="str">
        <f>HYPERLINK("http://genome.ucsc.edu/cgi-bin/hgTracks?db=mm10&amp;lastVirtModeType=default&amp;lastVirtModeExtraState=&amp;virtModeType=default&amp;virtMode=0&amp;nonVirtPosition=&amp;position=chr8:71568926-71586708","chr8:71568926-71586708")</f>
        <v>chr8:71568926-71586708</v>
      </c>
      <c r="F98" t="s">
        <v>30</v>
      </c>
      <c r="G98">
        <v>1.25303726378591</v>
      </c>
      <c r="H98">
        <v>0.16943505827240901</v>
      </c>
      <c r="I98">
        <v>7.3953836742059798</v>
      </c>
      <c r="J98" s="1">
        <v>1.4100054889848701E-13</v>
      </c>
      <c r="K98" s="1">
        <v>1.9465343817522101E-11</v>
      </c>
      <c r="L98" t="s">
        <v>26</v>
      </c>
      <c r="M98" t="s">
        <v>27</v>
      </c>
      <c r="N98">
        <v>145.53431285432401</v>
      </c>
      <c r="O98">
        <v>78.994175847451203</v>
      </c>
      <c r="P98">
        <v>195.439415609479</v>
      </c>
      <c r="Q98">
        <v>67.928690612698404</v>
      </c>
      <c r="R98">
        <v>95.572238868122795</v>
      </c>
      <c r="S98">
        <v>73.481598061532395</v>
      </c>
      <c r="T98">
        <v>174.152279192088</v>
      </c>
      <c r="U98">
        <v>201.27813411323999</v>
      </c>
      <c r="V98">
        <v>196.41951757708901</v>
      </c>
      <c r="W98">
        <v>209.907731555498</v>
      </c>
    </row>
    <row r="99" spans="1:23" x14ac:dyDescent="0.2">
      <c r="A99" t="s">
        <v>221</v>
      </c>
      <c r="B99" s="3" t="str">
        <f>HYPERLINK("http://www.ncbi.nlm.nih.gov/gene/14062","F2r")</f>
        <v>F2r</v>
      </c>
      <c r="C99">
        <v>14062</v>
      </c>
      <c r="D99" t="s">
        <v>222</v>
      </c>
      <c r="E99" s="3" t="str">
        <f>HYPERLINK("http://genome.ucsc.edu/cgi-bin/hgTracks?db=mm10&amp;lastVirtModeType=default&amp;lastVirtModeExtraState=&amp;virtModeType=default&amp;virtMode=0&amp;nonVirtPosition=&amp;position=chr13:95601788-95618433","chr13:95601788-95618433")</f>
        <v>chr13:95601788-95618433</v>
      </c>
      <c r="F99" t="s">
        <v>25</v>
      </c>
      <c r="G99">
        <v>-1.05211042512919</v>
      </c>
      <c r="H99">
        <v>0.14231937965937899</v>
      </c>
      <c r="I99">
        <v>-7.3926012581509504</v>
      </c>
      <c r="J99" s="1">
        <v>1.43983772365159E-13</v>
      </c>
      <c r="K99" s="1">
        <v>1.9674354038181999E-11</v>
      </c>
      <c r="L99" t="s">
        <v>26</v>
      </c>
      <c r="M99" t="s">
        <v>27</v>
      </c>
      <c r="N99">
        <v>319.79201060677701</v>
      </c>
      <c r="O99">
        <v>461.083902378701</v>
      </c>
      <c r="P99">
        <v>213.82309177783401</v>
      </c>
      <c r="Q99">
        <v>480.51196720294098</v>
      </c>
      <c r="R99">
        <v>426.66178066126298</v>
      </c>
      <c r="S99">
        <v>476.0779592719</v>
      </c>
      <c r="T99">
        <v>206.23296220115699</v>
      </c>
      <c r="U99">
        <v>203.419390859126</v>
      </c>
      <c r="V99">
        <v>256.00746111171202</v>
      </c>
      <c r="W99">
        <v>189.63255293934199</v>
      </c>
    </row>
    <row r="100" spans="1:23" x14ac:dyDescent="0.2">
      <c r="A100" t="s">
        <v>223</v>
      </c>
      <c r="B100" s="3" t="str">
        <f>HYPERLINK("http://www.ncbi.nlm.nih.gov/gene/54371","Chst2")</f>
        <v>Chst2</v>
      </c>
      <c r="C100">
        <v>54371</v>
      </c>
      <c r="D100" t="s">
        <v>224</v>
      </c>
      <c r="E100" s="3" t="str">
        <f>HYPERLINK("http://genome.ucsc.edu/cgi-bin/hgTracks?db=mm10&amp;lastVirtModeType=default&amp;lastVirtModeExtraState=&amp;virtModeType=default&amp;virtMode=0&amp;nonVirtPosition=&amp;position=chr9:95400925-95407270","chr9:95400925-95407270")</f>
        <v>chr9:95400925-95407270</v>
      </c>
      <c r="F100" t="s">
        <v>25</v>
      </c>
      <c r="G100">
        <v>-1.2788449463990801</v>
      </c>
      <c r="H100">
        <v>0.17314122866469001</v>
      </c>
      <c r="I100">
        <v>-7.3861376418653304</v>
      </c>
      <c r="J100" s="1">
        <v>1.5115532082121699E-13</v>
      </c>
      <c r="K100" s="1">
        <v>2.0445665667847599E-11</v>
      </c>
      <c r="L100" t="s">
        <v>26</v>
      </c>
      <c r="M100" t="s">
        <v>27</v>
      </c>
      <c r="N100">
        <v>1704.81682001798</v>
      </c>
      <c r="O100">
        <v>2611.4973452540698</v>
      </c>
      <c r="P100">
        <v>1024.80642609091</v>
      </c>
      <c r="Q100">
        <v>2404.2302136527201</v>
      </c>
      <c r="R100">
        <v>2117.3801968282901</v>
      </c>
      <c r="S100">
        <v>3312.8816252811998</v>
      </c>
      <c r="T100">
        <v>861.59548652927799</v>
      </c>
      <c r="U100">
        <v>1203.3862911876699</v>
      </c>
      <c r="V100">
        <v>1077.7325589904001</v>
      </c>
      <c r="W100">
        <v>956.51136765630395</v>
      </c>
    </row>
    <row r="101" spans="1:23" x14ac:dyDescent="0.2">
      <c r="A101" t="s">
        <v>225</v>
      </c>
      <c r="B101" s="3" t="str">
        <f>HYPERLINK("http://www.ncbi.nlm.nih.gov/gene/54418","Fmn2")</f>
        <v>Fmn2</v>
      </c>
      <c r="C101">
        <v>54418</v>
      </c>
      <c r="D101" t="s">
        <v>226</v>
      </c>
      <c r="E101" s="3" t="str">
        <f>HYPERLINK("http://genome.ucsc.edu/cgi-bin/hgTracks?db=mm10&amp;lastVirtModeType=default&amp;lastVirtModeExtraState=&amp;virtModeType=default&amp;virtMode=0&amp;nonVirtPosition=&amp;position=chr1:174501824-174822729","chr1:174501824-174822729")</f>
        <v>chr1:174501824-174822729</v>
      </c>
      <c r="F101" t="s">
        <v>30</v>
      </c>
      <c r="G101">
        <v>1.17479734690569</v>
      </c>
      <c r="H101">
        <v>0.15936064973617001</v>
      </c>
      <c r="I101">
        <v>7.3719412467923098</v>
      </c>
      <c r="J101" s="1">
        <v>1.6816113107354399E-13</v>
      </c>
      <c r="K101" s="1">
        <v>2.2518457062058199E-11</v>
      </c>
      <c r="L101" t="s">
        <v>26</v>
      </c>
      <c r="M101" t="s">
        <v>27</v>
      </c>
      <c r="N101">
        <v>586.506072227559</v>
      </c>
      <c r="O101">
        <v>330.78725910280099</v>
      </c>
      <c r="P101">
        <v>778.29518207112801</v>
      </c>
      <c r="Q101">
        <v>323.49646922932601</v>
      </c>
      <c r="R101">
        <v>270.40875521020502</v>
      </c>
      <c r="S101">
        <v>398.45655286887302</v>
      </c>
      <c r="T101">
        <v>866.17844124485896</v>
      </c>
      <c r="U101">
        <v>832.948874149473</v>
      </c>
      <c r="V101">
        <v>640.01865277928005</v>
      </c>
      <c r="W101">
        <v>774.03476011090004</v>
      </c>
    </row>
    <row r="102" spans="1:23" x14ac:dyDescent="0.2">
      <c r="A102" t="s">
        <v>227</v>
      </c>
      <c r="B102" s="3" t="str">
        <f>HYPERLINK("http://www.ncbi.nlm.nih.gov/gene/212448","9330159F19Rik")</f>
        <v>9330159F19Rik</v>
      </c>
      <c r="C102">
        <v>212448</v>
      </c>
      <c r="D102" t="s">
        <v>228</v>
      </c>
      <c r="E102" s="3" t="str">
        <f>HYPERLINK("http://genome.ucsc.edu/cgi-bin/hgTracks?db=mm10&amp;lastVirtModeType=default&amp;lastVirtModeExtraState=&amp;virtModeType=default&amp;virtMode=0&amp;nonVirtPosition=&amp;position=chr10:29211642-29230779","chr10:29211642-29230779")</f>
        <v>chr10:29211642-29230779</v>
      </c>
      <c r="F102" t="s">
        <v>30</v>
      </c>
      <c r="G102">
        <v>-1.1891603512528599</v>
      </c>
      <c r="H102">
        <v>0.162010317260214</v>
      </c>
      <c r="I102">
        <v>-7.3400285325216901</v>
      </c>
      <c r="J102" s="1">
        <v>2.13548324602693E-13</v>
      </c>
      <c r="K102" s="1">
        <v>2.8313124898561001E-11</v>
      </c>
      <c r="L102" t="s">
        <v>26</v>
      </c>
      <c r="M102" t="s">
        <v>27</v>
      </c>
      <c r="N102">
        <v>260.07815222002199</v>
      </c>
      <c r="O102">
        <v>392.530165321249</v>
      </c>
      <c r="P102">
        <v>160.73914239410101</v>
      </c>
      <c r="Q102">
        <v>441.53648898253999</v>
      </c>
      <c r="R102">
        <v>351.56930726488002</v>
      </c>
      <c r="S102">
        <v>384.48469971632801</v>
      </c>
      <c r="T102">
        <v>137.48864146743799</v>
      </c>
      <c r="U102">
        <v>132.75791824490301</v>
      </c>
      <c r="V102">
        <v>179.49948422775199</v>
      </c>
      <c r="W102">
        <v>193.21052563631099</v>
      </c>
    </row>
    <row r="103" spans="1:23" x14ac:dyDescent="0.2">
      <c r="A103" t="s">
        <v>229</v>
      </c>
      <c r="B103" s="3" t="str">
        <f>HYPERLINK("http://www.ncbi.nlm.nih.gov/gene/53901","Rcan2")</f>
        <v>Rcan2</v>
      </c>
      <c r="C103">
        <v>53901</v>
      </c>
      <c r="D103" t="s">
        <v>230</v>
      </c>
      <c r="E103" s="3" t="str">
        <f>HYPERLINK("http://genome.ucsc.edu/cgi-bin/hgTracks?db=mm10&amp;lastVirtModeType=default&amp;lastVirtModeExtraState=&amp;virtModeType=default&amp;virtMode=0&amp;nonVirtPosition=&amp;position=chr17:43804002-44039516","chr17:43804002-44039516")</f>
        <v>chr17:43804002-44039516</v>
      </c>
      <c r="F103" t="s">
        <v>30</v>
      </c>
      <c r="G103">
        <v>-1.27894580490969</v>
      </c>
      <c r="H103">
        <v>0.17448889359023401</v>
      </c>
      <c r="I103">
        <v>-7.32966883217874</v>
      </c>
      <c r="J103" s="1">
        <v>2.307221522726E-13</v>
      </c>
      <c r="K103" s="1">
        <v>3.0290199422376397E-11</v>
      </c>
      <c r="L103" t="s">
        <v>26</v>
      </c>
      <c r="M103" t="s">
        <v>27</v>
      </c>
      <c r="N103">
        <v>387.10540023879003</v>
      </c>
      <c r="O103">
        <v>586.56744708568795</v>
      </c>
      <c r="P103">
        <v>237.50886510361599</v>
      </c>
      <c r="Q103">
        <v>673.162188120922</v>
      </c>
      <c r="R103">
        <v>610.97966990692805</v>
      </c>
      <c r="S103">
        <v>475.56048322921299</v>
      </c>
      <c r="T103">
        <v>293.30910179720098</v>
      </c>
      <c r="U103">
        <v>261.23332299803502</v>
      </c>
      <c r="V103">
        <v>192.741249457668</v>
      </c>
      <c r="W103">
        <v>202.751786161561</v>
      </c>
    </row>
    <row r="104" spans="1:23" x14ac:dyDescent="0.2">
      <c r="A104" t="s">
        <v>231</v>
      </c>
      <c r="B104" s="3" t="str">
        <f>HYPERLINK("http://www.ncbi.nlm.nih.gov/gene/226090","Ermp1")</f>
        <v>Ermp1</v>
      </c>
      <c r="C104">
        <v>226090</v>
      </c>
      <c r="D104" t="s">
        <v>232</v>
      </c>
      <c r="E104" s="3" t="str">
        <f>HYPERLINK("http://genome.ucsc.edu/cgi-bin/hgTracks?db=mm10&amp;lastVirtModeType=default&amp;lastVirtModeExtraState=&amp;virtModeType=default&amp;virtMode=0&amp;nonVirtPosition=&amp;position=chr19:29609882-29648420","chr19:29609882-29648420")</f>
        <v>chr19:29609882-29648420</v>
      </c>
      <c r="F104" t="s">
        <v>25</v>
      </c>
      <c r="G104">
        <v>-1.0843751749653601</v>
      </c>
      <c r="H104">
        <v>0.148082164084016</v>
      </c>
      <c r="I104">
        <v>-7.3227939480282496</v>
      </c>
      <c r="J104" s="1">
        <v>2.4286056579036702E-13</v>
      </c>
      <c r="K104" s="1">
        <v>3.1574231422318503E-11</v>
      </c>
      <c r="L104" t="s">
        <v>26</v>
      </c>
      <c r="M104" t="s">
        <v>27</v>
      </c>
      <c r="N104">
        <v>826.43420744841296</v>
      </c>
      <c r="O104">
        <v>1204.4391331326999</v>
      </c>
      <c r="P104">
        <v>542.93051318519394</v>
      </c>
      <c r="Q104">
        <v>1148.6630224098101</v>
      </c>
      <c r="R104">
        <v>1117.66423787444</v>
      </c>
      <c r="S104">
        <v>1346.9901391138601</v>
      </c>
      <c r="T104">
        <v>394.13410553998898</v>
      </c>
      <c r="U104">
        <v>569.574294405552</v>
      </c>
      <c r="V104">
        <v>606.91423970449</v>
      </c>
      <c r="W104">
        <v>601.09941309074497</v>
      </c>
    </row>
    <row r="105" spans="1:23" x14ac:dyDescent="0.2">
      <c r="A105" t="s">
        <v>233</v>
      </c>
      <c r="B105" s="3" t="str">
        <f>HYPERLINK("http://www.ncbi.nlm.nih.gov/gene/69908","Rab3b")</f>
        <v>Rab3b</v>
      </c>
      <c r="C105">
        <v>69908</v>
      </c>
      <c r="D105" t="s">
        <v>234</v>
      </c>
      <c r="E105" s="3" t="str">
        <f>HYPERLINK("http://genome.ucsc.edu/cgi-bin/hgTracks?db=mm10&amp;lastVirtModeType=default&amp;lastVirtModeExtraState=&amp;virtModeType=default&amp;virtMode=0&amp;nonVirtPosition=&amp;position=chr4:108879069-108943324","chr4:108879069-108943324")</f>
        <v>chr4:108879069-108943324</v>
      </c>
      <c r="F105" t="s">
        <v>30</v>
      </c>
      <c r="G105">
        <v>-1.7158372264350401</v>
      </c>
      <c r="H105">
        <v>0.23517969436535199</v>
      </c>
      <c r="I105">
        <v>-7.2958561795283403</v>
      </c>
      <c r="J105" s="1">
        <v>2.9676577984370899E-13</v>
      </c>
      <c r="K105" s="1">
        <v>3.8211447671991498E-11</v>
      </c>
      <c r="L105" t="s">
        <v>26</v>
      </c>
      <c r="M105" t="s">
        <v>27</v>
      </c>
      <c r="N105">
        <v>157.11269421833401</v>
      </c>
      <c r="O105">
        <v>270.85821463061899</v>
      </c>
      <c r="P105">
        <v>71.803553909121007</v>
      </c>
      <c r="Q105">
        <v>179.28719981384299</v>
      </c>
      <c r="R105">
        <v>287.09597152051202</v>
      </c>
      <c r="S105">
        <v>346.19147255750102</v>
      </c>
      <c r="T105">
        <v>54.995456586975202</v>
      </c>
      <c r="U105">
        <v>96.356553564849094</v>
      </c>
      <c r="V105">
        <v>75.036669636191505</v>
      </c>
      <c r="W105">
        <v>60.825535848468199</v>
      </c>
    </row>
    <row r="106" spans="1:23" x14ac:dyDescent="0.2">
      <c r="A106" t="s">
        <v>235</v>
      </c>
      <c r="B106" s="3" t="str">
        <f>HYPERLINK("http://www.ncbi.nlm.nih.gov/gene/15039","H2-T22")</f>
        <v>H2-T22</v>
      </c>
      <c r="C106">
        <v>15039</v>
      </c>
      <c r="D106" t="s">
        <v>236</v>
      </c>
      <c r="E106" s="3" t="str">
        <f>HYPERLINK("http://genome.ucsc.edu/cgi-bin/hgTracks?db=mm10&amp;lastVirtModeType=default&amp;lastVirtModeExtraState=&amp;virtModeType=default&amp;virtMode=0&amp;nonVirtPosition=&amp;position=chr17:36038408-36042702","chr17:36038408-36042702")</f>
        <v>chr17:36038408-36042702</v>
      </c>
      <c r="F106" t="s">
        <v>25</v>
      </c>
      <c r="G106">
        <v>1.5672615250887501</v>
      </c>
      <c r="H106">
        <v>0.214885259329814</v>
      </c>
      <c r="I106">
        <v>7.2934808556749902</v>
      </c>
      <c r="J106" s="1">
        <v>3.0204765635515101E-13</v>
      </c>
      <c r="K106" s="1">
        <v>3.8521144440493601E-11</v>
      </c>
      <c r="L106" t="s">
        <v>26</v>
      </c>
      <c r="M106" t="s">
        <v>27</v>
      </c>
      <c r="N106">
        <v>226.15639482114699</v>
      </c>
      <c r="O106">
        <v>98.793778878189798</v>
      </c>
      <c r="P106">
        <v>321.67835677836501</v>
      </c>
      <c r="Q106">
        <v>102.449828465053</v>
      </c>
      <c r="R106">
        <v>88.366395461399307</v>
      </c>
      <c r="S106">
        <v>105.565112708117</v>
      </c>
      <c r="T106">
        <v>389.55115082440699</v>
      </c>
      <c r="U106">
        <v>177.72430990849901</v>
      </c>
      <c r="V106">
        <v>350.90677859277798</v>
      </c>
      <c r="W106">
        <v>368.53118778777798</v>
      </c>
    </row>
    <row r="107" spans="1:23" x14ac:dyDescent="0.2">
      <c r="A107" t="s">
        <v>235</v>
      </c>
      <c r="B107" s="3" t="str">
        <f>HYPERLINK("http://www.ncbi.nlm.nih.gov/gene/15051","H2-T9")</f>
        <v>H2-T9</v>
      </c>
      <c r="C107">
        <v>15051</v>
      </c>
      <c r="D107" t="s">
        <v>237</v>
      </c>
      <c r="E107" s="3" t="str">
        <f>HYPERLINK("http://genome.ucsc.edu/cgi-bin/hgTracks?db=mm10&amp;lastVirtModeType=default&amp;lastVirtModeExtraState=&amp;virtModeType=default&amp;virtMode=0&amp;nonVirtPosition=&amp;position=chr17:36038408-36042692","chr17:36038408-36042692")</f>
        <v>chr17:36038408-36042692</v>
      </c>
      <c r="F107" t="s">
        <v>25</v>
      </c>
      <c r="G107">
        <v>1.5672615250887501</v>
      </c>
      <c r="H107">
        <v>0.214885259329814</v>
      </c>
      <c r="I107">
        <v>7.2934808556749902</v>
      </c>
      <c r="J107" s="1">
        <v>3.0204765635515101E-13</v>
      </c>
      <c r="K107" s="1">
        <v>3.8521144440493601E-11</v>
      </c>
      <c r="L107" t="s">
        <v>26</v>
      </c>
      <c r="M107" t="s">
        <v>27</v>
      </c>
      <c r="N107">
        <v>226.15639482114699</v>
      </c>
      <c r="O107">
        <v>98.793778878189798</v>
      </c>
      <c r="P107">
        <v>321.67835677836501</v>
      </c>
      <c r="Q107">
        <v>102.449828465053</v>
      </c>
      <c r="R107">
        <v>88.366395461399307</v>
      </c>
      <c r="S107">
        <v>105.565112708117</v>
      </c>
      <c r="T107">
        <v>389.55115082440699</v>
      </c>
      <c r="U107">
        <v>177.72430990849901</v>
      </c>
      <c r="V107">
        <v>350.90677859277798</v>
      </c>
      <c r="W107">
        <v>368.53118778777798</v>
      </c>
    </row>
    <row r="108" spans="1:23" x14ac:dyDescent="0.2">
      <c r="A108" t="s">
        <v>238</v>
      </c>
      <c r="B108" s="3" t="str">
        <f>HYPERLINK("http://www.ncbi.nlm.nih.gov/gene/13179","Dcn")</f>
        <v>Dcn</v>
      </c>
      <c r="C108">
        <v>13179</v>
      </c>
      <c r="D108" t="s">
        <v>239</v>
      </c>
      <c r="E108" s="3" t="str">
        <f>HYPERLINK("http://genome.ucsc.edu/cgi-bin/hgTracks?db=mm10&amp;lastVirtModeType=default&amp;lastVirtModeExtraState=&amp;virtModeType=default&amp;virtMode=0&amp;nonVirtPosition=&amp;position=chr10:97479499-97518163","chr10:97479499-97518163")</f>
        <v>chr10:97479499-97518163</v>
      </c>
      <c r="F108" t="s">
        <v>30</v>
      </c>
      <c r="G108">
        <v>-2.49087608417193</v>
      </c>
      <c r="H108">
        <v>0.341877404842233</v>
      </c>
      <c r="I108">
        <v>-7.28587513796474</v>
      </c>
      <c r="J108" s="1">
        <v>3.19588868234435E-13</v>
      </c>
      <c r="K108" s="1">
        <v>4.0373722023842598E-11</v>
      </c>
      <c r="L108" t="s">
        <v>26</v>
      </c>
      <c r="M108" t="s">
        <v>27</v>
      </c>
      <c r="N108">
        <v>65.4719525729179</v>
      </c>
      <c r="O108">
        <v>135.72165313864599</v>
      </c>
      <c r="P108">
        <v>12.784677148621901</v>
      </c>
      <c r="Q108">
        <v>236.080039506427</v>
      </c>
      <c r="R108">
        <v>102.778082274846</v>
      </c>
      <c r="S108">
        <v>68.306837634663907</v>
      </c>
      <c r="T108">
        <v>9.1659094311625307</v>
      </c>
      <c r="U108">
        <v>12.847540475313201</v>
      </c>
      <c r="V108">
        <v>18.391340597105799</v>
      </c>
      <c r="W108">
        <v>10.733918090906201</v>
      </c>
    </row>
    <row r="109" spans="1:23" x14ac:dyDescent="0.2">
      <c r="A109" t="s">
        <v>240</v>
      </c>
      <c r="B109" s="3" t="str">
        <f>HYPERLINK("http://www.ncbi.nlm.nih.gov/gene/16485","Kcna1")</f>
        <v>Kcna1</v>
      </c>
      <c r="C109">
        <v>16485</v>
      </c>
      <c r="D109" t="s">
        <v>241</v>
      </c>
      <c r="E109" s="3" t="str">
        <f>HYPERLINK("http://genome.ucsc.edu/cgi-bin/hgTracks?db=mm10&amp;lastVirtModeType=default&amp;lastVirtModeExtraState=&amp;virtModeType=default&amp;virtMode=0&amp;nonVirtPosition=&amp;position=chr6:126636462-126645801","chr6:126636462-126645801")</f>
        <v>chr6:126636462-126645801</v>
      </c>
      <c r="F109" t="s">
        <v>25</v>
      </c>
      <c r="G109">
        <v>-1.07071431894272</v>
      </c>
      <c r="H109">
        <v>0.14715273392751199</v>
      </c>
      <c r="I109">
        <v>-7.27621084818011</v>
      </c>
      <c r="J109" s="1">
        <v>3.4332684744085501E-13</v>
      </c>
      <c r="K109" s="1">
        <v>4.2967194524116697E-11</v>
      </c>
      <c r="L109" t="s">
        <v>26</v>
      </c>
      <c r="M109" t="s">
        <v>27</v>
      </c>
      <c r="N109">
        <v>230.53187789666899</v>
      </c>
      <c r="O109">
        <v>335.553997761777</v>
      </c>
      <c r="P109">
        <v>151.76528799783799</v>
      </c>
      <c r="Q109">
        <v>305.12231521113699</v>
      </c>
      <c r="R109">
        <v>378.11715139491503</v>
      </c>
      <c r="S109">
        <v>323.42252667928</v>
      </c>
      <c r="T109">
        <v>128.322732036275</v>
      </c>
      <c r="U109">
        <v>152.02922895787299</v>
      </c>
      <c r="V109">
        <v>163.31510450229899</v>
      </c>
      <c r="W109">
        <v>163.394086494905</v>
      </c>
    </row>
    <row r="110" spans="1:23" x14ac:dyDescent="0.2">
      <c r="A110" t="s">
        <v>242</v>
      </c>
      <c r="B110" s="3" t="str">
        <f>HYPERLINK("http://www.ncbi.nlm.nih.gov/gene/18791","Plat")</f>
        <v>Plat</v>
      </c>
      <c r="C110">
        <v>18791</v>
      </c>
      <c r="D110" t="s">
        <v>243</v>
      </c>
      <c r="E110" s="3" t="str">
        <f>HYPERLINK("http://genome.ucsc.edu/cgi-bin/hgTracks?db=mm10&amp;lastVirtModeType=default&amp;lastVirtModeExtraState=&amp;virtModeType=default&amp;virtMode=0&amp;nonVirtPosition=&amp;position=chr8:22757721-22782848","chr8:22757721-22782848")</f>
        <v>chr8:22757721-22782848</v>
      </c>
      <c r="F110" t="s">
        <v>30</v>
      </c>
      <c r="G110">
        <v>-1.0367534914686201</v>
      </c>
      <c r="H110">
        <v>0.142534643814795</v>
      </c>
      <c r="I110">
        <v>-7.2736947574356003</v>
      </c>
      <c r="J110" s="1">
        <v>3.4978588759372098E-13</v>
      </c>
      <c r="K110" s="1">
        <v>4.3370211303402902E-11</v>
      </c>
      <c r="L110" t="s">
        <v>26</v>
      </c>
      <c r="M110" t="s">
        <v>27</v>
      </c>
      <c r="N110">
        <v>615.54278513719498</v>
      </c>
      <c r="O110">
        <v>886.96221336826295</v>
      </c>
      <c r="P110">
        <v>411.97821396389401</v>
      </c>
      <c r="Q110">
        <v>908.68543508134303</v>
      </c>
      <c r="R110">
        <v>874.56183662655303</v>
      </c>
      <c r="S110">
        <v>877.63936839689404</v>
      </c>
      <c r="T110">
        <v>302.47501122836297</v>
      </c>
      <c r="U110">
        <v>432.53386266887799</v>
      </c>
      <c r="V110">
        <v>500.244464241277</v>
      </c>
      <c r="W110">
        <v>412.65951771705897</v>
      </c>
    </row>
    <row r="111" spans="1:23" x14ac:dyDescent="0.2">
      <c r="A111" t="s">
        <v>244</v>
      </c>
      <c r="B111" s="3" t="str">
        <f>HYPERLINK("http://www.ncbi.nlm.nih.gov/gene/227325","Dner")</f>
        <v>Dner</v>
      </c>
      <c r="C111">
        <v>227325</v>
      </c>
      <c r="D111" t="s">
        <v>245</v>
      </c>
      <c r="E111" s="3" t="str">
        <f>HYPERLINK("http://genome.ucsc.edu/cgi-bin/hgTracks?db=mm10&amp;lastVirtModeType=default&amp;lastVirtModeExtraState=&amp;virtModeType=default&amp;virtMode=0&amp;nonVirtPosition=&amp;position=chr1:84369838-84696221","chr1:84369838-84696221")</f>
        <v>chr1:84369838-84696221</v>
      </c>
      <c r="F111" t="s">
        <v>25</v>
      </c>
      <c r="G111">
        <v>-1.1206507684948499</v>
      </c>
      <c r="H111">
        <v>0.15457969915182099</v>
      </c>
      <c r="I111">
        <v>-7.2496632781915196</v>
      </c>
      <c r="J111" s="1">
        <v>4.1780901601029799E-13</v>
      </c>
      <c r="K111" s="1">
        <v>5.1329179205448603E-11</v>
      </c>
      <c r="L111" t="s">
        <v>26</v>
      </c>
      <c r="M111" t="s">
        <v>27</v>
      </c>
      <c r="N111">
        <v>581.12199592665604</v>
      </c>
      <c r="O111">
        <v>849.18645399738898</v>
      </c>
      <c r="P111">
        <v>380.07365237360699</v>
      </c>
      <c r="Q111">
        <v>960.46714185987605</v>
      </c>
      <c r="R111">
        <v>931.45007404805403</v>
      </c>
      <c r="S111">
        <v>655.64214608423595</v>
      </c>
      <c r="T111">
        <v>384.96819610882602</v>
      </c>
      <c r="U111">
        <v>404.69752497236601</v>
      </c>
      <c r="V111">
        <v>350.17112496889399</v>
      </c>
      <c r="W111">
        <v>380.45776344434103</v>
      </c>
    </row>
    <row r="112" spans="1:23" x14ac:dyDescent="0.2">
      <c r="A112" t="s">
        <v>246</v>
      </c>
      <c r="B112" s="3" t="str">
        <f>HYPERLINK("http://www.ncbi.nlm.nih.gov/gene/20351","Sema4a")</f>
        <v>Sema4a</v>
      </c>
      <c r="C112">
        <v>20351</v>
      </c>
      <c r="D112" t="s">
        <v>247</v>
      </c>
      <c r="E112" s="3" t="str">
        <f>HYPERLINK("http://genome.ucsc.edu/cgi-bin/hgTracks?db=mm10&amp;lastVirtModeType=default&amp;lastVirtModeExtraState=&amp;virtModeType=default&amp;virtMode=0&amp;nonVirtPosition=&amp;position=chr3:88435961-88455761","chr3:88435961-88455761")</f>
        <v>chr3:88435961-88455761</v>
      </c>
      <c r="F112" t="s">
        <v>25</v>
      </c>
      <c r="G112">
        <v>1.5371289429917701</v>
      </c>
      <c r="H112">
        <v>0.21249158170093899</v>
      </c>
      <c r="I112">
        <v>7.2338345391731096</v>
      </c>
      <c r="J112" s="1">
        <v>4.6954379816032296E-13</v>
      </c>
      <c r="K112" s="1">
        <v>5.69064635697694E-11</v>
      </c>
      <c r="L112" t="s">
        <v>26</v>
      </c>
      <c r="M112" t="s">
        <v>27</v>
      </c>
      <c r="N112">
        <v>67.659371907068405</v>
      </c>
      <c r="O112">
        <v>30.770647020881299</v>
      </c>
      <c r="P112">
        <v>95.325915571708705</v>
      </c>
      <c r="Q112">
        <v>33.407552760343499</v>
      </c>
      <c r="R112">
        <v>31.4781580398976</v>
      </c>
      <c r="S112">
        <v>27.4262302624029</v>
      </c>
      <c r="T112">
        <v>87.076139596044001</v>
      </c>
      <c r="U112">
        <v>79.2264995977648</v>
      </c>
      <c r="V112">
        <v>99.313239224371102</v>
      </c>
      <c r="W112">
        <v>115.687783868655</v>
      </c>
    </row>
    <row r="113" spans="1:23" x14ac:dyDescent="0.2">
      <c r="A113" t="s">
        <v>248</v>
      </c>
      <c r="B113" s="3" t="str">
        <f>HYPERLINK("http://www.ncbi.nlm.nih.gov/gene/12577","Cdkn1c")</f>
        <v>Cdkn1c</v>
      </c>
      <c r="C113">
        <v>12577</v>
      </c>
      <c r="D113" t="s">
        <v>249</v>
      </c>
      <c r="E113" s="3" t="str">
        <f>HYPERLINK("http://genome.ucsc.edu/cgi-bin/hgTracks?db=mm10&amp;lastVirtModeType=default&amp;lastVirtModeExtraState=&amp;virtModeType=default&amp;virtMode=0&amp;nonVirtPosition=&amp;position=chr7:143458338-143461050","chr7:143458338-143461050")</f>
        <v>chr7:143458338-143461050</v>
      </c>
      <c r="F113" t="s">
        <v>25</v>
      </c>
      <c r="G113">
        <v>1.92440533341606</v>
      </c>
      <c r="H113">
        <v>0.26605132556959699</v>
      </c>
      <c r="I113">
        <v>7.2332108449226498</v>
      </c>
      <c r="J113" s="1">
        <v>4.7170617998987398E-13</v>
      </c>
      <c r="K113" s="1">
        <v>5.69064635697694E-11</v>
      </c>
      <c r="L113" t="s">
        <v>26</v>
      </c>
      <c r="M113" t="s">
        <v>27</v>
      </c>
      <c r="N113">
        <v>41.949867657110502</v>
      </c>
      <c r="O113">
        <v>14.1620086718947</v>
      </c>
      <c r="P113">
        <v>62.790761896022403</v>
      </c>
      <c r="Q113">
        <v>11.1358509201145</v>
      </c>
      <c r="R113">
        <v>14.790941729590401</v>
      </c>
      <c r="S113">
        <v>16.5592333659791</v>
      </c>
      <c r="T113">
        <v>50.4125018713939</v>
      </c>
      <c r="U113">
        <v>51.390161901252803</v>
      </c>
      <c r="V113">
        <v>80.186245003381103</v>
      </c>
      <c r="W113">
        <v>69.174138808061898</v>
      </c>
    </row>
    <row r="114" spans="1:23" x14ac:dyDescent="0.2">
      <c r="A114" t="s">
        <v>250</v>
      </c>
      <c r="B114" s="3" t="str">
        <f>HYPERLINK("http://www.ncbi.nlm.nih.gov/gene/232811","Kmt5c")</f>
        <v>Kmt5c</v>
      </c>
      <c r="C114">
        <v>232811</v>
      </c>
      <c r="D114" t="s">
        <v>251</v>
      </c>
      <c r="E114" s="3" t="str">
        <f>HYPERLINK("http://genome.ucsc.edu/cgi-bin/hgTracks?db=mm10&amp;lastVirtModeType=default&amp;lastVirtModeExtraState=&amp;virtModeType=default&amp;virtMode=0&amp;nonVirtPosition=&amp;position=chr7:4740126-4747514","chr7:4740126-4747514")</f>
        <v>chr7:4740126-4747514</v>
      </c>
      <c r="F114" t="s">
        <v>30</v>
      </c>
      <c r="G114">
        <v>1.22165671801053</v>
      </c>
      <c r="H114">
        <v>0.169428768667573</v>
      </c>
      <c r="I114">
        <v>7.2104444104618102</v>
      </c>
      <c r="J114" s="1">
        <v>5.5769560981609702E-13</v>
      </c>
      <c r="K114" s="1">
        <v>6.6679481348636996E-11</v>
      </c>
      <c r="L114" t="s">
        <v>26</v>
      </c>
      <c r="M114" t="s">
        <v>27</v>
      </c>
      <c r="N114">
        <v>148.11669078950399</v>
      </c>
      <c r="O114">
        <v>81.9196073272863</v>
      </c>
      <c r="P114">
        <v>197.76450338616701</v>
      </c>
      <c r="Q114">
        <v>75.723786256778595</v>
      </c>
      <c r="R114">
        <v>70.162159486518803</v>
      </c>
      <c r="S114">
        <v>99.872876238561602</v>
      </c>
      <c r="T114">
        <v>187.90114333883199</v>
      </c>
      <c r="U114">
        <v>199.136877367355</v>
      </c>
      <c r="V114">
        <v>190.534288586016</v>
      </c>
      <c r="W114">
        <v>213.485704252467</v>
      </c>
    </row>
    <row r="115" spans="1:23" x14ac:dyDescent="0.2">
      <c r="A115" t="s">
        <v>252</v>
      </c>
      <c r="B115" s="3" t="str">
        <f>HYPERLINK("http://www.ncbi.nlm.nih.gov/gene/20393","Sgk1")</f>
        <v>Sgk1</v>
      </c>
      <c r="C115">
        <v>20393</v>
      </c>
      <c r="D115" t="s">
        <v>253</v>
      </c>
      <c r="E115" s="3" t="str">
        <f>HYPERLINK("http://genome.ucsc.edu/cgi-bin/hgTracks?db=mm10&amp;lastVirtModeType=default&amp;lastVirtModeExtraState=&amp;virtModeType=default&amp;virtMode=0&amp;nonVirtPosition=&amp;position=chr10:21993889-21999902","chr10:21993889-21999902")</f>
        <v>chr10:21993889-21999902</v>
      </c>
      <c r="F115" t="s">
        <v>30</v>
      </c>
      <c r="G115">
        <v>-0.99638634553382499</v>
      </c>
      <c r="H115">
        <v>0.13856144685653601</v>
      </c>
      <c r="I115">
        <v>-7.1909349111045602</v>
      </c>
      <c r="J115" s="1">
        <v>6.4349155569292103E-13</v>
      </c>
      <c r="K115" s="1">
        <v>7.6256596657379694E-11</v>
      </c>
      <c r="L115" t="s">
        <v>26</v>
      </c>
      <c r="M115" t="s">
        <v>27</v>
      </c>
      <c r="N115">
        <v>358.97234783990598</v>
      </c>
      <c r="O115">
        <v>507.75706083093303</v>
      </c>
      <c r="P115">
        <v>247.383813096637</v>
      </c>
      <c r="Q115">
        <v>471.603286466849</v>
      </c>
      <c r="R115">
        <v>486.58405741191098</v>
      </c>
      <c r="S115">
        <v>565.08383861403797</v>
      </c>
      <c r="T115">
        <v>256.64546407255102</v>
      </c>
      <c r="U115">
        <v>201.27813411323999</v>
      </c>
      <c r="V115">
        <v>259.685729231133</v>
      </c>
      <c r="W115">
        <v>271.925924969623</v>
      </c>
    </row>
    <row r="116" spans="1:23" x14ac:dyDescent="0.2">
      <c r="A116" t="s">
        <v>254</v>
      </c>
      <c r="B116" s="3" t="str">
        <f>HYPERLINK("http://www.ncbi.nlm.nih.gov/gene/76380","Cep112")</f>
        <v>Cep112</v>
      </c>
      <c r="C116">
        <v>76380</v>
      </c>
      <c r="D116" t="s">
        <v>255</v>
      </c>
      <c r="E116" s="3" t="str">
        <f>HYPERLINK("http://genome.ucsc.edu/cgi-bin/hgTracks?db=mm10&amp;lastVirtModeType=default&amp;lastVirtModeExtraState=&amp;virtModeType=default&amp;virtMode=0&amp;nonVirtPosition=&amp;position=chr11:108682608-108860615","chr11:108682608-108860615")</f>
        <v>chr11:108682608-108860615</v>
      </c>
      <c r="F116" t="s">
        <v>30</v>
      </c>
      <c r="G116">
        <v>1.5506841315904401</v>
      </c>
      <c r="H116">
        <v>0.21569520713127299</v>
      </c>
      <c r="I116">
        <v>7.1892377777624397</v>
      </c>
      <c r="J116" s="1">
        <v>6.5154021543316396E-13</v>
      </c>
      <c r="K116" s="1">
        <v>7.6533114253206197E-11</v>
      </c>
      <c r="L116" t="s">
        <v>26</v>
      </c>
      <c r="M116" t="s">
        <v>27</v>
      </c>
      <c r="N116">
        <v>66.728869957194604</v>
      </c>
      <c r="O116">
        <v>29.057044839713601</v>
      </c>
      <c r="P116">
        <v>94.982738795305394</v>
      </c>
      <c r="Q116">
        <v>25.055664570257601</v>
      </c>
      <c r="R116">
        <v>26.927099046177499</v>
      </c>
      <c r="S116">
        <v>35.1883709027056</v>
      </c>
      <c r="T116">
        <v>100.825003742788</v>
      </c>
      <c r="U116">
        <v>107.062837294277</v>
      </c>
      <c r="V116">
        <v>89.749742113876096</v>
      </c>
      <c r="W116">
        <v>82.293372030280594</v>
      </c>
    </row>
    <row r="117" spans="1:23" x14ac:dyDescent="0.2">
      <c r="A117" t="s">
        <v>256</v>
      </c>
      <c r="B117" s="3" t="str">
        <f>HYPERLINK("http://www.ncbi.nlm.nih.gov/gene/245386","Tmem255a")</f>
        <v>Tmem255a</v>
      </c>
      <c r="C117">
        <v>245386</v>
      </c>
      <c r="D117" t="s">
        <v>257</v>
      </c>
      <c r="E117" s="3" t="str">
        <f>HYPERLINK("http://genome.ucsc.edu/cgi-bin/hgTracks?db=mm10&amp;lastVirtModeType=default&amp;lastVirtModeExtraState=&amp;virtModeType=default&amp;virtMode=0&amp;nonVirtPosition=&amp;position=chrX:38197296-38252481","chrX:38197296-38252481")</f>
        <v>chrX:38197296-38252481</v>
      </c>
      <c r="F117" t="s">
        <v>25</v>
      </c>
      <c r="G117">
        <v>-1.8966214764335001</v>
      </c>
      <c r="H117">
        <v>0.26396262611232302</v>
      </c>
      <c r="I117">
        <v>-7.1851894503672904</v>
      </c>
      <c r="J117" s="1">
        <v>6.7114058447113505E-13</v>
      </c>
      <c r="K117" s="1">
        <v>7.8149944057851903E-11</v>
      </c>
      <c r="L117" t="s">
        <v>26</v>
      </c>
      <c r="M117" t="s">
        <v>27</v>
      </c>
      <c r="N117">
        <v>377.89837086348302</v>
      </c>
      <c r="O117">
        <v>679.80033464328005</v>
      </c>
      <c r="P117">
        <v>151.47189802863599</v>
      </c>
      <c r="Q117">
        <v>1145.3222671337801</v>
      </c>
      <c r="R117">
        <v>487.34256724419799</v>
      </c>
      <c r="S117">
        <v>406.73616955186202</v>
      </c>
      <c r="T117">
        <v>151.237505614182</v>
      </c>
      <c r="U117">
        <v>149.88797221198701</v>
      </c>
      <c r="V117">
        <v>154.48726101568801</v>
      </c>
      <c r="W117">
        <v>150.27485327268599</v>
      </c>
    </row>
    <row r="118" spans="1:23" x14ac:dyDescent="0.2">
      <c r="A118" t="s">
        <v>258</v>
      </c>
      <c r="B118" s="3" t="str">
        <f>HYPERLINK("http://www.ncbi.nlm.nih.gov/gene/240084","Cchcr1")</f>
        <v>Cchcr1</v>
      </c>
      <c r="C118">
        <v>240084</v>
      </c>
      <c r="D118" t="s">
        <v>259</v>
      </c>
      <c r="E118" s="3" t="str">
        <f>HYPERLINK("http://genome.ucsc.edu/cgi-bin/hgTracks?db=mm10&amp;lastVirtModeType=default&amp;lastVirtModeExtraState=&amp;virtModeType=default&amp;virtMode=0&amp;nonVirtPosition=&amp;position=chr17:35517115-35531015","chr17:35517115-35531015")</f>
        <v>chr17:35517115-35531015</v>
      </c>
      <c r="F118" t="s">
        <v>30</v>
      </c>
      <c r="G118">
        <v>1.6241353701716199</v>
      </c>
      <c r="H118">
        <v>0.22642368513976899</v>
      </c>
      <c r="I118">
        <v>7.1729923888883604</v>
      </c>
      <c r="J118" s="1">
        <v>7.3375934127744499E-13</v>
      </c>
      <c r="K118" s="1">
        <v>8.4704925336605804E-11</v>
      </c>
      <c r="L118" t="s">
        <v>26</v>
      </c>
      <c r="M118" t="s">
        <v>27</v>
      </c>
      <c r="N118">
        <v>81.064124976057798</v>
      </c>
      <c r="O118">
        <v>33.681526120295899</v>
      </c>
      <c r="P118">
        <v>116.60107411787899</v>
      </c>
      <c r="Q118">
        <v>26.169249662269099</v>
      </c>
      <c r="R118">
        <v>34.512197369044401</v>
      </c>
      <c r="S118">
        <v>40.363131329574102</v>
      </c>
      <c r="T118">
        <v>114.573867889532</v>
      </c>
      <c r="U118">
        <v>117.769121023704</v>
      </c>
      <c r="V118">
        <v>89.749742113876096</v>
      </c>
      <c r="W118">
        <v>144.31156544440501</v>
      </c>
    </row>
    <row r="119" spans="1:23" x14ac:dyDescent="0.2">
      <c r="A119" t="s">
        <v>260</v>
      </c>
      <c r="B119" s="3" t="str">
        <f>HYPERLINK("http://www.ncbi.nlm.nih.gov/gene/16913","Psmb8")</f>
        <v>Psmb8</v>
      </c>
      <c r="C119">
        <v>16913</v>
      </c>
      <c r="D119" t="s">
        <v>261</v>
      </c>
      <c r="E119" s="3" t="str">
        <f>HYPERLINK("http://genome.ucsc.edu/cgi-bin/hgTracks?db=mm10&amp;lastVirtModeType=default&amp;lastVirtModeExtraState=&amp;virtModeType=default&amp;virtMode=0&amp;nonVirtPosition=&amp;position=chr17:34198194-34201454","chr17:34198194-34201454")</f>
        <v>chr17:34198194-34201454</v>
      </c>
      <c r="F119" t="s">
        <v>30</v>
      </c>
      <c r="G119">
        <v>1.86515020969542</v>
      </c>
      <c r="H119">
        <v>0.26009551423381699</v>
      </c>
      <c r="I119">
        <v>7.1710202891800803</v>
      </c>
      <c r="J119" s="1">
        <v>7.4440869588386295E-13</v>
      </c>
      <c r="K119" s="1">
        <v>8.5199802107528299E-11</v>
      </c>
      <c r="L119" t="s">
        <v>26</v>
      </c>
      <c r="M119" t="s">
        <v>27</v>
      </c>
      <c r="N119">
        <v>416.18545781312702</v>
      </c>
      <c r="O119">
        <v>142.45272659917401</v>
      </c>
      <c r="P119">
        <v>621.48500622359302</v>
      </c>
      <c r="Q119">
        <v>129.732663219334</v>
      </c>
      <c r="R119">
        <v>102.01957244256</v>
      </c>
      <c r="S119">
        <v>195.60594413562799</v>
      </c>
      <c r="T119">
        <v>797.43412051114001</v>
      </c>
      <c r="U119">
        <v>301.91720116986102</v>
      </c>
      <c r="V119">
        <v>665.03087599134403</v>
      </c>
      <c r="W119">
        <v>721.55782722202503</v>
      </c>
    </row>
    <row r="120" spans="1:23" x14ac:dyDescent="0.2">
      <c r="A120" t="s">
        <v>262</v>
      </c>
      <c r="B120" s="3" t="str">
        <f>HYPERLINK("http://www.ncbi.nlm.nih.gov/gene/224902","Safb2")</f>
        <v>Safb2</v>
      </c>
      <c r="C120">
        <v>224902</v>
      </c>
      <c r="D120" t="s">
        <v>263</v>
      </c>
      <c r="E120" s="3" t="str">
        <f>HYPERLINK("http://genome.ucsc.edu/cgi-bin/hgTracks?db=mm10&amp;lastVirtModeType=default&amp;lastVirtModeExtraState=&amp;virtModeType=default&amp;virtMode=0&amp;nonVirtPosition=&amp;position=chr17:56562941-56584583","chr17:56562941-56584583")</f>
        <v>chr17:56562941-56584583</v>
      </c>
      <c r="F120" t="s">
        <v>25</v>
      </c>
      <c r="G120">
        <v>1.40866145878413</v>
      </c>
      <c r="H120">
        <v>0.19662881526217099</v>
      </c>
      <c r="I120">
        <v>7.1640642136094002</v>
      </c>
      <c r="J120" s="1">
        <v>7.8319688586297903E-13</v>
      </c>
      <c r="K120" s="1">
        <v>8.8879572021958898E-11</v>
      </c>
      <c r="L120" t="s">
        <v>26</v>
      </c>
      <c r="M120" t="s">
        <v>27</v>
      </c>
      <c r="N120">
        <v>396.43973611510899</v>
      </c>
      <c r="O120">
        <v>193.828566772324</v>
      </c>
      <c r="P120">
        <v>548.39811312219695</v>
      </c>
      <c r="Q120">
        <v>159.79946070364301</v>
      </c>
      <c r="R120">
        <v>152.08122137348099</v>
      </c>
      <c r="S120">
        <v>269.60501823984799</v>
      </c>
      <c r="T120">
        <v>494.95910928277601</v>
      </c>
      <c r="U120">
        <v>558.86801067612498</v>
      </c>
      <c r="V120">
        <v>492.15227437854998</v>
      </c>
      <c r="W120">
        <v>647.61305815133801</v>
      </c>
    </row>
    <row r="121" spans="1:23" x14ac:dyDescent="0.2">
      <c r="A121" t="s">
        <v>264</v>
      </c>
      <c r="B121" s="3" t="str">
        <f>HYPERLINK("http://www.ncbi.nlm.nih.gov/gene/56745","C1qtnf1")</f>
        <v>C1qtnf1</v>
      </c>
      <c r="C121">
        <v>56745</v>
      </c>
      <c r="D121" t="s">
        <v>265</v>
      </c>
      <c r="E121" s="3" t="str">
        <f>HYPERLINK("http://genome.ucsc.edu/cgi-bin/hgTracks?db=mm10&amp;lastVirtModeType=default&amp;lastVirtModeExtraState=&amp;virtModeType=default&amp;virtMode=0&amp;nonVirtPosition=&amp;position=chr11:118433800-118451782","chr11:118433800-118451782")</f>
        <v>chr11:118433800-118451782</v>
      </c>
      <c r="F121" t="s">
        <v>30</v>
      </c>
      <c r="G121">
        <v>2.08370160114228</v>
      </c>
      <c r="H121">
        <v>0.29230375754388999</v>
      </c>
      <c r="I121">
        <v>7.1285488036512996</v>
      </c>
      <c r="J121" s="1">
        <v>1.01432634993753E-12</v>
      </c>
      <c r="K121" s="1">
        <v>1.14141547495911E-10</v>
      </c>
      <c r="L121" t="s">
        <v>26</v>
      </c>
      <c r="M121" t="s">
        <v>27</v>
      </c>
      <c r="N121">
        <v>81.373505209371899</v>
      </c>
      <c r="O121">
        <v>23.435625297132599</v>
      </c>
      <c r="P121">
        <v>124.826915143552</v>
      </c>
      <c r="Q121">
        <v>25.055664570257601</v>
      </c>
      <c r="R121">
        <v>17.824981058737201</v>
      </c>
      <c r="S121">
        <v>27.4262302624029</v>
      </c>
      <c r="T121">
        <v>50.4125018713939</v>
      </c>
      <c r="U121">
        <v>102.780323802506</v>
      </c>
      <c r="V121">
        <v>183.91340597105801</v>
      </c>
      <c r="W121">
        <v>162.201428929249</v>
      </c>
    </row>
    <row r="122" spans="1:23" x14ac:dyDescent="0.2">
      <c r="A122" t="s">
        <v>266</v>
      </c>
      <c r="B122" s="3" t="str">
        <f>HYPERLINK("http://www.ncbi.nlm.nih.gov/gene/14980","H2-L")</f>
        <v>H2-L</v>
      </c>
      <c r="C122">
        <v>14980</v>
      </c>
      <c r="D122" t="s">
        <v>267</v>
      </c>
      <c r="E122" s="3" t="str">
        <f>HYPERLINK("http://genome.ucsc.edu/cgi-bin/hgTracks?db=mm10&amp;lastVirtModeType=default&amp;lastVirtModeExtraState=&amp;virtModeType=default&amp;virtMode=0&amp;nonVirtPosition=&amp;position=chr17:35263122-35266730","chr17:35263122-35266730")</f>
        <v>chr17:35263122-35266730</v>
      </c>
      <c r="F122" t="s">
        <v>30</v>
      </c>
      <c r="G122">
        <v>1.7219253791595199</v>
      </c>
      <c r="H122">
        <v>0.242279528237905</v>
      </c>
      <c r="I122">
        <v>7.1071847946999798</v>
      </c>
      <c r="J122" s="1">
        <v>1.1843381499889299E-12</v>
      </c>
      <c r="K122" s="1">
        <v>1.3216226805418101E-10</v>
      </c>
      <c r="L122" t="s">
        <v>26</v>
      </c>
      <c r="M122" t="s">
        <v>27</v>
      </c>
      <c r="N122">
        <v>2546.9968998054101</v>
      </c>
      <c r="O122">
        <v>983.07627647237598</v>
      </c>
      <c r="P122">
        <v>3719.93736730519</v>
      </c>
      <c r="Q122">
        <v>1131.4024534836301</v>
      </c>
      <c r="R122">
        <v>629.18390588180898</v>
      </c>
      <c r="S122">
        <v>1188.64247005169</v>
      </c>
      <c r="T122">
        <v>4514.2103948475396</v>
      </c>
      <c r="U122">
        <v>2194.7881645326702</v>
      </c>
      <c r="V122">
        <v>4001.2200603063302</v>
      </c>
      <c r="W122">
        <v>4169.5308495342097</v>
      </c>
    </row>
    <row r="123" spans="1:23" x14ac:dyDescent="0.2">
      <c r="A123" t="s">
        <v>266</v>
      </c>
      <c r="B123" s="3" t="str">
        <f>HYPERLINK("http://www.ncbi.nlm.nih.gov/gene/14964","H2-D1")</f>
        <v>H2-D1</v>
      </c>
      <c r="C123">
        <v>14964</v>
      </c>
      <c r="D123" t="s">
        <v>268</v>
      </c>
      <c r="E123" s="3" t="str">
        <f>HYPERLINK("http://genome.ucsc.edu/cgi-bin/hgTracks?db=mm10&amp;lastVirtModeType=default&amp;lastVirtModeExtraState=&amp;virtModeType=default&amp;virtMode=0&amp;nonVirtPosition=&amp;position=chr17:35263093-35267497","chr17:35263093-35267497")</f>
        <v>chr17:35263093-35267497</v>
      </c>
      <c r="F123" t="s">
        <v>30</v>
      </c>
      <c r="G123">
        <v>1.7219253791595199</v>
      </c>
      <c r="H123">
        <v>0.242279528237905</v>
      </c>
      <c r="I123">
        <v>7.1071847946999798</v>
      </c>
      <c r="J123" s="1">
        <v>1.1843381499889299E-12</v>
      </c>
      <c r="K123" s="1">
        <v>1.3216226805418101E-10</v>
      </c>
      <c r="L123" t="s">
        <v>26</v>
      </c>
      <c r="M123" t="s">
        <v>27</v>
      </c>
      <c r="N123">
        <v>2546.9968998054101</v>
      </c>
      <c r="O123">
        <v>983.07627647237598</v>
      </c>
      <c r="P123">
        <v>3719.93736730519</v>
      </c>
      <c r="Q123">
        <v>1131.4024534836301</v>
      </c>
      <c r="R123">
        <v>629.18390588180898</v>
      </c>
      <c r="S123">
        <v>1188.64247005169</v>
      </c>
      <c r="T123">
        <v>4514.2103948475396</v>
      </c>
      <c r="U123">
        <v>2194.7881645326702</v>
      </c>
      <c r="V123">
        <v>4001.2200603063302</v>
      </c>
      <c r="W123">
        <v>4169.5308495342097</v>
      </c>
    </row>
    <row r="124" spans="1:23" x14ac:dyDescent="0.2">
      <c r="A124" t="s">
        <v>269</v>
      </c>
      <c r="B124" s="3" t="str">
        <f>HYPERLINK("http://www.ncbi.nlm.nih.gov/gene/56013","Srcin1")</f>
        <v>Srcin1</v>
      </c>
      <c r="C124">
        <v>56013</v>
      </c>
      <c r="D124" t="s">
        <v>270</v>
      </c>
      <c r="E124" s="3" t="str">
        <f>HYPERLINK("http://genome.ucsc.edu/cgi-bin/hgTracks?db=mm10&amp;lastVirtModeType=default&amp;lastVirtModeExtraState=&amp;virtModeType=default&amp;virtMode=0&amp;nonVirtPosition=&amp;position=chr11:97509339-97575126","chr11:97509339-97575126")</f>
        <v>chr11:97509339-97575126</v>
      </c>
      <c r="F124" t="s">
        <v>25</v>
      </c>
      <c r="G124">
        <v>1.3171229720117099</v>
      </c>
      <c r="H124">
        <v>0.187119454121082</v>
      </c>
      <c r="I124">
        <v>7.0389419325658302</v>
      </c>
      <c r="J124" s="1">
        <v>1.93705066700266E-12</v>
      </c>
      <c r="K124" s="1">
        <v>2.1429016876150799E-10</v>
      </c>
      <c r="L124" t="s">
        <v>26</v>
      </c>
      <c r="M124" t="s">
        <v>27</v>
      </c>
      <c r="N124">
        <v>242.503109384364</v>
      </c>
      <c r="O124">
        <v>127.244644342084</v>
      </c>
      <c r="P124">
        <v>328.94695816607401</v>
      </c>
      <c r="Q124">
        <v>107.460961379105</v>
      </c>
      <c r="R124">
        <v>154.73600578648501</v>
      </c>
      <c r="S124">
        <v>119.53696586066199</v>
      </c>
      <c r="T124">
        <v>224.564781063482</v>
      </c>
      <c r="U124">
        <v>327.61228212048701</v>
      </c>
      <c r="V124">
        <v>370.033772813768</v>
      </c>
      <c r="W124">
        <v>393.57699666655901</v>
      </c>
    </row>
    <row r="125" spans="1:23" x14ac:dyDescent="0.2">
      <c r="A125" t="s">
        <v>271</v>
      </c>
      <c r="B125" s="3" t="str">
        <f>HYPERLINK("http://www.ncbi.nlm.nih.gov/gene/217692","Sipa1l1")</f>
        <v>Sipa1l1</v>
      </c>
      <c r="C125">
        <v>217692</v>
      </c>
      <c r="D125" t="s">
        <v>272</v>
      </c>
      <c r="E125" s="3" t="str">
        <f>HYPERLINK("http://genome.ucsc.edu/cgi-bin/hgTracks?db=mm10&amp;lastVirtModeType=default&amp;lastVirtModeExtraState=&amp;virtModeType=default&amp;virtMode=0&amp;nonVirtPosition=&amp;position=chr12:82311348-82451784","chr12:82311348-82451784")</f>
        <v>chr12:82311348-82451784</v>
      </c>
      <c r="F125" t="s">
        <v>30</v>
      </c>
      <c r="G125">
        <v>1.0841807595047801</v>
      </c>
      <c r="H125">
        <v>0.15405003353145699</v>
      </c>
      <c r="I125">
        <v>7.03784825391413</v>
      </c>
      <c r="J125" s="1">
        <v>1.95231129780479E-12</v>
      </c>
      <c r="K125" s="1">
        <v>2.1429016876150799E-10</v>
      </c>
      <c r="L125" t="s">
        <v>26</v>
      </c>
      <c r="M125" t="s">
        <v>27</v>
      </c>
      <c r="N125">
        <v>745.55262045005202</v>
      </c>
      <c r="O125">
        <v>447.81519378503799</v>
      </c>
      <c r="P125">
        <v>968.85569044881402</v>
      </c>
      <c r="Q125">
        <v>465.47856846078599</v>
      </c>
      <c r="R125">
        <v>373.94534731733802</v>
      </c>
      <c r="S125">
        <v>504.02166557699002</v>
      </c>
      <c r="T125">
        <v>756.187528070908</v>
      </c>
      <c r="U125">
        <v>959.28302215671999</v>
      </c>
      <c r="V125">
        <v>1086.56040247701</v>
      </c>
      <c r="W125">
        <v>1073.39180909062</v>
      </c>
    </row>
    <row r="126" spans="1:23" x14ac:dyDescent="0.2">
      <c r="A126" t="s">
        <v>273</v>
      </c>
      <c r="B126" s="3" t="str">
        <f>HYPERLINK("http://www.ncbi.nlm.nih.gov/gene/16981","Lrrn3")</f>
        <v>Lrrn3</v>
      </c>
      <c r="C126">
        <v>16981</v>
      </c>
      <c r="D126" t="s">
        <v>274</v>
      </c>
      <c r="E126" s="3" t="str">
        <f>HYPERLINK("http://genome.ucsc.edu/cgi-bin/hgTracks?db=mm10&amp;lastVirtModeType=default&amp;lastVirtModeExtraState=&amp;virtModeType=default&amp;virtMode=0&amp;nonVirtPosition=&amp;position=chr12:41451667-41486057","chr12:41451667-41486057")</f>
        <v>chr12:41451667-41486057</v>
      </c>
      <c r="F126" t="s">
        <v>25</v>
      </c>
      <c r="G126">
        <v>-1.14834744351623</v>
      </c>
      <c r="H126">
        <v>0.16352638478801099</v>
      </c>
      <c r="I126">
        <v>-7.0223985261148796</v>
      </c>
      <c r="J126" s="1">
        <v>2.1809139260049801E-12</v>
      </c>
      <c r="K126" s="1">
        <v>2.3743592181408699E-10</v>
      </c>
      <c r="L126" t="s">
        <v>26</v>
      </c>
      <c r="M126" t="s">
        <v>27</v>
      </c>
      <c r="N126">
        <v>312.568652927014</v>
      </c>
      <c r="O126">
        <v>461.65125230889402</v>
      </c>
      <c r="P126">
        <v>200.756703390605</v>
      </c>
      <c r="Q126">
        <v>552.33820563767904</v>
      </c>
      <c r="R126">
        <v>465.72503702402702</v>
      </c>
      <c r="S126">
        <v>366.89051426497502</v>
      </c>
      <c r="T126">
        <v>201.650007485576</v>
      </c>
      <c r="U126">
        <v>205.56064760501101</v>
      </c>
      <c r="V126">
        <v>213.33955092642699</v>
      </c>
      <c r="W126">
        <v>182.47660754540499</v>
      </c>
    </row>
    <row r="127" spans="1:23" x14ac:dyDescent="0.2">
      <c r="A127" t="s">
        <v>275</v>
      </c>
      <c r="B127" s="3" t="str">
        <f>HYPERLINK("http://www.ncbi.nlm.nih.gov/gene/319757","Smo")</f>
        <v>Smo</v>
      </c>
      <c r="C127">
        <v>319757</v>
      </c>
      <c r="D127" t="s">
        <v>276</v>
      </c>
      <c r="E127" s="3" t="str">
        <f>HYPERLINK("http://genome.ucsc.edu/cgi-bin/hgTracks?db=mm10&amp;lastVirtModeType=default&amp;lastVirtModeExtraState=&amp;virtModeType=default&amp;virtMode=0&amp;nonVirtPosition=&amp;position=chr6:29735496-29761366","chr6:29735496-29761366")</f>
        <v>chr6:29735496-29761366</v>
      </c>
      <c r="F127" t="s">
        <v>30</v>
      </c>
      <c r="G127">
        <v>1.20014221707781</v>
      </c>
      <c r="H127">
        <v>0.171571138151703</v>
      </c>
      <c r="I127">
        <v>6.9950122730819997</v>
      </c>
      <c r="J127" s="1">
        <v>2.6523570953636702E-12</v>
      </c>
      <c r="K127" s="1">
        <v>2.8643317632270098E-10</v>
      </c>
      <c r="L127" t="s">
        <v>26</v>
      </c>
      <c r="M127" t="s">
        <v>27</v>
      </c>
      <c r="N127">
        <v>113.63249979549499</v>
      </c>
      <c r="O127">
        <v>64.022283760593297</v>
      </c>
      <c r="P127">
        <v>150.84016182167201</v>
      </c>
      <c r="Q127">
        <v>66.258312974681303</v>
      </c>
      <c r="R127">
        <v>69.403649654232098</v>
      </c>
      <c r="S127">
        <v>56.404888652866397</v>
      </c>
      <c r="T127">
        <v>128.322732036275</v>
      </c>
      <c r="U127">
        <v>152.02922895787299</v>
      </c>
      <c r="V127">
        <v>150.07333927238301</v>
      </c>
      <c r="W127">
        <v>172.93534702015501</v>
      </c>
    </row>
    <row r="128" spans="1:23" x14ac:dyDescent="0.2">
      <c r="A128" t="s">
        <v>277</v>
      </c>
      <c r="B128" s="3" t="str">
        <f>HYPERLINK("http://www.ncbi.nlm.nih.gov/gene/13052","Cxadr")</f>
        <v>Cxadr</v>
      </c>
      <c r="C128">
        <v>13052</v>
      </c>
      <c r="D128" t="s">
        <v>278</v>
      </c>
      <c r="E128" s="3" t="str">
        <f>HYPERLINK("http://genome.ucsc.edu/cgi-bin/hgTracks?db=mm10&amp;lastVirtModeType=default&amp;lastVirtModeExtraState=&amp;virtModeType=default&amp;virtMode=0&amp;nonVirtPosition=&amp;position=chr16:78301670-78340759","chr16:78301670-78340759")</f>
        <v>chr16:78301670-78340759</v>
      </c>
      <c r="F128" t="s">
        <v>30</v>
      </c>
      <c r="G128">
        <v>-0.91221698187562505</v>
      </c>
      <c r="H128">
        <v>0.130528174112851</v>
      </c>
      <c r="I128">
        <v>-6.9886596367075997</v>
      </c>
      <c r="J128" s="1">
        <v>2.7752477748440399E-12</v>
      </c>
      <c r="K128" s="1">
        <v>2.9730674362349201E-10</v>
      </c>
      <c r="L128" t="s">
        <v>26</v>
      </c>
      <c r="M128" t="s">
        <v>27</v>
      </c>
      <c r="N128">
        <v>644.92359564498395</v>
      </c>
      <c r="O128">
        <v>881.19727829665703</v>
      </c>
      <c r="P128">
        <v>467.71833365622899</v>
      </c>
      <c r="Q128">
        <v>807.34919170830096</v>
      </c>
      <c r="R128">
        <v>926.51976013819103</v>
      </c>
      <c r="S128">
        <v>909.72288304347796</v>
      </c>
      <c r="T128">
        <v>545.37161115416995</v>
      </c>
      <c r="U128">
        <v>481.78276782424501</v>
      </c>
      <c r="V128">
        <v>456.105246808223</v>
      </c>
      <c r="W128">
        <v>387.613708838278</v>
      </c>
    </row>
    <row r="129" spans="1:23" x14ac:dyDescent="0.2">
      <c r="A129" t="s">
        <v>279</v>
      </c>
      <c r="B129" s="3" t="str">
        <f>HYPERLINK("http://www.ncbi.nlm.nih.gov/gene/18479","Pak1")</f>
        <v>Pak1</v>
      </c>
      <c r="C129">
        <v>18479</v>
      </c>
      <c r="D129" t="s">
        <v>280</v>
      </c>
      <c r="E129" s="3" t="str">
        <f>HYPERLINK("http://genome.ucsc.edu/cgi-bin/hgTracks?db=mm10&amp;lastVirtModeType=default&amp;lastVirtModeExtraState=&amp;virtModeType=default&amp;virtMode=0&amp;nonVirtPosition=&amp;position=chr7:97842938-97912381","chr7:97842938-97912381")</f>
        <v>chr7:97842938-97912381</v>
      </c>
      <c r="F129" t="s">
        <v>30</v>
      </c>
      <c r="G129">
        <v>-1.12057323893144</v>
      </c>
      <c r="H129">
        <v>0.16072516161726799</v>
      </c>
      <c r="I129">
        <v>-6.9719838988237601</v>
      </c>
      <c r="J129" s="1">
        <v>3.1250232741800801E-12</v>
      </c>
      <c r="K129" s="1">
        <v>3.3212052908369401E-10</v>
      </c>
      <c r="L129" t="s">
        <v>26</v>
      </c>
      <c r="M129" t="s">
        <v>27</v>
      </c>
      <c r="N129">
        <v>532.43497823942096</v>
      </c>
      <c r="O129">
        <v>778.04065647212406</v>
      </c>
      <c r="P129">
        <v>348.23071956489298</v>
      </c>
      <c r="Q129">
        <v>606.34708260023501</v>
      </c>
      <c r="R129">
        <v>934.48411337720097</v>
      </c>
      <c r="S129">
        <v>793.29077343893698</v>
      </c>
      <c r="T129">
        <v>366.63637724650101</v>
      </c>
      <c r="U129">
        <v>351.16610632522799</v>
      </c>
      <c r="V129">
        <v>308.97452203137698</v>
      </c>
      <c r="W129">
        <v>366.145872656466</v>
      </c>
    </row>
    <row r="130" spans="1:23" x14ac:dyDescent="0.2">
      <c r="A130" t="s">
        <v>281</v>
      </c>
      <c r="B130" s="3" t="str">
        <f>HYPERLINK("http://www.ncbi.nlm.nih.gov/gene/59079","Erbin")</f>
        <v>Erbin</v>
      </c>
      <c r="C130">
        <v>59079</v>
      </c>
      <c r="D130" t="s">
        <v>282</v>
      </c>
      <c r="E130" s="3" t="str">
        <f>HYPERLINK("http://genome.ucsc.edu/cgi-bin/hgTracks?db=mm10&amp;lastVirtModeType=default&amp;lastVirtModeExtraState=&amp;virtModeType=default&amp;virtMode=0&amp;nonVirtPosition=&amp;position=chr13:103818785-103920586","chr13:103818785-103920586")</f>
        <v>chr13:103818785-103920586</v>
      </c>
      <c r="F130" t="s">
        <v>25</v>
      </c>
      <c r="G130">
        <v>-0.64212734535351002</v>
      </c>
      <c r="H130">
        <v>9.23337648760819E-2</v>
      </c>
      <c r="I130">
        <v>-6.95441528042626</v>
      </c>
      <c r="J130" s="1">
        <v>3.5402731235989301E-12</v>
      </c>
      <c r="K130" s="1">
        <v>3.7328974329223099E-10</v>
      </c>
      <c r="L130" t="s">
        <v>26</v>
      </c>
      <c r="M130" t="s">
        <v>27</v>
      </c>
      <c r="N130">
        <v>1494.3863585593499</v>
      </c>
      <c r="O130">
        <v>1887.4634616406399</v>
      </c>
      <c r="P130">
        <v>1199.5785312483799</v>
      </c>
      <c r="Q130">
        <v>1929.28617190984</v>
      </c>
      <c r="R130">
        <v>1844.31665720508</v>
      </c>
      <c r="S130">
        <v>1888.78755580699</v>
      </c>
      <c r="T130">
        <v>1205.3170901978699</v>
      </c>
      <c r="U130">
        <v>1122.01853484402</v>
      </c>
      <c r="V130">
        <v>1252.08246785096</v>
      </c>
      <c r="W130">
        <v>1218.89603210068</v>
      </c>
    </row>
    <row r="131" spans="1:23" x14ac:dyDescent="0.2">
      <c r="A131" t="s">
        <v>283</v>
      </c>
      <c r="B131" s="3" t="str">
        <f>HYPERLINK("http://www.ncbi.nlm.nih.gov/gene/96957","Tmem62")</f>
        <v>Tmem62</v>
      </c>
      <c r="C131">
        <v>96957</v>
      </c>
      <c r="D131" t="s">
        <v>284</v>
      </c>
      <c r="E131" s="3" t="str">
        <f>HYPERLINK("http://genome.ucsc.edu/cgi-bin/hgTracks?db=mm10&amp;lastVirtModeType=default&amp;lastVirtModeExtraState=&amp;virtModeType=default&amp;virtMode=0&amp;nonVirtPosition=&amp;position=chr2:120977061-121007842","chr2:120977061-121007842")</f>
        <v>chr2:120977061-121007842</v>
      </c>
      <c r="F131" t="s">
        <v>30</v>
      </c>
      <c r="G131">
        <v>-1.18838289543391</v>
      </c>
      <c r="H131">
        <v>0.17137960371782199</v>
      </c>
      <c r="I131">
        <v>-6.9342142801928297</v>
      </c>
      <c r="J131" s="1">
        <v>4.0848509213153999E-12</v>
      </c>
      <c r="K131" s="1">
        <v>4.2734561474480101E-10</v>
      </c>
      <c r="L131" t="s">
        <v>26</v>
      </c>
      <c r="M131" t="s">
        <v>27</v>
      </c>
      <c r="N131">
        <v>116.004344425056</v>
      </c>
      <c r="O131">
        <v>172.64753068416101</v>
      </c>
      <c r="P131">
        <v>73.521954730726605</v>
      </c>
      <c r="Q131">
        <v>189.30946564194701</v>
      </c>
      <c r="R131">
        <v>170.285457348362</v>
      </c>
      <c r="S131">
        <v>158.34766906217499</v>
      </c>
      <c r="T131">
        <v>77.910230164881497</v>
      </c>
      <c r="U131">
        <v>72.802729360108202</v>
      </c>
      <c r="V131">
        <v>70.622747892886096</v>
      </c>
      <c r="W131">
        <v>72.752111505030598</v>
      </c>
    </row>
    <row r="132" spans="1:23" x14ac:dyDescent="0.2">
      <c r="A132" t="s">
        <v>285</v>
      </c>
      <c r="B132" s="3" t="str">
        <f>HYPERLINK("http://www.ncbi.nlm.nih.gov/gene/319626","9530059O14Rik")</f>
        <v>9530059O14Rik</v>
      </c>
      <c r="C132">
        <v>319626</v>
      </c>
      <c r="D132" t="s">
        <v>286</v>
      </c>
      <c r="E132" s="3" t="str">
        <f>HYPERLINK("http://genome.ucsc.edu/cgi-bin/hgTracks?db=mm10&amp;lastVirtModeType=default&amp;lastVirtModeExtraState=&amp;virtModeType=default&amp;virtMode=0&amp;nonVirtPosition=&amp;position=chr9:122572500-122580647","chr9:122572500-122580647")</f>
        <v>chr9:122572500-122580647</v>
      </c>
      <c r="F132" t="s">
        <v>30</v>
      </c>
      <c r="G132">
        <v>2.3267171310617001</v>
      </c>
      <c r="H132">
        <v>0.33669148239241897</v>
      </c>
      <c r="I132">
        <v>6.9105316075381902</v>
      </c>
      <c r="J132" s="1">
        <v>4.8284083881998096E-12</v>
      </c>
      <c r="K132" s="1">
        <v>5.0121873431305204E-10</v>
      </c>
      <c r="L132" t="s">
        <v>26</v>
      </c>
      <c r="M132" t="s">
        <v>27</v>
      </c>
      <c r="N132">
        <v>60.9604980318191</v>
      </c>
      <c r="O132">
        <v>12.039108482628301</v>
      </c>
      <c r="P132">
        <v>97.651540193712094</v>
      </c>
      <c r="Q132">
        <v>12.2494360121259</v>
      </c>
      <c r="R132">
        <v>8.3436081551535803</v>
      </c>
      <c r="S132">
        <v>15.5242812806054</v>
      </c>
      <c r="T132">
        <v>87.076139596044001</v>
      </c>
      <c r="U132">
        <v>29.9775944423975</v>
      </c>
      <c r="V132">
        <v>147.13072477684599</v>
      </c>
      <c r="W132">
        <v>126.42170195956101</v>
      </c>
    </row>
    <row r="133" spans="1:23" x14ac:dyDescent="0.2">
      <c r="A133" t="s">
        <v>287</v>
      </c>
      <c r="B133" s="3" t="str">
        <f>HYPERLINK("http://www.ncbi.nlm.nih.gov/gene/74568","Mlkl")</f>
        <v>Mlkl</v>
      </c>
      <c r="C133">
        <v>74568</v>
      </c>
      <c r="D133" t="s">
        <v>288</v>
      </c>
      <c r="E133" s="3" t="str">
        <f>HYPERLINK("http://genome.ucsc.edu/cgi-bin/hgTracks?db=mm10&amp;lastVirtModeType=default&amp;lastVirtModeExtraState=&amp;virtModeType=default&amp;virtMode=0&amp;nonVirtPosition=&amp;position=chr8:111311797-111338205","chr8:111311797-111338205")</f>
        <v>chr8:111311797-111338205</v>
      </c>
      <c r="F133" t="s">
        <v>25</v>
      </c>
      <c r="G133">
        <v>1.1841573526340901</v>
      </c>
      <c r="H133">
        <v>0.171412122299583</v>
      </c>
      <c r="I133">
        <v>6.90824742584131</v>
      </c>
      <c r="J133" s="1">
        <v>4.9067764146475699E-12</v>
      </c>
      <c r="K133" s="1">
        <v>5.0543571514265898E-10</v>
      </c>
      <c r="L133" t="s">
        <v>26</v>
      </c>
      <c r="M133" t="s">
        <v>27</v>
      </c>
      <c r="N133">
        <v>110.26066083934001</v>
      </c>
      <c r="O133">
        <v>62.105661613200603</v>
      </c>
      <c r="P133">
        <v>146.376910258945</v>
      </c>
      <c r="Q133">
        <v>59.0200098766068</v>
      </c>
      <c r="R133">
        <v>61.060041499078501</v>
      </c>
      <c r="S133">
        <v>66.2369334639165</v>
      </c>
      <c r="T133">
        <v>155.82046032976299</v>
      </c>
      <c r="U133">
        <v>117.769121023704</v>
      </c>
      <c r="V133">
        <v>154.48726101568801</v>
      </c>
      <c r="W133">
        <v>157.43079866662401</v>
      </c>
    </row>
    <row r="134" spans="1:23" x14ac:dyDescent="0.2">
      <c r="A134" t="s">
        <v>289</v>
      </c>
      <c r="B134" s="3" t="str">
        <f>HYPERLINK("http://www.ncbi.nlm.nih.gov/gene/231798","Lrch4")</f>
        <v>Lrch4</v>
      </c>
      <c r="C134">
        <v>231798</v>
      </c>
      <c r="D134" t="s">
        <v>290</v>
      </c>
      <c r="E134" s="3" t="str">
        <f>HYPERLINK("http://genome.ucsc.edu/cgi-bin/hgTracks?db=mm10&amp;lastVirtModeType=default&amp;lastVirtModeExtraState=&amp;virtModeType=default&amp;virtMode=0&amp;nonVirtPosition=&amp;position=chr5:137629122-137641099","chr5:137629122-137641099")</f>
        <v>chr5:137629122-137641099</v>
      </c>
      <c r="F134" t="s">
        <v>30</v>
      </c>
      <c r="G134">
        <v>1.30725511684273</v>
      </c>
      <c r="H134">
        <v>0.19052040418553501</v>
      </c>
      <c r="I134">
        <v>6.8614966592747599</v>
      </c>
      <c r="J134" s="1">
        <v>6.8142798350826602E-12</v>
      </c>
      <c r="K134" s="1">
        <v>6.9656504787474696E-10</v>
      </c>
      <c r="L134" t="s">
        <v>26</v>
      </c>
      <c r="M134" t="s">
        <v>27</v>
      </c>
      <c r="N134">
        <v>139.45739878197199</v>
      </c>
      <c r="O134">
        <v>71.457746140934105</v>
      </c>
      <c r="P134">
        <v>190.45713826275099</v>
      </c>
      <c r="Q134">
        <v>75.723786256778595</v>
      </c>
      <c r="R134">
        <v>56.888237421501699</v>
      </c>
      <c r="S134">
        <v>81.761214744521894</v>
      </c>
      <c r="T134">
        <v>233.73069049464399</v>
      </c>
      <c r="U134">
        <v>158.45299919553</v>
      </c>
      <c r="V134">
        <v>163.31510450229899</v>
      </c>
      <c r="W134">
        <v>206.329758858529</v>
      </c>
    </row>
    <row r="135" spans="1:23" x14ac:dyDescent="0.2">
      <c r="A135" t="s">
        <v>291</v>
      </c>
      <c r="B135" s="3" t="str">
        <f>HYPERLINK("http://www.ncbi.nlm.nih.gov/gene/104174","Gldc")</f>
        <v>Gldc</v>
      </c>
      <c r="C135">
        <v>104174</v>
      </c>
      <c r="D135" t="s">
        <v>292</v>
      </c>
      <c r="E135" s="3" t="str">
        <f>HYPERLINK("http://genome.ucsc.edu/cgi-bin/hgTracks?db=mm10&amp;lastVirtModeType=default&amp;lastVirtModeExtraState=&amp;virtModeType=default&amp;virtMode=0&amp;nonVirtPosition=&amp;position=chr19:30098440-30175441","chr19:30098440-30175441")</f>
        <v>chr19:30098440-30175441</v>
      </c>
      <c r="F135" t="s">
        <v>25</v>
      </c>
      <c r="G135">
        <v>-0.97542985459201204</v>
      </c>
      <c r="H135">
        <v>0.14227988945933601</v>
      </c>
      <c r="I135">
        <v>-6.8557113608862696</v>
      </c>
      <c r="J135" s="1">
        <v>7.0958521833613597E-12</v>
      </c>
      <c r="K135" s="1">
        <v>7.1985270141963599E-10</v>
      </c>
      <c r="L135" t="s">
        <v>26</v>
      </c>
      <c r="M135" t="s">
        <v>27</v>
      </c>
      <c r="N135">
        <v>261.17851667932803</v>
      </c>
      <c r="O135">
        <v>366.91514740622</v>
      </c>
      <c r="P135">
        <v>181.87604363415801</v>
      </c>
      <c r="Q135">
        <v>319.59892140728601</v>
      </c>
      <c r="R135">
        <v>403.90648569266199</v>
      </c>
      <c r="S135">
        <v>377.240035118712</v>
      </c>
      <c r="T135">
        <v>187.90114333883199</v>
      </c>
      <c r="U135">
        <v>162.735512687301</v>
      </c>
      <c r="V135">
        <v>192.00559583378401</v>
      </c>
      <c r="W135">
        <v>184.861922676717</v>
      </c>
    </row>
    <row r="136" spans="1:23" x14ac:dyDescent="0.2">
      <c r="A136" t="s">
        <v>293</v>
      </c>
      <c r="B136" s="3" t="str">
        <f>HYPERLINK("http://www.ncbi.nlm.nih.gov/gene/21886","Tle2")</f>
        <v>Tle2</v>
      </c>
      <c r="C136">
        <v>21886</v>
      </c>
      <c r="D136" t="s">
        <v>294</v>
      </c>
      <c r="E136" s="3" t="str">
        <f>HYPERLINK("http://genome.ucsc.edu/cgi-bin/hgTracks?db=mm10&amp;lastVirtModeType=default&amp;lastVirtModeExtraState=&amp;virtModeType=default&amp;virtMode=0&amp;nonVirtPosition=&amp;position=chr10:81575286-81590473","chr10:81575286-81590473")</f>
        <v>chr10:81575286-81590473</v>
      </c>
      <c r="F136" t="s">
        <v>30</v>
      </c>
      <c r="G136">
        <v>1.26388544193343</v>
      </c>
      <c r="H136">
        <v>0.184977403779365</v>
      </c>
      <c r="I136">
        <v>6.8326477510785599</v>
      </c>
      <c r="J136" s="1">
        <v>8.3361474185093596E-12</v>
      </c>
      <c r="K136" s="1">
        <v>8.3931842166360098E-10</v>
      </c>
      <c r="L136" t="s">
        <v>26</v>
      </c>
      <c r="M136" t="s">
        <v>27</v>
      </c>
      <c r="N136">
        <v>380.35094972913498</v>
      </c>
      <c r="O136">
        <v>201.59843158665899</v>
      </c>
      <c r="P136">
        <v>514.41533833599306</v>
      </c>
      <c r="Q136">
        <v>192.09342837197499</v>
      </c>
      <c r="R136">
        <v>176.73279092279901</v>
      </c>
      <c r="S136">
        <v>235.96907546520299</v>
      </c>
      <c r="T136">
        <v>604.95002245672697</v>
      </c>
      <c r="U136">
        <v>453.94643012773298</v>
      </c>
      <c r="V136">
        <v>377.39030905261001</v>
      </c>
      <c r="W136">
        <v>621.37459170690101</v>
      </c>
    </row>
    <row r="137" spans="1:23" x14ac:dyDescent="0.2">
      <c r="A137" t="s">
        <v>295</v>
      </c>
      <c r="B137" s="3" t="str">
        <f>HYPERLINK("http://www.ncbi.nlm.nih.gov/gene/434341","Nlrc5")</f>
        <v>Nlrc5</v>
      </c>
      <c r="C137">
        <v>434341</v>
      </c>
      <c r="D137" t="s">
        <v>296</v>
      </c>
      <c r="E137" s="3" t="str">
        <f>HYPERLINK("http://genome.ucsc.edu/cgi-bin/hgTracks?db=mm10&amp;lastVirtModeType=default&amp;lastVirtModeExtraState=&amp;virtModeType=default&amp;virtMode=0&amp;nonVirtPosition=&amp;position=chr8:94472762-94527272","chr8:94472762-94527272")</f>
        <v>chr8:94472762-94527272</v>
      </c>
      <c r="F137" t="s">
        <v>30</v>
      </c>
      <c r="G137">
        <v>2.49825308517836</v>
      </c>
      <c r="H137">
        <v>0.36599570690247901</v>
      </c>
      <c r="I137">
        <v>6.8259081679447897</v>
      </c>
      <c r="J137" s="1">
        <v>8.7370808817765894E-12</v>
      </c>
      <c r="K137" s="1">
        <v>8.73121269312465E-10</v>
      </c>
      <c r="L137" t="s">
        <v>26</v>
      </c>
      <c r="M137" t="s">
        <v>27</v>
      </c>
      <c r="N137">
        <v>869.02051951120802</v>
      </c>
      <c r="O137">
        <v>112.16633315504301</v>
      </c>
      <c r="P137">
        <v>1436.6611592783299</v>
      </c>
      <c r="Q137">
        <v>108.01775392511099</v>
      </c>
      <c r="R137">
        <v>60.301531666791803</v>
      </c>
      <c r="S137">
        <v>168.17971387322501</v>
      </c>
      <c r="T137">
        <v>1966.0875729843599</v>
      </c>
      <c r="U137">
        <v>650.94205074920296</v>
      </c>
      <c r="V137">
        <v>1297.69299253178</v>
      </c>
      <c r="W137">
        <v>1831.9220208479801</v>
      </c>
    </row>
    <row r="138" spans="1:23" x14ac:dyDescent="0.2">
      <c r="A138" t="s">
        <v>297</v>
      </c>
      <c r="B138" s="3" t="str">
        <f>HYPERLINK("http://www.ncbi.nlm.nih.gov/gene/105651","Ppp1r3e")</f>
        <v>Ppp1r3e</v>
      </c>
      <c r="C138">
        <v>105651</v>
      </c>
      <c r="D138" t="s">
        <v>298</v>
      </c>
      <c r="E138" s="3" t="str">
        <f>HYPERLINK("http://genome.ucsc.edu/cgi-bin/hgTracks?db=mm10&amp;lastVirtModeType=default&amp;lastVirtModeExtraState=&amp;virtModeType=default&amp;virtMode=0&amp;nonVirtPosition=&amp;position=chr14:54875596-54877538","chr14:54875596-54877538")</f>
        <v>chr14:54875596-54877538</v>
      </c>
      <c r="F138" t="s">
        <v>25</v>
      </c>
      <c r="G138">
        <v>1.9269861484627999</v>
      </c>
      <c r="H138">
        <v>0.28265685047957401</v>
      </c>
      <c r="I138">
        <v>6.8174047265911</v>
      </c>
      <c r="J138" s="1">
        <v>9.2699839536732905E-12</v>
      </c>
      <c r="K138" s="1">
        <v>9.1951374165658497E-10</v>
      </c>
      <c r="L138" t="s">
        <v>26</v>
      </c>
      <c r="M138" t="s">
        <v>27</v>
      </c>
      <c r="N138">
        <v>33.8533705968606</v>
      </c>
      <c r="O138">
        <v>10.5058143953529</v>
      </c>
      <c r="P138">
        <v>51.364037747991397</v>
      </c>
      <c r="Q138">
        <v>7.2383030980744296</v>
      </c>
      <c r="R138">
        <v>12.894667148873699</v>
      </c>
      <c r="S138">
        <v>11.3844729391106</v>
      </c>
      <c r="T138">
        <v>45.829547155812598</v>
      </c>
      <c r="U138">
        <v>62.096445630680499</v>
      </c>
      <c r="V138">
        <v>42.6679101852854</v>
      </c>
      <c r="W138">
        <v>54.862248020187003</v>
      </c>
    </row>
    <row r="139" spans="1:23" x14ac:dyDescent="0.2">
      <c r="A139" t="s">
        <v>299</v>
      </c>
      <c r="B139" s="3" t="str">
        <f>HYPERLINK("http://www.ncbi.nlm.nih.gov/gene/106205","Zc3h7a")</f>
        <v>Zc3h7a</v>
      </c>
      <c r="C139">
        <v>106205</v>
      </c>
      <c r="D139" t="s">
        <v>300</v>
      </c>
      <c r="E139" s="3" t="str">
        <f>HYPERLINK("http://genome.ucsc.edu/cgi-bin/hgTracks?db=mm10&amp;lastVirtModeType=default&amp;lastVirtModeExtraState=&amp;virtModeType=default&amp;virtMode=0&amp;nonVirtPosition=&amp;position=chr16:11136593-11176393","chr16:11136593-11176393")</f>
        <v>chr16:11136593-11176393</v>
      </c>
      <c r="F139" t="s">
        <v>25</v>
      </c>
      <c r="G139">
        <v>0.74133234697572703</v>
      </c>
      <c r="H139">
        <v>0.109042929371349</v>
      </c>
      <c r="I139">
        <v>6.7985366061755004</v>
      </c>
      <c r="J139" s="1">
        <v>1.0568716094290299E-11</v>
      </c>
      <c r="K139" s="1">
        <v>1.0406299795488299E-9</v>
      </c>
      <c r="L139" t="s">
        <v>26</v>
      </c>
      <c r="M139" t="s">
        <v>27</v>
      </c>
      <c r="N139">
        <v>498.12879190954499</v>
      </c>
      <c r="O139">
        <v>357.41924305879701</v>
      </c>
      <c r="P139">
        <v>603.66095354760705</v>
      </c>
      <c r="Q139">
        <v>367.48308036377801</v>
      </c>
      <c r="R139">
        <v>333.744326206143</v>
      </c>
      <c r="S139">
        <v>371.03032260647001</v>
      </c>
      <c r="T139">
        <v>637.03070546579602</v>
      </c>
      <c r="U139">
        <v>554.58549718435404</v>
      </c>
      <c r="V139">
        <v>632.66211654043798</v>
      </c>
      <c r="W139">
        <v>590.36549499983903</v>
      </c>
    </row>
    <row r="140" spans="1:23" x14ac:dyDescent="0.2">
      <c r="A140" t="s">
        <v>301</v>
      </c>
      <c r="B140" s="3" t="str">
        <f>HYPERLINK("http://www.ncbi.nlm.nih.gov/gene/12876","Cpe")</f>
        <v>Cpe</v>
      </c>
      <c r="C140">
        <v>12876</v>
      </c>
      <c r="D140" t="s">
        <v>302</v>
      </c>
      <c r="E140" s="3" t="str">
        <f>HYPERLINK("http://genome.ucsc.edu/cgi-bin/hgTracks?db=mm10&amp;lastVirtModeType=default&amp;lastVirtModeExtraState=&amp;virtModeType=default&amp;virtMode=0&amp;nonVirtPosition=&amp;position=chr8:64592550-64693109","chr8:64592550-64693109")</f>
        <v>chr8:64592550-64693109</v>
      </c>
      <c r="F140" t="s">
        <v>25</v>
      </c>
      <c r="G140">
        <v>-1.0201960434307999</v>
      </c>
      <c r="H140">
        <v>0.150116073287753</v>
      </c>
      <c r="I140">
        <v>-6.7960480252851596</v>
      </c>
      <c r="J140" s="1">
        <v>1.0752794657294E-11</v>
      </c>
      <c r="K140" s="1">
        <v>1.0510268120863101E-9</v>
      </c>
      <c r="L140" t="s">
        <v>26</v>
      </c>
      <c r="M140" t="s">
        <v>27</v>
      </c>
      <c r="N140">
        <v>1973.8402350751001</v>
      </c>
      <c r="O140">
        <v>2811.2172583158199</v>
      </c>
      <c r="P140">
        <v>1345.8074676445599</v>
      </c>
      <c r="Q140">
        <v>3410.3543442850701</v>
      </c>
      <c r="R140">
        <v>2670.3338645652898</v>
      </c>
      <c r="S140">
        <v>2352.9635660970998</v>
      </c>
      <c r="T140">
        <v>1177.81936190438</v>
      </c>
      <c r="U140">
        <v>1473.18464116925</v>
      </c>
      <c r="V140">
        <v>1315.3486795050001</v>
      </c>
      <c r="W140">
        <v>1416.87718799961</v>
      </c>
    </row>
    <row r="141" spans="1:23" x14ac:dyDescent="0.2">
      <c r="A141" t="s">
        <v>303</v>
      </c>
      <c r="B141" s="3" t="str">
        <f>HYPERLINK("http://www.ncbi.nlm.nih.gov/gene/13593","Ebf3")</f>
        <v>Ebf3</v>
      </c>
      <c r="C141">
        <v>13593</v>
      </c>
      <c r="D141" t="s">
        <v>304</v>
      </c>
      <c r="E141" s="3" t="str">
        <f>HYPERLINK("http://genome.ucsc.edu/cgi-bin/hgTracks?db=mm10&amp;lastVirtModeType=default&amp;lastVirtModeExtraState=&amp;virtModeType=default&amp;virtMode=0&amp;nonVirtPosition=&amp;position=chr7:137193670-137314445","chr7:137193670-137314445")</f>
        <v>chr7:137193670-137314445</v>
      </c>
      <c r="F141" t="s">
        <v>25</v>
      </c>
      <c r="G141">
        <v>1.9012522379652601</v>
      </c>
      <c r="H141">
        <v>0.28105486916219802</v>
      </c>
      <c r="I141">
        <v>6.7647012970554101</v>
      </c>
      <c r="J141" s="1">
        <v>1.33584511685699E-11</v>
      </c>
      <c r="K141" s="1">
        <v>1.2962537652052099E-9</v>
      </c>
      <c r="L141" t="s">
        <v>26</v>
      </c>
      <c r="M141" t="s">
        <v>27</v>
      </c>
      <c r="N141">
        <v>57.022489732857601</v>
      </c>
      <c r="O141">
        <v>18.101976421146201</v>
      </c>
      <c r="P141">
        <v>86.212874716641096</v>
      </c>
      <c r="Q141">
        <v>10.0222658281031</v>
      </c>
      <c r="R141">
        <v>20.479765471740599</v>
      </c>
      <c r="S141">
        <v>23.803897963594999</v>
      </c>
      <c r="T141">
        <v>77.910230164881497</v>
      </c>
      <c r="U141">
        <v>119.91037776959</v>
      </c>
      <c r="V141">
        <v>64.737518901812294</v>
      </c>
      <c r="W141">
        <v>82.293372030280594</v>
      </c>
    </row>
    <row r="142" spans="1:23" x14ac:dyDescent="0.2">
      <c r="A142" t="s">
        <v>305</v>
      </c>
      <c r="B142" s="3" t="str">
        <f>HYPERLINK("http://www.ncbi.nlm.nih.gov/gene/13717","Eln")</f>
        <v>Eln</v>
      </c>
      <c r="C142">
        <v>13717</v>
      </c>
      <c r="D142" t="s">
        <v>306</v>
      </c>
      <c r="E142" s="3" t="str">
        <f>HYPERLINK("http://genome.ucsc.edu/cgi-bin/hgTracks?db=mm10&amp;lastVirtModeType=default&amp;lastVirtModeExtraState=&amp;virtModeType=default&amp;virtMode=0&amp;nonVirtPosition=&amp;position=chr5:134702594-134747323","chr5:134702594-134747323")</f>
        <v>chr5:134702594-134747323</v>
      </c>
      <c r="F142" t="s">
        <v>25</v>
      </c>
      <c r="G142">
        <v>1.2476858335249299</v>
      </c>
      <c r="H142">
        <v>0.18460270267201501</v>
      </c>
      <c r="I142">
        <v>6.7587625504145601</v>
      </c>
      <c r="J142" s="1">
        <v>1.3917526533372E-11</v>
      </c>
      <c r="K142" s="1">
        <v>1.3407884734416099E-9</v>
      </c>
      <c r="L142" t="s">
        <v>26</v>
      </c>
      <c r="M142" t="s">
        <v>27</v>
      </c>
      <c r="N142">
        <v>127.21855374038</v>
      </c>
      <c r="O142">
        <v>66.594936037078796</v>
      </c>
      <c r="P142">
        <v>172.68626701785601</v>
      </c>
      <c r="Q142">
        <v>57.349632238589699</v>
      </c>
      <c r="R142">
        <v>72.058434067235495</v>
      </c>
      <c r="S142">
        <v>70.376741805411299</v>
      </c>
      <c r="T142">
        <v>206.23296220115699</v>
      </c>
      <c r="U142">
        <v>192.71310712969799</v>
      </c>
      <c r="V142">
        <v>142.716803033541</v>
      </c>
      <c r="W142">
        <v>149.08219570703</v>
      </c>
    </row>
    <row r="143" spans="1:23" x14ac:dyDescent="0.2">
      <c r="A143" t="s">
        <v>307</v>
      </c>
      <c r="B143" s="3" t="str">
        <f>HYPERLINK("http://www.ncbi.nlm.nih.gov/gene/14402","Gabrb3")</f>
        <v>Gabrb3</v>
      </c>
      <c r="C143">
        <v>14402</v>
      </c>
      <c r="D143" t="s">
        <v>308</v>
      </c>
      <c r="E143" s="3" t="str">
        <f>HYPERLINK("http://genome.ucsc.edu/cgi-bin/hgTracks?db=mm10&amp;lastVirtModeType=default&amp;lastVirtModeExtraState=&amp;virtModeType=default&amp;virtMode=0&amp;nonVirtPosition=&amp;position=chr7:57590517-57828801","chr7:57590517-57828801")</f>
        <v>chr7:57590517-57828801</v>
      </c>
      <c r="F143" t="s">
        <v>30</v>
      </c>
      <c r="G143">
        <v>-0.86504779644000795</v>
      </c>
      <c r="H143">
        <v>0.12816212879238401</v>
      </c>
      <c r="I143">
        <v>-6.7496366094335301</v>
      </c>
      <c r="J143" s="1">
        <v>1.4821590054216E-11</v>
      </c>
      <c r="K143" s="1">
        <v>1.4176850886857601E-9</v>
      </c>
      <c r="L143" t="s">
        <v>26</v>
      </c>
      <c r="M143" t="s">
        <v>27</v>
      </c>
      <c r="N143">
        <v>542.683027080682</v>
      </c>
      <c r="O143">
        <v>736.93934698501596</v>
      </c>
      <c r="P143">
        <v>396.99078715243098</v>
      </c>
      <c r="Q143">
        <v>807.34919170830096</v>
      </c>
      <c r="R143">
        <v>739.54708647952202</v>
      </c>
      <c r="S143">
        <v>663.92176276722603</v>
      </c>
      <c r="T143">
        <v>357.47046781533902</v>
      </c>
      <c r="U143">
        <v>464.65271385716102</v>
      </c>
      <c r="V143">
        <v>381.80423079591498</v>
      </c>
      <c r="W143">
        <v>384.03573614130897</v>
      </c>
    </row>
    <row r="144" spans="1:23" x14ac:dyDescent="0.2">
      <c r="A144" t="s">
        <v>309</v>
      </c>
      <c r="B144" s="3" t="str">
        <f>HYPERLINK("http://www.ncbi.nlm.nih.gov/gene/223970","Rmi2")</f>
        <v>Rmi2</v>
      </c>
      <c r="C144">
        <v>223970</v>
      </c>
      <c r="D144" t="s">
        <v>310</v>
      </c>
      <c r="E144" s="3" t="str">
        <f>HYPERLINK("http://genome.ucsc.edu/cgi-bin/hgTracks?db=mm10&amp;lastVirtModeType=default&amp;lastVirtModeExtraState=&amp;virtModeType=default&amp;virtMode=0&amp;nonVirtPosition=&amp;position=chr16:10835058-10843235","chr16:10835058-10843235")</f>
        <v>chr16:10835058-10843235</v>
      </c>
      <c r="F144" t="s">
        <v>30</v>
      </c>
      <c r="G144">
        <v>2.0573328481366202</v>
      </c>
      <c r="H144">
        <v>0.30511881840885302</v>
      </c>
      <c r="I144">
        <v>6.7427268461030598</v>
      </c>
      <c r="J144" s="1">
        <v>1.55441278600669E-11</v>
      </c>
      <c r="K144" s="1">
        <v>1.47625117854011E-9</v>
      </c>
      <c r="L144" t="s">
        <v>26</v>
      </c>
      <c r="M144" t="s">
        <v>27</v>
      </c>
      <c r="N144">
        <v>56.721366401221701</v>
      </c>
      <c r="O144">
        <v>14.765857850793701</v>
      </c>
      <c r="P144">
        <v>88.187997814042802</v>
      </c>
      <c r="Q144">
        <v>5.5679254600572499</v>
      </c>
      <c r="R144">
        <v>20.1005105555973</v>
      </c>
      <c r="S144">
        <v>18.6291375367265</v>
      </c>
      <c r="T144">
        <v>119.15682260511301</v>
      </c>
      <c r="U144">
        <v>85.650269835421398</v>
      </c>
      <c r="V144">
        <v>63.266211654043801</v>
      </c>
      <c r="W144">
        <v>84.678687161593004</v>
      </c>
    </row>
    <row r="145" spans="1:23" x14ac:dyDescent="0.2">
      <c r="A145" t="s">
        <v>311</v>
      </c>
      <c r="B145" s="3" t="str">
        <f>HYPERLINK("http://www.ncbi.nlm.nih.gov/gene/20272","Scn7a")</f>
        <v>Scn7a</v>
      </c>
      <c r="C145">
        <v>20272</v>
      </c>
      <c r="D145" t="s">
        <v>312</v>
      </c>
      <c r="E145" s="3" t="str">
        <f>HYPERLINK("http://genome.ucsc.edu/cgi-bin/hgTracks?db=mm10&amp;lastVirtModeType=default&amp;lastVirtModeExtraState=&amp;virtModeType=default&amp;virtMode=0&amp;nonVirtPosition=&amp;position=chr2:66673425-66784910","chr2:66673425-66784910")</f>
        <v>chr2:66673425-66784910</v>
      </c>
      <c r="F145" t="s">
        <v>25</v>
      </c>
      <c r="G145">
        <v>-1.87976222057048</v>
      </c>
      <c r="H145">
        <v>0.27886849165857802</v>
      </c>
      <c r="I145">
        <v>-6.7406762570792296</v>
      </c>
      <c r="J145" s="1">
        <v>1.5765112838082501E-11</v>
      </c>
      <c r="K145" s="1">
        <v>1.4866945493997301E-9</v>
      </c>
      <c r="L145" t="s">
        <v>26</v>
      </c>
      <c r="M145" t="s">
        <v>27</v>
      </c>
      <c r="N145">
        <v>148.033163730404</v>
      </c>
      <c r="O145">
        <v>267.34315015055603</v>
      </c>
      <c r="P145">
        <v>58.550673915290098</v>
      </c>
      <c r="Q145">
        <v>440.422903890528</v>
      </c>
      <c r="R145">
        <v>182.04235974880501</v>
      </c>
      <c r="S145">
        <v>179.564186812336</v>
      </c>
      <c r="T145">
        <v>64.161366018137699</v>
      </c>
      <c r="U145">
        <v>49.248905155367297</v>
      </c>
      <c r="V145">
        <v>64.737518901812294</v>
      </c>
      <c r="W145">
        <v>56.054905585843301</v>
      </c>
    </row>
    <row r="146" spans="1:23" x14ac:dyDescent="0.2">
      <c r="A146" t="s">
        <v>313</v>
      </c>
      <c r="B146" s="3" t="str">
        <f>HYPERLINK("http://www.ncbi.nlm.nih.gov/gene/319899","Dock6")</f>
        <v>Dock6</v>
      </c>
      <c r="C146">
        <v>319899</v>
      </c>
      <c r="D146" t="s">
        <v>314</v>
      </c>
      <c r="E146" s="3" t="str">
        <f>HYPERLINK("http://genome.ucsc.edu/cgi-bin/hgTracks?db=mm10&amp;lastVirtModeType=default&amp;lastVirtModeExtraState=&amp;virtModeType=default&amp;virtMode=0&amp;nonVirtPosition=&amp;position=chr9:21800179-21852635","chr9:21800179-21852635")</f>
        <v>chr9:21800179-21852635</v>
      </c>
      <c r="F146" t="s">
        <v>25</v>
      </c>
      <c r="G146">
        <v>1.1113932753348601</v>
      </c>
      <c r="H146">
        <v>0.16512678406786699</v>
      </c>
      <c r="I146">
        <v>6.7305451481334302</v>
      </c>
      <c r="J146" s="1">
        <v>1.6902858982596001E-11</v>
      </c>
      <c r="K146" s="1">
        <v>1.5828404519996E-9</v>
      </c>
      <c r="L146" t="s">
        <v>26</v>
      </c>
      <c r="M146" t="s">
        <v>27</v>
      </c>
      <c r="N146">
        <v>169.856887430071</v>
      </c>
      <c r="O146">
        <v>100.833065942888</v>
      </c>
      <c r="P146">
        <v>221.62475354545799</v>
      </c>
      <c r="Q146">
        <v>115.25605702318499</v>
      </c>
      <c r="R146">
        <v>81.160552054675705</v>
      </c>
      <c r="S146">
        <v>106.08258875080401</v>
      </c>
      <c r="T146">
        <v>197.06705276999401</v>
      </c>
      <c r="U146">
        <v>224.83195831798099</v>
      </c>
      <c r="V146">
        <v>242.76569588179601</v>
      </c>
      <c r="W146">
        <v>221.83430721206099</v>
      </c>
    </row>
    <row r="147" spans="1:23" x14ac:dyDescent="0.2">
      <c r="A147" t="s">
        <v>315</v>
      </c>
      <c r="B147" s="3" t="str">
        <f>HYPERLINK("http://www.ncbi.nlm.nih.gov/gene/19378","Aldh1a2")</f>
        <v>Aldh1a2</v>
      </c>
      <c r="C147">
        <v>19378</v>
      </c>
      <c r="D147" t="s">
        <v>316</v>
      </c>
      <c r="E147" s="3" t="str">
        <f>HYPERLINK("http://genome.ucsc.edu/cgi-bin/hgTracks?db=mm10&amp;lastVirtModeType=default&amp;lastVirtModeExtraState=&amp;virtModeType=default&amp;virtMode=0&amp;nonVirtPosition=&amp;position=chr9:71215788-71296243","chr9:71215788-71296243")</f>
        <v>chr9:71215788-71296243</v>
      </c>
      <c r="F147" t="s">
        <v>30</v>
      </c>
      <c r="G147">
        <v>-2.02735699639249</v>
      </c>
      <c r="H147">
        <v>0.30163590153237202</v>
      </c>
      <c r="I147">
        <v>-6.7212058846215097</v>
      </c>
      <c r="J147" s="1">
        <v>1.80226722132151E-11</v>
      </c>
      <c r="K147" s="1">
        <v>1.67598335838308E-9</v>
      </c>
      <c r="L147" t="s">
        <v>26</v>
      </c>
      <c r="M147" t="s">
        <v>27</v>
      </c>
      <c r="N147">
        <v>38.626887170579998</v>
      </c>
      <c r="O147">
        <v>71.986461443075399</v>
      </c>
      <c r="P147">
        <v>13.607206466208501</v>
      </c>
      <c r="Q147">
        <v>72.383030980744294</v>
      </c>
      <c r="R147">
        <v>67.507375073515306</v>
      </c>
      <c r="S147">
        <v>76.068978274966597</v>
      </c>
      <c r="T147">
        <v>22.914773577906299</v>
      </c>
      <c r="U147">
        <v>6.4237702376566101</v>
      </c>
      <c r="V147">
        <v>19.126994220989999</v>
      </c>
      <c r="W147">
        <v>5.9632878282812003</v>
      </c>
    </row>
    <row r="148" spans="1:23" x14ac:dyDescent="0.2">
      <c r="A148" t="s">
        <v>317</v>
      </c>
      <c r="B148" s="3" t="str">
        <f>HYPERLINK("http://www.ncbi.nlm.nih.gov/gene/353326","Rtl1")</f>
        <v>Rtl1</v>
      </c>
      <c r="C148">
        <v>353326</v>
      </c>
      <c r="D148" t="s">
        <v>318</v>
      </c>
      <c r="E148" s="3" t="str">
        <f>HYPERLINK("http://genome.ucsc.edu/cgi-bin/hgTracks?db=mm10&amp;lastVirtModeType=default&amp;lastVirtModeExtraState=&amp;virtModeType=default&amp;virtMode=0&amp;nonVirtPosition=&amp;position=chr12:109590168-109595403","chr12:109590168-109595403")</f>
        <v>chr12:109590168-109595403</v>
      </c>
      <c r="F148" t="s">
        <v>25</v>
      </c>
      <c r="G148">
        <v>1.5284108702787</v>
      </c>
      <c r="H148">
        <v>0.228062672503553</v>
      </c>
      <c r="I148">
        <v>6.7017142853786904</v>
      </c>
      <c r="J148" s="1">
        <v>2.05988502469305E-11</v>
      </c>
      <c r="K148" s="1">
        <v>1.8894383008213501E-9</v>
      </c>
      <c r="L148" t="s">
        <v>26</v>
      </c>
      <c r="M148" t="s">
        <v>27</v>
      </c>
      <c r="N148">
        <v>70.171797322600199</v>
      </c>
      <c r="O148">
        <v>31.712966828518699</v>
      </c>
      <c r="P148">
        <v>99.015920193161506</v>
      </c>
      <c r="Q148">
        <v>25.055664570257601</v>
      </c>
      <c r="R148">
        <v>29.202628543037498</v>
      </c>
      <c r="S148">
        <v>40.880607372260997</v>
      </c>
      <c r="T148">
        <v>87.076139596044001</v>
      </c>
      <c r="U148">
        <v>83.509013089535898</v>
      </c>
      <c r="V148">
        <v>107.405429087098</v>
      </c>
      <c r="W148">
        <v>118.073098999968</v>
      </c>
    </row>
    <row r="149" spans="1:23" x14ac:dyDescent="0.2">
      <c r="A149" t="s">
        <v>319</v>
      </c>
      <c r="B149" s="3" t="str">
        <f>HYPERLINK("http://www.ncbi.nlm.nih.gov/gene/18611","Pea15a")</f>
        <v>Pea15a</v>
      </c>
      <c r="C149">
        <v>18611</v>
      </c>
      <c r="D149" t="s">
        <v>320</v>
      </c>
      <c r="E149" s="3" t="str">
        <f>HYPERLINK("http://genome.ucsc.edu/cgi-bin/hgTracks?db=mm10&amp;lastVirtModeType=default&amp;lastVirtModeExtraState=&amp;virtModeType=default&amp;virtMode=0&amp;nonVirtPosition=&amp;position=chr1:172196727-172206804","chr1:172196727-172206804")</f>
        <v>chr1:172196727-172206804</v>
      </c>
      <c r="F149" t="s">
        <v>25</v>
      </c>
      <c r="G149">
        <v>-1.0026337915905701</v>
      </c>
      <c r="H149">
        <v>0.14960877733466801</v>
      </c>
      <c r="I149">
        <v>-6.7017043348180501</v>
      </c>
      <c r="J149" s="1">
        <v>2.06002532984779E-11</v>
      </c>
      <c r="K149" s="1">
        <v>1.8894383008213501E-9</v>
      </c>
      <c r="L149" t="s">
        <v>26</v>
      </c>
      <c r="M149" t="s">
        <v>27</v>
      </c>
      <c r="N149">
        <v>2172.71138653144</v>
      </c>
      <c r="O149">
        <v>3072.7898168093002</v>
      </c>
      <c r="P149">
        <v>1497.6525638230401</v>
      </c>
      <c r="Q149">
        <v>3576.8353155407799</v>
      </c>
      <c r="R149">
        <v>3203.1870217466899</v>
      </c>
      <c r="S149">
        <v>2438.3471131404299</v>
      </c>
      <c r="T149">
        <v>1585.7023315911199</v>
      </c>
      <c r="U149">
        <v>1618.79009988946</v>
      </c>
      <c r="V149">
        <v>1410.98365060995</v>
      </c>
      <c r="W149">
        <v>1375.1341732016399</v>
      </c>
    </row>
    <row r="150" spans="1:23" x14ac:dyDescent="0.2">
      <c r="A150" t="s">
        <v>321</v>
      </c>
      <c r="B150" s="3" t="str">
        <f>HYPERLINK("http://www.ncbi.nlm.nih.gov/gene/330409","Cecr2")</f>
        <v>Cecr2</v>
      </c>
      <c r="C150">
        <v>330409</v>
      </c>
      <c r="D150" t="s">
        <v>322</v>
      </c>
      <c r="E150" s="3" t="str">
        <f>HYPERLINK("http://genome.ucsc.edu/cgi-bin/hgTracks?db=mm10&amp;lastVirtModeType=default&amp;lastVirtModeExtraState=&amp;virtModeType=default&amp;virtMode=0&amp;nonVirtPosition=&amp;position=chr6:120666420-120771191","chr6:120666420-120771191")</f>
        <v>chr6:120666420-120771191</v>
      </c>
      <c r="F150" t="s">
        <v>30</v>
      </c>
      <c r="G150">
        <v>1.8124666506440199</v>
      </c>
      <c r="H150">
        <v>0.27050781978432498</v>
      </c>
      <c r="I150">
        <v>6.7002375461422599</v>
      </c>
      <c r="J150" s="1">
        <v>2.0808100533572E-11</v>
      </c>
      <c r="K150" s="1">
        <v>1.8955188724153899E-9</v>
      </c>
      <c r="L150" t="s">
        <v>26</v>
      </c>
      <c r="M150" t="s">
        <v>27</v>
      </c>
      <c r="N150">
        <v>80.111730500309406</v>
      </c>
      <c r="O150">
        <v>26.841753426942098</v>
      </c>
      <c r="P150">
        <v>120.064213305335</v>
      </c>
      <c r="Q150">
        <v>30.623590030314901</v>
      </c>
      <c r="R150">
        <v>29.202628543037498</v>
      </c>
      <c r="S150">
        <v>20.699041707473899</v>
      </c>
      <c r="T150">
        <v>201.650007485576</v>
      </c>
      <c r="U150">
        <v>70.661472614222703</v>
      </c>
      <c r="V150">
        <v>102.99150734379199</v>
      </c>
      <c r="W150">
        <v>104.953865777749</v>
      </c>
    </row>
    <row r="151" spans="1:23" x14ac:dyDescent="0.2">
      <c r="A151" t="s">
        <v>323</v>
      </c>
      <c r="B151" s="3" t="str">
        <f>HYPERLINK("http://www.ncbi.nlm.nih.gov/gene/57265","Fzd2")</f>
        <v>Fzd2</v>
      </c>
      <c r="C151">
        <v>57265</v>
      </c>
      <c r="D151" t="s">
        <v>324</v>
      </c>
      <c r="E151" s="3" t="str">
        <f>HYPERLINK("http://genome.ucsc.edu/cgi-bin/hgTracks?db=mm10&amp;lastVirtModeType=default&amp;lastVirtModeExtraState=&amp;virtModeType=default&amp;virtMode=0&amp;nonVirtPosition=&amp;position=chr11:102604430-102608058","chr11:102604430-102608058")</f>
        <v>chr11:102604430-102608058</v>
      </c>
      <c r="F151" t="s">
        <v>30</v>
      </c>
      <c r="G151">
        <v>2.1023439376367601</v>
      </c>
      <c r="H151">
        <v>0.31495623313500598</v>
      </c>
      <c r="I151">
        <v>6.6750351841285598</v>
      </c>
      <c r="J151" s="1">
        <v>2.47172858401326E-11</v>
      </c>
      <c r="K151" s="1">
        <v>2.2364133424676701E-9</v>
      </c>
      <c r="L151" t="s">
        <v>26</v>
      </c>
      <c r="M151" t="s">
        <v>27</v>
      </c>
      <c r="N151">
        <v>44.9435092604147</v>
      </c>
      <c r="O151">
        <v>11.730017777698199</v>
      </c>
      <c r="P151">
        <v>69.853627872452094</v>
      </c>
      <c r="Q151">
        <v>20.601324202211799</v>
      </c>
      <c r="R151">
        <v>6.8265884905801997</v>
      </c>
      <c r="S151">
        <v>7.7621406403027198</v>
      </c>
      <c r="T151">
        <v>64.161366018137699</v>
      </c>
      <c r="U151">
        <v>53.531418647138402</v>
      </c>
      <c r="V151">
        <v>69.887094269001906</v>
      </c>
      <c r="W151">
        <v>91.834632555530504</v>
      </c>
    </row>
    <row r="152" spans="1:23" x14ac:dyDescent="0.2">
      <c r="A152" t="s">
        <v>325</v>
      </c>
      <c r="B152" s="3" t="str">
        <f>HYPERLINK("http://www.ncbi.nlm.nih.gov/gene/384569","Nova2")</f>
        <v>Nova2</v>
      </c>
      <c r="C152">
        <v>384569</v>
      </c>
      <c r="D152" t="s">
        <v>326</v>
      </c>
      <c r="E152" s="3" t="str">
        <f>HYPERLINK("http://genome.ucsc.edu/cgi-bin/hgTracks?db=mm10&amp;lastVirtModeType=default&amp;lastVirtModeExtraState=&amp;virtModeType=default&amp;virtMode=0&amp;nonVirtPosition=&amp;position=chr7:18925887-18965319","chr7:18925887-18965319")</f>
        <v>chr7:18925887-18965319</v>
      </c>
      <c r="F152" t="s">
        <v>30</v>
      </c>
      <c r="G152">
        <v>1.2525004351996301</v>
      </c>
      <c r="H152">
        <v>0.18778571834824401</v>
      </c>
      <c r="I152">
        <v>6.6698386129497402</v>
      </c>
      <c r="J152" s="1">
        <v>2.5608487444259399E-11</v>
      </c>
      <c r="K152" s="1">
        <v>2.3014983581615899E-9</v>
      </c>
      <c r="L152" t="s">
        <v>26</v>
      </c>
      <c r="M152" t="s">
        <v>27</v>
      </c>
      <c r="N152">
        <v>250.409845525077</v>
      </c>
      <c r="O152">
        <v>134.13655342451</v>
      </c>
      <c r="P152">
        <v>337.61481460050197</v>
      </c>
      <c r="Q152">
        <v>136.414173771403</v>
      </c>
      <c r="R152">
        <v>93.675964287406103</v>
      </c>
      <c r="S152">
        <v>172.31952221472</v>
      </c>
      <c r="T152">
        <v>348.304558384176</v>
      </c>
      <c r="U152">
        <v>351.16610632522799</v>
      </c>
      <c r="V152">
        <v>307.50321478360797</v>
      </c>
      <c r="W152">
        <v>343.48537890899701</v>
      </c>
    </row>
    <row r="153" spans="1:23" x14ac:dyDescent="0.2">
      <c r="A153" t="s">
        <v>327</v>
      </c>
      <c r="B153" s="3" t="str">
        <f>HYPERLINK("http://www.ncbi.nlm.nih.gov/gene/110557","H2-Q6")</f>
        <v>H2-Q6</v>
      </c>
      <c r="C153">
        <v>110557</v>
      </c>
      <c r="D153" t="s">
        <v>328</v>
      </c>
      <c r="E153" s="3" t="str">
        <f>HYPERLINK("http://genome.ucsc.edu/cgi-bin/hgTracks?db=mm10&amp;lastVirtModeType=default&amp;lastVirtModeExtraState=&amp;virtModeType=default&amp;virtMode=0&amp;nonVirtPosition=&amp;position=chr17:35424876-35428361","chr17:35424876-35428361")</f>
        <v>chr17:35424876-35428361</v>
      </c>
      <c r="F153" t="s">
        <v>30</v>
      </c>
      <c r="G153">
        <v>2.5233035137807498</v>
      </c>
      <c r="H153">
        <v>0.37863274886398701</v>
      </c>
      <c r="I153">
        <v>6.6642505735476396</v>
      </c>
      <c r="J153" s="1">
        <v>2.6601926763809399E-11</v>
      </c>
      <c r="K153" s="1">
        <v>2.3748426752944801E-9</v>
      </c>
      <c r="L153" t="s">
        <v>26</v>
      </c>
      <c r="M153" t="s">
        <v>27</v>
      </c>
      <c r="N153">
        <v>449.58366711296298</v>
      </c>
      <c r="O153">
        <v>46.191132714384999</v>
      </c>
      <c r="P153">
        <v>752.12806791189598</v>
      </c>
      <c r="Q153">
        <v>40.645855858417903</v>
      </c>
      <c r="R153">
        <v>22.376040052457299</v>
      </c>
      <c r="S153">
        <v>75.551502232279802</v>
      </c>
      <c r="T153">
        <v>1127.4068600329899</v>
      </c>
      <c r="U153">
        <v>327.61228212048701</v>
      </c>
      <c r="V153">
        <v>793.77026017108403</v>
      </c>
      <c r="W153">
        <v>759.72286932302495</v>
      </c>
    </row>
    <row r="154" spans="1:23" x14ac:dyDescent="0.2">
      <c r="A154" t="s">
        <v>327</v>
      </c>
      <c r="B154" s="3" t="str">
        <f>HYPERLINK("http://www.ncbi.nlm.nih.gov/gene/15019","H2-Q8")</f>
        <v>H2-Q8</v>
      </c>
      <c r="C154">
        <v>15019</v>
      </c>
      <c r="D154" t="s">
        <v>329</v>
      </c>
      <c r="E154" s="3" t="str">
        <f>HYPERLINK("http://genome.ucsc.edu/cgi-bin/hgTracks?db=mm10&amp;lastVirtModeType=default&amp;lastVirtModeExtraState=&amp;virtModeType=default&amp;virtMode=0&amp;nonVirtPosition=&amp;position=chr17:35424846-35428361","chr17:35424846-35428361")</f>
        <v>chr17:35424846-35428361</v>
      </c>
      <c r="F154" t="s">
        <v>30</v>
      </c>
      <c r="G154">
        <v>2.5233035137807498</v>
      </c>
      <c r="H154">
        <v>0.37863274886398701</v>
      </c>
      <c r="I154">
        <v>6.6642505735476396</v>
      </c>
      <c r="J154" s="1">
        <v>2.6601926763809399E-11</v>
      </c>
      <c r="K154" s="1">
        <v>2.3748426752944801E-9</v>
      </c>
      <c r="L154" t="s">
        <v>26</v>
      </c>
      <c r="M154" t="s">
        <v>27</v>
      </c>
      <c r="N154">
        <v>449.58366711296298</v>
      </c>
      <c r="O154">
        <v>46.191132714384999</v>
      </c>
      <c r="P154">
        <v>752.12806791189598</v>
      </c>
      <c r="Q154">
        <v>40.645855858417903</v>
      </c>
      <c r="R154">
        <v>22.376040052457299</v>
      </c>
      <c r="S154">
        <v>75.551502232279802</v>
      </c>
      <c r="T154">
        <v>1127.4068600329899</v>
      </c>
      <c r="U154">
        <v>327.61228212048701</v>
      </c>
      <c r="V154">
        <v>793.77026017108403</v>
      </c>
      <c r="W154">
        <v>759.72286932302495</v>
      </c>
    </row>
    <row r="155" spans="1:23" x14ac:dyDescent="0.2">
      <c r="A155" t="s">
        <v>330</v>
      </c>
      <c r="B155" s="3" t="str">
        <f>HYPERLINK("http://www.ncbi.nlm.nih.gov/gene/13628","Eef1a2")</f>
        <v>Eef1a2</v>
      </c>
      <c r="C155">
        <v>13628</v>
      </c>
      <c r="D155" t="s">
        <v>331</v>
      </c>
      <c r="E155" s="3" t="str">
        <f>HYPERLINK("http://genome.ucsc.edu/cgi-bin/hgTracks?db=mm10&amp;lastVirtModeType=default&amp;lastVirtModeExtraState=&amp;virtModeType=default&amp;virtMode=0&amp;nonVirtPosition=&amp;position=chr2:181147691-181157015","chr2:181147691-181157015")</f>
        <v>chr2:181147691-181157015</v>
      </c>
      <c r="F155" t="s">
        <v>25</v>
      </c>
      <c r="G155">
        <v>-0.84795583086313298</v>
      </c>
      <c r="H155">
        <v>0.12768265126900899</v>
      </c>
      <c r="I155">
        <v>-6.6411201712644097</v>
      </c>
      <c r="J155" s="1">
        <v>3.1130808874646602E-11</v>
      </c>
      <c r="K155" s="1">
        <v>2.7607461035787601E-9</v>
      </c>
      <c r="L155" t="s">
        <v>26</v>
      </c>
      <c r="M155" t="s">
        <v>27</v>
      </c>
      <c r="N155">
        <v>590.75798702964801</v>
      </c>
      <c r="O155">
        <v>797.997545930603</v>
      </c>
      <c r="P155">
        <v>435.32831785393302</v>
      </c>
      <c r="Q155">
        <v>849.10863265873104</v>
      </c>
      <c r="R155">
        <v>844.22144333508504</v>
      </c>
      <c r="S155">
        <v>700.662561797992</v>
      </c>
      <c r="T155">
        <v>412.46592440231399</v>
      </c>
      <c r="U155">
        <v>443.24014639830602</v>
      </c>
      <c r="V155">
        <v>400.195571393021</v>
      </c>
      <c r="W155">
        <v>485.41162922209003</v>
      </c>
    </row>
    <row r="156" spans="1:23" x14ac:dyDescent="0.2">
      <c r="A156" t="s">
        <v>332</v>
      </c>
      <c r="B156" s="3" t="str">
        <f>HYPERLINK("http://www.ncbi.nlm.nih.gov/gene/235633","Als2cl")</f>
        <v>Als2cl</v>
      </c>
      <c r="C156">
        <v>235633</v>
      </c>
      <c r="D156" t="s">
        <v>333</v>
      </c>
      <c r="E156" s="3" t="str">
        <f>HYPERLINK("http://genome.ucsc.edu/cgi-bin/hgTracks?db=mm10&amp;lastVirtModeType=default&amp;lastVirtModeExtraState=&amp;virtModeType=default&amp;virtMode=0&amp;nonVirtPosition=&amp;position=chr9:110880173-110900530","chr9:110880173-110900530")</f>
        <v>chr9:110880173-110900530</v>
      </c>
      <c r="F156" t="s">
        <v>30</v>
      </c>
      <c r="G156">
        <v>1.32606348424678</v>
      </c>
      <c r="H156">
        <v>0.199800961901929</v>
      </c>
      <c r="I156">
        <v>6.6369224233147799</v>
      </c>
      <c r="J156" s="1">
        <v>3.2030010850511698E-11</v>
      </c>
      <c r="K156" s="1">
        <v>2.8164245346321198E-9</v>
      </c>
      <c r="L156" t="s">
        <v>26</v>
      </c>
      <c r="M156" t="s">
        <v>27</v>
      </c>
      <c r="N156">
        <v>64.845016161409603</v>
      </c>
      <c r="O156">
        <v>33.361041504154997</v>
      </c>
      <c r="P156">
        <v>88.457997154350494</v>
      </c>
      <c r="Q156">
        <v>30.623590030314901</v>
      </c>
      <c r="R156">
        <v>33.753687536757703</v>
      </c>
      <c r="S156">
        <v>35.705846945392501</v>
      </c>
      <c r="T156">
        <v>82.493184880462707</v>
      </c>
      <c r="U156">
        <v>89.932783327192496</v>
      </c>
      <c r="V156">
        <v>91.956702985528807</v>
      </c>
      <c r="W156">
        <v>89.449317424217995</v>
      </c>
    </row>
    <row r="157" spans="1:23" x14ac:dyDescent="0.2">
      <c r="A157" t="s">
        <v>334</v>
      </c>
      <c r="B157" s="3" t="str">
        <f>HYPERLINK("http://www.ncbi.nlm.nih.gov/gene/108151","Sema3d")</f>
        <v>Sema3d</v>
      </c>
      <c r="C157">
        <v>108151</v>
      </c>
      <c r="D157" t="s">
        <v>335</v>
      </c>
      <c r="E157" s="3" t="str">
        <f>HYPERLINK("http://genome.ucsc.edu/cgi-bin/hgTracks?db=mm10&amp;lastVirtModeType=default&amp;lastVirtModeExtraState=&amp;virtModeType=default&amp;virtMode=0&amp;nonVirtPosition=&amp;position=chr5:12383165-12588943","chr5:12383165-12588943")</f>
        <v>chr5:12383165-12588943</v>
      </c>
      <c r="F157" t="s">
        <v>30</v>
      </c>
      <c r="G157">
        <v>-1.0787316216312799</v>
      </c>
      <c r="H157">
        <v>0.162551709767216</v>
      </c>
      <c r="I157">
        <v>-6.6362366977012401</v>
      </c>
      <c r="J157" s="1">
        <v>3.2179296079360399E-11</v>
      </c>
      <c r="K157" s="1">
        <v>2.8164245346321198E-9</v>
      </c>
      <c r="L157" t="s">
        <v>26</v>
      </c>
      <c r="M157" t="s">
        <v>27</v>
      </c>
      <c r="N157">
        <v>2123.0609107427399</v>
      </c>
      <c r="O157">
        <v>3081.34503544059</v>
      </c>
      <c r="P157">
        <v>1404.34781721934</v>
      </c>
      <c r="Q157">
        <v>3643.0936285154598</v>
      </c>
      <c r="R157">
        <v>2780.697045163</v>
      </c>
      <c r="S157">
        <v>2820.2444326433201</v>
      </c>
      <c r="T157">
        <v>1219.06595434462</v>
      </c>
      <c r="U157">
        <v>1323.29666895726</v>
      </c>
      <c r="V157">
        <v>1771.4539263132301</v>
      </c>
      <c r="W157">
        <v>1303.57471926227</v>
      </c>
    </row>
    <row r="158" spans="1:23" x14ac:dyDescent="0.2">
      <c r="A158" t="s">
        <v>336</v>
      </c>
      <c r="B158" s="3" t="str">
        <f>HYPERLINK("http://www.ncbi.nlm.nih.gov/gene/11837","Rplp0")</f>
        <v>Rplp0</v>
      </c>
      <c r="C158">
        <v>11837</v>
      </c>
      <c r="D158" t="s">
        <v>337</v>
      </c>
      <c r="E158" s="3" t="str">
        <f>HYPERLINK("http://genome.ucsc.edu/cgi-bin/hgTracks?db=mm10&amp;lastVirtModeType=default&amp;lastVirtModeExtraState=&amp;virtModeType=default&amp;virtMode=0&amp;nonVirtPosition=&amp;position=chr5:115559466-115563729","chr5:115559466-115563729")</f>
        <v>chr5:115559466-115563729</v>
      </c>
      <c r="F158" t="s">
        <v>30</v>
      </c>
      <c r="G158">
        <v>-1.2322203488182799</v>
      </c>
      <c r="H158">
        <v>0.186087357297473</v>
      </c>
      <c r="I158">
        <v>-6.6217306039146502</v>
      </c>
      <c r="J158" s="1">
        <v>3.5501763385620302E-11</v>
      </c>
      <c r="K158" s="1">
        <v>3.08703969803144E-9</v>
      </c>
      <c r="L158" t="s">
        <v>26</v>
      </c>
      <c r="M158" t="s">
        <v>27</v>
      </c>
      <c r="N158">
        <v>902.32983190089101</v>
      </c>
      <c r="O158">
        <v>1371.4836633116799</v>
      </c>
      <c r="P158">
        <v>550.46445834279803</v>
      </c>
      <c r="Q158">
        <v>1013.91922627643</v>
      </c>
      <c r="R158">
        <v>1515.5026449088</v>
      </c>
      <c r="S158">
        <v>1585.0291187498101</v>
      </c>
      <c r="T158">
        <v>449.129562126964</v>
      </c>
      <c r="U158">
        <v>541.73795670903996</v>
      </c>
      <c r="V158">
        <v>506.12969323235001</v>
      </c>
      <c r="W158">
        <v>704.86062130283801</v>
      </c>
    </row>
    <row r="159" spans="1:23" x14ac:dyDescent="0.2">
      <c r="A159" t="s">
        <v>338</v>
      </c>
      <c r="B159" s="3" t="str">
        <f>HYPERLINK("http://www.ncbi.nlm.nih.gov/gene/68616","Gdpd3")</f>
        <v>Gdpd3</v>
      </c>
      <c r="C159">
        <v>68616</v>
      </c>
      <c r="D159" t="s">
        <v>339</v>
      </c>
      <c r="E159" s="3" t="str">
        <f>HYPERLINK("http://genome.ucsc.edu/cgi-bin/hgTracks?db=mm10&amp;lastVirtModeType=default&amp;lastVirtModeExtraState=&amp;virtModeType=default&amp;virtMode=0&amp;nonVirtPosition=&amp;position=chr7:126766413-126775645","chr7:126766413-126775645")</f>
        <v>chr7:126766413-126775645</v>
      </c>
      <c r="F159" t="s">
        <v>30</v>
      </c>
      <c r="G159">
        <v>2.2494334972801999</v>
      </c>
      <c r="H159">
        <v>0.34124539091446499</v>
      </c>
      <c r="I159">
        <v>6.5918355446565799</v>
      </c>
      <c r="J159" s="1">
        <v>4.34421663672706E-11</v>
      </c>
      <c r="K159" s="1">
        <v>3.7531229020911002E-9</v>
      </c>
      <c r="L159" t="s">
        <v>26</v>
      </c>
      <c r="M159" t="s">
        <v>27</v>
      </c>
      <c r="N159">
        <v>36.045097555271099</v>
      </c>
      <c r="O159">
        <v>6.9737528202029697</v>
      </c>
      <c r="P159">
        <v>57.848606106572198</v>
      </c>
      <c r="Q159">
        <v>10.0222658281031</v>
      </c>
      <c r="R159">
        <v>4.1718040775767902</v>
      </c>
      <c r="S159">
        <v>6.72718855492902</v>
      </c>
      <c r="T159">
        <v>100.825003742788</v>
      </c>
      <c r="U159">
        <v>23.553824204740899</v>
      </c>
      <c r="V159">
        <v>58.116636286854202</v>
      </c>
      <c r="W159">
        <v>48.8989601919058</v>
      </c>
    </row>
    <row r="160" spans="1:23" x14ac:dyDescent="0.2">
      <c r="A160" t="s">
        <v>340</v>
      </c>
      <c r="B160" s="3" t="str">
        <f>HYPERLINK("http://www.ncbi.nlm.nih.gov/gene/15015","H2-Q4")</f>
        <v>H2-Q4</v>
      </c>
      <c r="C160">
        <v>15015</v>
      </c>
      <c r="D160" t="s">
        <v>341</v>
      </c>
      <c r="E160" s="3" t="str">
        <f>HYPERLINK("http://genome.ucsc.edu/cgi-bin/hgTracks?db=mm10&amp;lastVirtModeType=default&amp;lastVirtModeExtraState=&amp;virtModeType=default&amp;virtMode=0&amp;nonVirtPosition=&amp;position=chr17:35379616-35384674","chr17:35379616-35384674")</f>
        <v>chr17:35379616-35384674</v>
      </c>
      <c r="F160" t="s">
        <v>30</v>
      </c>
      <c r="G160">
        <v>2.4569908630664199</v>
      </c>
      <c r="H160">
        <v>0.373509866294578</v>
      </c>
      <c r="I160">
        <v>6.57811502395134</v>
      </c>
      <c r="J160" s="1">
        <v>4.7644960468762003E-11</v>
      </c>
      <c r="K160" s="1">
        <v>4.0898311899820004E-9</v>
      </c>
      <c r="L160" t="s">
        <v>26</v>
      </c>
      <c r="M160" t="s">
        <v>27</v>
      </c>
      <c r="N160">
        <v>708.64537877782595</v>
      </c>
      <c r="O160">
        <v>86.104598359214805</v>
      </c>
      <c r="P160">
        <v>1175.5509640917801</v>
      </c>
      <c r="Q160">
        <v>54.008876962555298</v>
      </c>
      <c r="R160">
        <v>48.544629266348103</v>
      </c>
      <c r="S160">
        <v>155.760288848741</v>
      </c>
      <c r="T160">
        <v>1471.1284637015899</v>
      </c>
      <c r="U160">
        <v>648.80079400331704</v>
      </c>
      <c r="V160">
        <v>1257.23204321815</v>
      </c>
      <c r="W160">
        <v>1325.0425554440801</v>
      </c>
    </row>
    <row r="161" spans="1:23" x14ac:dyDescent="0.2">
      <c r="A161" t="s">
        <v>342</v>
      </c>
      <c r="B161" s="3" t="str">
        <f>HYPERLINK("http://www.ncbi.nlm.nih.gov/gene/235627","Nbeal2")</f>
        <v>Nbeal2</v>
      </c>
      <c r="C161">
        <v>235627</v>
      </c>
      <c r="D161" t="s">
        <v>343</v>
      </c>
      <c r="E161" s="3" t="str">
        <f>HYPERLINK("http://genome.ucsc.edu/cgi-bin/hgTracks?db=mm10&amp;lastVirtModeType=default&amp;lastVirtModeExtraState=&amp;virtModeType=default&amp;virtMode=0&amp;nonVirtPosition=&amp;position=chr9:110624788-110654161","chr9:110624788-110654161")</f>
        <v>chr9:110624788-110654161</v>
      </c>
      <c r="F161" t="s">
        <v>25</v>
      </c>
      <c r="G161">
        <v>1.1881276372403</v>
      </c>
      <c r="H161">
        <v>0.18069701916247899</v>
      </c>
      <c r="I161">
        <v>6.5752475760098497</v>
      </c>
      <c r="J161" s="1">
        <v>4.8572279993637699E-11</v>
      </c>
      <c r="K161" s="1">
        <v>4.1428751681197596E-9</v>
      </c>
      <c r="L161" t="s">
        <v>26</v>
      </c>
      <c r="M161" t="s">
        <v>27</v>
      </c>
      <c r="N161">
        <v>83.613583199010606</v>
      </c>
      <c r="O161">
        <v>46.237292825707797</v>
      </c>
      <c r="P161">
        <v>111.645800978987</v>
      </c>
      <c r="Q161">
        <v>46.213781318475199</v>
      </c>
      <c r="R161">
        <v>44.372825188771301</v>
      </c>
      <c r="S161">
        <v>48.125271969876799</v>
      </c>
      <c r="T161">
        <v>119.15682260511301</v>
      </c>
      <c r="U161">
        <v>109.204094040162</v>
      </c>
      <c r="V161">
        <v>103.727160967676</v>
      </c>
      <c r="W161">
        <v>114.495126302999</v>
      </c>
    </row>
    <row r="162" spans="1:23" x14ac:dyDescent="0.2">
      <c r="A162" t="s">
        <v>344</v>
      </c>
      <c r="B162" s="3" t="str">
        <f>HYPERLINK("http://www.ncbi.nlm.nih.gov/gene/109135","Plekha5")</f>
        <v>Plekha5</v>
      </c>
      <c r="C162">
        <v>109135</v>
      </c>
      <c r="D162" t="s">
        <v>345</v>
      </c>
      <c r="E162" s="3" t="str">
        <f>HYPERLINK("http://genome.ucsc.edu/cgi-bin/hgTracks?db=mm10&amp;lastVirtModeType=default&amp;lastVirtModeExtraState=&amp;virtModeType=default&amp;virtMode=0&amp;nonVirtPosition=&amp;position=chr6:140424098-140594906","chr6:140424098-140594906")</f>
        <v>chr6:140424098-140594906</v>
      </c>
      <c r="F162" t="s">
        <v>30</v>
      </c>
      <c r="G162">
        <v>1.07614083822405</v>
      </c>
      <c r="H162">
        <v>0.16384768346212</v>
      </c>
      <c r="I162">
        <v>6.5679344100879096</v>
      </c>
      <c r="J162" s="1">
        <v>5.1018002725823101E-11</v>
      </c>
      <c r="K162" s="1">
        <v>4.2967426069276602E-9</v>
      </c>
      <c r="L162" t="s">
        <v>26</v>
      </c>
      <c r="M162" t="s">
        <v>27</v>
      </c>
      <c r="N162">
        <v>290.56581476039298</v>
      </c>
      <c r="O162">
        <v>174.28253396742701</v>
      </c>
      <c r="P162">
        <v>377.77827535511801</v>
      </c>
      <c r="Q162">
        <v>157.015497973614</v>
      </c>
      <c r="R162">
        <v>211.62424320798601</v>
      </c>
      <c r="S162">
        <v>154.207860720681</v>
      </c>
      <c r="T162">
        <v>329.972739521851</v>
      </c>
      <c r="U162">
        <v>368.29616029231198</v>
      </c>
      <c r="V162">
        <v>356.056353959967</v>
      </c>
      <c r="W162">
        <v>456.78784764634003</v>
      </c>
    </row>
    <row r="163" spans="1:23" x14ac:dyDescent="0.2">
      <c r="A163" t="s">
        <v>346</v>
      </c>
      <c r="B163" s="3" t="str">
        <f>HYPERLINK("http://www.ncbi.nlm.nih.gov/gene/69060","Pnlip")</f>
        <v>Pnlip</v>
      </c>
      <c r="C163">
        <v>69060</v>
      </c>
      <c r="D163" t="s">
        <v>347</v>
      </c>
      <c r="E163" s="3" t="str">
        <f>HYPERLINK("http://genome.ucsc.edu/cgi-bin/hgTracks?db=mm10&amp;lastVirtModeType=default&amp;lastVirtModeExtraState=&amp;virtModeType=default&amp;virtMode=0&amp;nonVirtPosition=&amp;position=chr19:58670364-58681788","chr19:58670364-58681788")</f>
        <v>chr19:58670364-58681788</v>
      </c>
      <c r="F163" t="s">
        <v>30</v>
      </c>
      <c r="G163">
        <v>-1.16642153510702</v>
      </c>
      <c r="H163">
        <v>0.17816014139001601</v>
      </c>
      <c r="I163">
        <v>-6.5470397924391799</v>
      </c>
      <c r="J163" s="1">
        <v>5.8688730077070999E-11</v>
      </c>
      <c r="K163" s="1">
        <v>4.9118799028878597E-9</v>
      </c>
      <c r="L163" t="s">
        <v>26</v>
      </c>
      <c r="M163" t="s">
        <v>27</v>
      </c>
      <c r="N163">
        <v>808.74306828586498</v>
      </c>
      <c r="O163">
        <v>1208.95716278447</v>
      </c>
      <c r="P163">
        <v>508.58249741191003</v>
      </c>
      <c r="Q163">
        <v>1144.2086820417601</v>
      </c>
      <c r="R163">
        <v>1404.7602093949499</v>
      </c>
      <c r="S163">
        <v>1077.9025969167001</v>
      </c>
      <c r="T163">
        <v>329.972739521851</v>
      </c>
      <c r="U163">
        <v>631.67074003623304</v>
      </c>
      <c r="V163">
        <v>525.25668745333996</v>
      </c>
      <c r="W163">
        <v>547.429822636214</v>
      </c>
    </row>
    <row r="164" spans="1:23" x14ac:dyDescent="0.2">
      <c r="A164" t="s">
        <v>348</v>
      </c>
      <c r="B164" s="3" t="str">
        <f>HYPERLINK("http://www.ncbi.nlm.nih.gov/gene/21416","Tcf7l2")</f>
        <v>Tcf7l2</v>
      </c>
      <c r="C164">
        <v>21416</v>
      </c>
      <c r="D164" t="s">
        <v>349</v>
      </c>
      <c r="E164" s="3" t="str">
        <f>HYPERLINK("http://genome.ucsc.edu/cgi-bin/hgTracks?db=mm10&amp;lastVirtModeType=default&amp;lastVirtModeExtraState=&amp;virtModeType=default&amp;virtMode=0&amp;nonVirtPosition=&amp;position=chr19:55741809-55933655","chr19:55741809-55933655")</f>
        <v>chr19:55741809-55933655</v>
      </c>
      <c r="F164" t="s">
        <v>30</v>
      </c>
      <c r="G164">
        <v>1.21080156034444</v>
      </c>
      <c r="H164">
        <v>0.18499533794388401</v>
      </c>
      <c r="I164">
        <v>6.5450382361079598</v>
      </c>
      <c r="J164" s="1">
        <v>5.9480165592455004E-11</v>
      </c>
      <c r="K164" s="1">
        <v>4.9307056499637001E-9</v>
      </c>
      <c r="L164" t="s">
        <v>26</v>
      </c>
      <c r="M164" t="s">
        <v>27</v>
      </c>
      <c r="N164">
        <v>124.474959585666</v>
      </c>
      <c r="O164">
        <v>68.421266556041701</v>
      </c>
      <c r="P164">
        <v>166.51522935788299</v>
      </c>
      <c r="Q164">
        <v>75.1669937107729</v>
      </c>
      <c r="R164">
        <v>51.957923511638199</v>
      </c>
      <c r="S164">
        <v>78.138882445714003</v>
      </c>
      <c r="T164">
        <v>178.735233907669</v>
      </c>
      <c r="U164">
        <v>160.59425594141501</v>
      </c>
      <c r="V164">
        <v>172.878601612794</v>
      </c>
      <c r="W164">
        <v>153.85282596965499</v>
      </c>
    </row>
    <row r="165" spans="1:23" x14ac:dyDescent="0.2">
      <c r="A165" t="s">
        <v>350</v>
      </c>
      <c r="B165" s="3" t="str">
        <f>HYPERLINK("http://www.ncbi.nlm.nih.gov/gene/68703","Rere")</f>
        <v>Rere</v>
      </c>
      <c r="C165">
        <v>68703</v>
      </c>
      <c r="D165" t="s">
        <v>351</v>
      </c>
      <c r="E165" s="3" t="str">
        <f>HYPERLINK("http://genome.ucsc.edu/cgi-bin/hgTracks?db=mm10&amp;lastVirtModeType=default&amp;lastVirtModeExtraState=&amp;virtModeType=default&amp;virtMode=0&amp;nonVirtPosition=&amp;position=chr4:150281915-150621966","chr4:150281915-150621966")</f>
        <v>chr4:150281915-150621966</v>
      </c>
      <c r="F165" t="s">
        <v>30</v>
      </c>
      <c r="G165">
        <v>0.94379269388932696</v>
      </c>
      <c r="H165">
        <v>0.14420911558483901</v>
      </c>
      <c r="I165">
        <v>6.5446118996138702</v>
      </c>
      <c r="J165" s="1">
        <v>5.9650087020694405E-11</v>
      </c>
      <c r="K165" s="1">
        <v>4.9307056499637001E-9</v>
      </c>
      <c r="L165" t="s">
        <v>26</v>
      </c>
      <c r="M165" t="s">
        <v>27</v>
      </c>
      <c r="N165">
        <v>759.54564314644495</v>
      </c>
      <c r="O165">
        <v>489.56095299080602</v>
      </c>
      <c r="P165">
        <v>962.03416076317501</v>
      </c>
      <c r="Q165">
        <v>472.16007901285502</v>
      </c>
      <c r="R165">
        <v>399.35542669894198</v>
      </c>
      <c r="S165">
        <v>597.16735326062201</v>
      </c>
      <c r="T165">
        <v>934.92276197857802</v>
      </c>
      <c r="U165">
        <v>1012.81444080386</v>
      </c>
      <c r="V165">
        <v>962.97059366445706</v>
      </c>
      <c r="W165">
        <v>937.42884660580501</v>
      </c>
    </row>
    <row r="166" spans="1:23" x14ac:dyDescent="0.2">
      <c r="A166" t="s">
        <v>352</v>
      </c>
      <c r="B166" s="3" t="str">
        <f>HYPERLINK("http://www.ncbi.nlm.nih.gov/gene/12801","Cnr1")</f>
        <v>Cnr1</v>
      </c>
      <c r="C166">
        <v>12801</v>
      </c>
      <c r="D166" t="s">
        <v>353</v>
      </c>
      <c r="E166" s="3" t="str">
        <f>HYPERLINK("http://genome.ucsc.edu/cgi-bin/hgTracks?db=mm10&amp;lastVirtModeType=default&amp;lastVirtModeExtraState=&amp;virtModeType=default&amp;virtMode=0&amp;nonVirtPosition=&amp;position=chr4:33924631-33948831","chr4:33924631-33948831")</f>
        <v>chr4:33924631-33948831</v>
      </c>
      <c r="F166" t="s">
        <v>30</v>
      </c>
      <c r="G166">
        <v>-1.66214912119603</v>
      </c>
      <c r="H166">
        <v>0.25443741989769098</v>
      </c>
      <c r="I166">
        <v>-6.5326441443415799</v>
      </c>
      <c r="J166" s="1">
        <v>6.4618554384832504E-11</v>
      </c>
      <c r="K166" s="1">
        <v>5.30863228078093E-9</v>
      </c>
      <c r="L166" t="s">
        <v>26</v>
      </c>
      <c r="M166" t="s">
        <v>27</v>
      </c>
      <c r="N166">
        <v>145.238430473687</v>
      </c>
      <c r="O166">
        <v>248.339845613172</v>
      </c>
      <c r="P166">
        <v>67.912369119073205</v>
      </c>
      <c r="Q166">
        <v>200.44531656206101</v>
      </c>
      <c r="R166">
        <v>374.32460223348102</v>
      </c>
      <c r="S166">
        <v>170.24961804397299</v>
      </c>
      <c r="T166">
        <v>64.161366018137699</v>
      </c>
      <c r="U166">
        <v>81.367756343650299</v>
      </c>
      <c r="V166">
        <v>67.680133397349195</v>
      </c>
      <c r="W166">
        <v>58.440220717155803</v>
      </c>
    </row>
    <row r="167" spans="1:23" x14ac:dyDescent="0.2">
      <c r="A167" t="s">
        <v>354</v>
      </c>
      <c r="B167" s="3" t="str">
        <f>HYPERLINK("http://www.ncbi.nlm.nih.gov/gene/68151","Wls")</f>
        <v>Wls</v>
      </c>
      <c r="C167">
        <v>68151</v>
      </c>
      <c r="D167" t="s">
        <v>355</v>
      </c>
      <c r="E167" s="3" t="str">
        <f>HYPERLINK("http://genome.ucsc.edu/cgi-bin/hgTracks?db=mm10&amp;lastVirtModeType=default&amp;lastVirtModeExtraState=&amp;virtModeType=default&amp;virtMode=0&amp;nonVirtPosition=&amp;position=chr3:159839694-159935175","chr3:159839694-159935175")</f>
        <v>chr3:159839694-159935175</v>
      </c>
      <c r="F167" t="s">
        <v>30</v>
      </c>
      <c r="G167">
        <v>-0.99269914960275496</v>
      </c>
      <c r="H167">
        <v>0.15213402458394701</v>
      </c>
      <c r="I167">
        <v>-6.5251619571464596</v>
      </c>
      <c r="J167" s="1">
        <v>6.7928094406763795E-11</v>
      </c>
      <c r="K167" s="1">
        <v>5.5464945865913098E-9</v>
      </c>
      <c r="L167" t="s">
        <v>26</v>
      </c>
      <c r="M167" t="s">
        <v>27</v>
      </c>
      <c r="N167">
        <v>340.761374109244</v>
      </c>
      <c r="O167">
        <v>482.05989983669201</v>
      </c>
      <c r="P167">
        <v>234.78747981365899</v>
      </c>
      <c r="Q167">
        <v>562.36047146578198</v>
      </c>
      <c r="R167">
        <v>394.80436770522198</v>
      </c>
      <c r="S167">
        <v>489.01486033907099</v>
      </c>
      <c r="T167">
        <v>233.73069049464399</v>
      </c>
      <c r="U167">
        <v>231.255728555638</v>
      </c>
      <c r="V167">
        <v>252.32919299229101</v>
      </c>
      <c r="W167">
        <v>221.83430721206099</v>
      </c>
    </row>
    <row r="168" spans="1:23" x14ac:dyDescent="0.2">
      <c r="A168" t="s">
        <v>356</v>
      </c>
      <c r="B168" s="3" t="str">
        <f>HYPERLINK("http://www.ncbi.nlm.nih.gov/gene/101214","Tra2a")</f>
        <v>Tra2a</v>
      </c>
      <c r="C168">
        <v>101214</v>
      </c>
      <c r="D168" t="s">
        <v>357</v>
      </c>
      <c r="E168" s="3" t="str">
        <f>HYPERLINK("http://genome.ucsc.edu/cgi-bin/hgTracks?db=mm10&amp;lastVirtModeType=default&amp;lastVirtModeExtraState=&amp;virtModeType=default&amp;virtMode=0&amp;nonVirtPosition=&amp;position=chr6:49243920-49264052","chr6:49243920-49264052")</f>
        <v>chr6:49243920-49264052</v>
      </c>
      <c r="F168" t="s">
        <v>25</v>
      </c>
      <c r="G168">
        <v>0.78018340297101496</v>
      </c>
      <c r="H168">
        <v>0.11965405728531001</v>
      </c>
      <c r="I168">
        <v>6.5203255173429104</v>
      </c>
      <c r="J168" s="1">
        <v>7.0154973103729799E-11</v>
      </c>
      <c r="K168" s="1">
        <v>5.6936075444366398E-9</v>
      </c>
      <c r="L168" t="s">
        <v>26</v>
      </c>
      <c r="M168" t="s">
        <v>27</v>
      </c>
      <c r="N168">
        <v>670.71637259629097</v>
      </c>
      <c r="O168">
        <v>472.36605796718197</v>
      </c>
      <c r="P168">
        <v>819.47910856812302</v>
      </c>
      <c r="Q168">
        <v>482.18234484095802</v>
      </c>
      <c r="R168">
        <v>444.866016636143</v>
      </c>
      <c r="S168">
        <v>490.04981242444501</v>
      </c>
      <c r="T168">
        <v>838.68071295137099</v>
      </c>
      <c r="U168">
        <v>698.04969915868401</v>
      </c>
      <c r="V168">
        <v>827.61032686975898</v>
      </c>
      <c r="W168">
        <v>913.57569529268005</v>
      </c>
    </row>
    <row r="169" spans="1:23" x14ac:dyDescent="0.2">
      <c r="A169" t="s">
        <v>358</v>
      </c>
      <c r="B169" s="3" t="str">
        <f>HYPERLINK("http://www.ncbi.nlm.nih.gov/gene/330863","Trim67")</f>
        <v>Trim67</v>
      </c>
      <c r="C169">
        <v>330863</v>
      </c>
      <c r="D169" t="s">
        <v>359</v>
      </c>
      <c r="E169" s="3" t="str">
        <f>HYPERLINK("http://genome.ucsc.edu/cgi-bin/hgTracks?db=mm10&amp;lastVirtModeType=default&amp;lastVirtModeExtraState=&amp;virtModeType=default&amp;virtMode=0&amp;nonVirtPosition=&amp;position=chr8:124793018-124834704","chr8:124793018-124834704")</f>
        <v>chr8:124793018-124834704</v>
      </c>
      <c r="F169" t="s">
        <v>30</v>
      </c>
      <c r="G169">
        <v>1.0552301432146101</v>
      </c>
      <c r="H169">
        <v>0.16215642232105301</v>
      </c>
      <c r="I169">
        <v>6.50748288664981</v>
      </c>
      <c r="J169" s="1">
        <v>7.6420454169427602E-11</v>
      </c>
      <c r="K169" s="1">
        <v>6.1647367577277402E-9</v>
      </c>
      <c r="L169" t="s">
        <v>26</v>
      </c>
      <c r="M169" t="s">
        <v>27</v>
      </c>
      <c r="N169">
        <v>406.97922116490798</v>
      </c>
      <c r="O169">
        <v>246.33192804034101</v>
      </c>
      <c r="P169">
        <v>527.46469100833201</v>
      </c>
      <c r="Q169">
        <v>300.66797484309097</v>
      </c>
      <c r="R169">
        <v>187.35192857481201</v>
      </c>
      <c r="S169">
        <v>250.97588070312099</v>
      </c>
      <c r="T169">
        <v>517.87388286068301</v>
      </c>
      <c r="U169">
        <v>558.86801067612498</v>
      </c>
      <c r="V169">
        <v>552.47587153705695</v>
      </c>
      <c r="W169">
        <v>480.64099895946498</v>
      </c>
    </row>
    <row r="170" spans="1:23" x14ac:dyDescent="0.2">
      <c r="A170" t="s">
        <v>360</v>
      </c>
      <c r="B170" s="3" t="str">
        <f>HYPERLINK("http://www.ncbi.nlm.nih.gov/gene/666737","4632427E13Rik")</f>
        <v>4632427E13Rik</v>
      </c>
      <c r="C170">
        <v>666737</v>
      </c>
      <c r="D170" t="s">
        <v>361</v>
      </c>
      <c r="E170" s="3" t="str">
        <f>HYPERLINK("http://genome.ucsc.edu/cgi-bin/hgTracks?db=mm10&amp;lastVirtModeType=default&amp;lastVirtModeExtraState=&amp;virtModeType=default&amp;virtMode=0&amp;nonVirtPosition=&amp;position=chr7:92740705-92741459","chr7:92740705-92741459")</f>
        <v>chr7:92740705-92741459</v>
      </c>
      <c r="F170" t="s">
        <v>25</v>
      </c>
      <c r="G170">
        <v>0.98520623806852903</v>
      </c>
      <c r="H170">
        <v>0.151543739149823</v>
      </c>
      <c r="I170">
        <v>6.5011345476602402</v>
      </c>
      <c r="J170" s="1">
        <v>7.9716492045621998E-11</v>
      </c>
      <c r="K170" s="1">
        <v>6.39211703582589E-9</v>
      </c>
      <c r="L170" t="s">
        <v>26</v>
      </c>
      <c r="M170" t="s">
        <v>27</v>
      </c>
      <c r="N170">
        <v>218.917290845433</v>
      </c>
      <c r="O170">
        <v>137.504423925135</v>
      </c>
      <c r="P170">
        <v>279.97694103565698</v>
      </c>
      <c r="Q170">
        <v>145.32285450749399</v>
      </c>
      <c r="R170">
        <v>114.53498467529</v>
      </c>
      <c r="S170">
        <v>152.65543259262</v>
      </c>
      <c r="T170">
        <v>293.30910179720098</v>
      </c>
      <c r="U170">
        <v>286.92840394866198</v>
      </c>
      <c r="V170">
        <v>292.79014230592401</v>
      </c>
      <c r="W170">
        <v>246.88011609084199</v>
      </c>
    </row>
    <row r="171" spans="1:23" x14ac:dyDescent="0.2">
      <c r="A171" t="s">
        <v>362</v>
      </c>
      <c r="B171" s="3" t="str">
        <f>HYPERLINK("http://www.ncbi.nlm.nih.gov/gene/19345","Rab5c")</f>
        <v>Rab5c</v>
      </c>
      <c r="C171">
        <v>19345</v>
      </c>
      <c r="D171" t="s">
        <v>363</v>
      </c>
      <c r="E171" s="3" t="str">
        <f>HYPERLINK("http://genome.ucsc.edu/cgi-bin/hgTracks?db=mm10&amp;lastVirtModeType=default&amp;lastVirtModeExtraState=&amp;virtModeType=default&amp;virtMode=0&amp;nonVirtPosition=&amp;position=chr11:100715002-100738215","chr11:100715002-100738215")</f>
        <v>chr11:100715002-100738215</v>
      </c>
      <c r="F171" t="s">
        <v>25</v>
      </c>
      <c r="G171">
        <v>-0.69125601124201896</v>
      </c>
      <c r="H171">
        <v>0.10638124093057599</v>
      </c>
      <c r="I171">
        <v>-6.4979126507193996</v>
      </c>
      <c r="J171" s="1">
        <v>8.1442064948904706E-11</v>
      </c>
      <c r="K171" s="1">
        <v>6.4916112603022802E-9</v>
      </c>
      <c r="L171" t="s">
        <v>26</v>
      </c>
      <c r="M171" t="s">
        <v>27</v>
      </c>
      <c r="N171">
        <v>718.47531193064594</v>
      </c>
      <c r="O171">
        <v>921.40191360940503</v>
      </c>
      <c r="P171">
        <v>566.280360671577</v>
      </c>
      <c r="Q171">
        <v>968.26223750395604</v>
      </c>
      <c r="R171">
        <v>934.86336829334402</v>
      </c>
      <c r="S171">
        <v>861.08013503091502</v>
      </c>
      <c r="T171">
        <v>563.70343001649496</v>
      </c>
      <c r="U171">
        <v>597.41063210206403</v>
      </c>
      <c r="V171">
        <v>580.43070924465803</v>
      </c>
      <c r="W171">
        <v>523.57667132308904</v>
      </c>
    </row>
    <row r="172" spans="1:23" x14ac:dyDescent="0.2">
      <c r="A172" t="s">
        <v>364</v>
      </c>
      <c r="B172" s="3" t="str">
        <f>HYPERLINK("http://www.ncbi.nlm.nih.gov/gene/72017","Cyb5r1")</f>
        <v>Cyb5r1</v>
      </c>
      <c r="C172">
        <v>72017</v>
      </c>
      <c r="D172" t="s">
        <v>365</v>
      </c>
      <c r="E172" s="3" t="str">
        <f>HYPERLINK("http://genome.ucsc.edu/cgi-bin/hgTracks?db=mm10&amp;lastVirtModeType=default&amp;lastVirtModeExtraState=&amp;virtModeType=default&amp;virtMode=0&amp;nonVirtPosition=&amp;position=chr1:134405989-134411738","chr1:134405989-134411738")</f>
        <v>chr1:134405989-134411738</v>
      </c>
      <c r="F172" t="s">
        <v>30</v>
      </c>
      <c r="G172">
        <v>1.35742155379872</v>
      </c>
      <c r="H172">
        <v>0.20995048026267801</v>
      </c>
      <c r="I172">
        <v>6.4654367644236599</v>
      </c>
      <c r="J172" s="1">
        <v>1.01006636720102E-10</v>
      </c>
      <c r="K172" s="1">
        <v>8.0034311971531892E-9</v>
      </c>
      <c r="L172" t="s">
        <v>26</v>
      </c>
      <c r="M172" t="s">
        <v>27</v>
      </c>
      <c r="N172">
        <v>66.748665871620304</v>
      </c>
      <c r="O172">
        <v>32.296455236777703</v>
      </c>
      <c r="P172">
        <v>92.587823847752404</v>
      </c>
      <c r="Q172">
        <v>36.191515490372097</v>
      </c>
      <c r="R172">
        <v>32.236667872184299</v>
      </c>
      <c r="S172">
        <v>28.461182347776599</v>
      </c>
      <c r="T172">
        <v>114.573867889532</v>
      </c>
      <c r="U172">
        <v>87.791526581306996</v>
      </c>
      <c r="V172">
        <v>80.921898627265307</v>
      </c>
      <c r="W172">
        <v>87.064002292905499</v>
      </c>
    </row>
    <row r="173" spans="1:23" x14ac:dyDescent="0.2">
      <c r="A173" t="s">
        <v>366</v>
      </c>
      <c r="B173" s="3" t="str">
        <f>HYPERLINK("http://www.ncbi.nlm.nih.gov/gene/272465","Tmem255b")</f>
        <v>Tmem255b</v>
      </c>
      <c r="C173">
        <v>272465</v>
      </c>
      <c r="D173" t="s">
        <v>367</v>
      </c>
      <c r="E173" s="3" t="str">
        <f>HYPERLINK("http://genome.ucsc.edu/cgi-bin/hgTracks?db=mm10&amp;lastVirtModeType=default&amp;lastVirtModeExtraState=&amp;virtModeType=default&amp;virtMode=0&amp;nonVirtPosition=&amp;position=chr8:13435458-13461451","chr8:13435458-13461451")</f>
        <v>chr8:13435458-13461451</v>
      </c>
      <c r="F173" t="s">
        <v>30</v>
      </c>
      <c r="G173">
        <v>1.94473331897949</v>
      </c>
      <c r="H173">
        <v>0.30174968362914201</v>
      </c>
      <c r="I173">
        <v>6.4448561986550796</v>
      </c>
      <c r="J173" s="1">
        <v>1.15710073722245E-10</v>
      </c>
      <c r="K173" s="1">
        <v>9.1145505718505192E-9</v>
      </c>
      <c r="L173" t="s">
        <v>26</v>
      </c>
      <c r="M173" t="s">
        <v>27</v>
      </c>
      <c r="N173">
        <v>65.704191752042505</v>
      </c>
      <c r="O173">
        <v>19.556868103629199</v>
      </c>
      <c r="P173">
        <v>100.314684488353</v>
      </c>
      <c r="Q173">
        <v>31.1803825763206</v>
      </c>
      <c r="R173">
        <v>8.3436081551535803</v>
      </c>
      <c r="S173">
        <v>19.146613579413401</v>
      </c>
      <c r="T173">
        <v>119.15682260511301</v>
      </c>
      <c r="U173">
        <v>102.780323802506</v>
      </c>
      <c r="V173">
        <v>102.99150734379199</v>
      </c>
      <c r="W173">
        <v>76.330084201999398</v>
      </c>
    </row>
    <row r="174" spans="1:23" x14ac:dyDescent="0.2">
      <c r="A174" t="s">
        <v>368</v>
      </c>
      <c r="B174" s="3" t="str">
        <f>HYPERLINK("http://www.ncbi.nlm.nih.gov/gene/16656","Hivep3")</f>
        <v>Hivep3</v>
      </c>
      <c r="C174">
        <v>16656</v>
      </c>
      <c r="D174" t="s">
        <v>369</v>
      </c>
      <c r="E174" s="3" t="str">
        <f>HYPERLINK("http://genome.ucsc.edu/cgi-bin/hgTracks?db=mm10&amp;lastVirtModeType=default&amp;lastVirtModeExtraState=&amp;virtModeType=default&amp;virtMode=0&amp;nonVirtPosition=&amp;position=chr4:119814677-120135411","chr4:119814677-120135411")</f>
        <v>chr4:119814677-120135411</v>
      </c>
      <c r="F174" t="s">
        <v>30</v>
      </c>
      <c r="G174">
        <v>1.20070107048843</v>
      </c>
      <c r="H174">
        <v>0.18651907953192501</v>
      </c>
      <c r="I174">
        <v>6.4374168771453597</v>
      </c>
      <c r="J174" s="1">
        <v>1.2152383387076801E-10</v>
      </c>
      <c r="K174" s="1">
        <v>9.46538127717877E-9</v>
      </c>
      <c r="L174" t="s">
        <v>26</v>
      </c>
      <c r="M174" t="s">
        <v>27</v>
      </c>
      <c r="N174">
        <v>155.68139932310399</v>
      </c>
      <c r="O174">
        <v>86.008141692543504</v>
      </c>
      <c r="P174">
        <v>207.93634254602401</v>
      </c>
      <c r="Q174">
        <v>66.815105520686998</v>
      </c>
      <c r="R174">
        <v>83.056826635392497</v>
      </c>
      <c r="S174">
        <v>108.152492921551</v>
      </c>
      <c r="T174">
        <v>187.90114333883199</v>
      </c>
      <c r="U174">
        <v>246.24452577683701</v>
      </c>
      <c r="V174">
        <v>191.26994220989999</v>
      </c>
      <c r="W174">
        <v>206.329758858529</v>
      </c>
    </row>
    <row r="175" spans="1:23" x14ac:dyDescent="0.2">
      <c r="A175" t="s">
        <v>370</v>
      </c>
      <c r="B175" s="3" t="str">
        <f>HYPERLINK("http://www.ncbi.nlm.nih.gov/gene/18575","Pde1c")</f>
        <v>Pde1c</v>
      </c>
      <c r="C175">
        <v>18575</v>
      </c>
      <c r="D175" t="s">
        <v>371</v>
      </c>
      <c r="E175" s="3" t="str">
        <f>HYPERLINK("http://genome.ucsc.edu/cgi-bin/hgTracks?db=mm10&amp;lastVirtModeType=default&amp;lastVirtModeExtraState=&amp;virtModeType=default&amp;virtMode=0&amp;nonVirtPosition=&amp;position=chr6:56100439-56362392","chr6:56100439-56362392")</f>
        <v>chr6:56100439-56362392</v>
      </c>
      <c r="F175" t="s">
        <v>25</v>
      </c>
      <c r="G175">
        <v>-1.47345261834876</v>
      </c>
      <c r="H175">
        <v>0.22889118696889801</v>
      </c>
      <c r="I175">
        <v>-6.4373497200177399</v>
      </c>
      <c r="J175" s="1">
        <v>1.21577595375607E-10</v>
      </c>
      <c r="K175" s="1">
        <v>9.46538127717877E-9</v>
      </c>
      <c r="L175" t="s">
        <v>26</v>
      </c>
      <c r="M175" t="s">
        <v>27</v>
      </c>
      <c r="N175">
        <v>151.933573800875</v>
      </c>
      <c r="O175">
        <v>246.05075442436299</v>
      </c>
      <c r="P175">
        <v>81.345688333258806</v>
      </c>
      <c r="Q175">
        <v>341.313830701509</v>
      </c>
      <c r="R175">
        <v>224.51891035686</v>
      </c>
      <c r="S175">
        <v>172.31952221472</v>
      </c>
      <c r="T175">
        <v>96.242049027206505</v>
      </c>
      <c r="U175">
        <v>72.802729360108202</v>
      </c>
      <c r="V175">
        <v>82.3932058750338</v>
      </c>
      <c r="W175">
        <v>73.944769070686903</v>
      </c>
    </row>
    <row r="176" spans="1:23" x14ac:dyDescent="0.2">
      <c r="A176" t="s">
        <v>372</v>
      </c>
      <c r="B176" s="3" t="str">
        <f>HYPERLINK("http://www.ncbi.nlm.nih.gov/gene/107684","Coro2a")</f>
        <v>Coro2a</v>
      </c>
      <c r="C176">
        <v>107684</v>
      </c>
      <c r="D176" t="s">
        <v>373</v>
      </c>
      <c r="E176" s="3" t="str">
        <f>HYPERLINK("http://genome.ucsc.edu/cgi-bin/hgTracks?db=mm10&amp;lastVirtModeType=default&amp;lastVirtModeExtraState=&amp;virtModeType=default&amp;virtMode=0&amp;nonVirtPosition=&amp;position=chr4:46536936-46566440","chr4:46536936-46566440")</f>
        <v>chr4:46536936-46566440</v>
      </c>
      <c r="F176" t="s">
        <v>25</v>
      </c>
      <c r="G176">
        <v>1.5991308743315</v>
      </c>
      <c r="H176">
        <v>0.248572506688267</v>
      </c>
      <c r="I176">
        <v>6.4332572239654704</v>
      </c>
      <c r="J176" s="1">
        <v>1.24898018971632E-10</v>
      </c>
      <c r="K176" s="1">
        <v>9.6676842314978395E-9</v>
      </c>
      <c r="L176" t="s">
        <v>26</v>
      </c>
      <c r="M176" t="s">
        <v>27</v>
      </c>
      <c r="N176">
        <v>58.478062208996299</v>
      </c>
      <c r="O176">
        <v>23.911100774945499</v>
      </c>
      <c r="P176">
        <v>84.403283284534396</v>
      </c>
      <c r="Q176">
        <v>27.282834754280501</v>
      </c>
      <c r="R176">
        <v>29.9611383753242</v>
      </c>
      <c r="S176">
        <v>14.489329195231701</v>
      </c>
      <c r="T176">
        <v>91.659094311625296</v>
      </c>
      <c r="U176">
        <v>81.367756343650299</v>
      </c>
      <c r="V176">
        <v>78.714937755612596</v>
      </c>
      <c r="W176">
        <v>85.871344727249294</v>
      </c>
    </row>
    <row r="177" spans="1:23" x14ac:dyDescent="0.2">
      <c r="A177" t="s">
        <v>374</v>
      </c>
      <c r="B177" s="3" t="str">
        <f>HYPERLINK("http://www.ncbi.nlm.nih.gov/gene/19053","Ppp2cb")</f>
        <v>Ppp2cb</v>
      </c>
      <c r="C177">
        <v>19053</v>
      </c>
      <c r="D177" t="s">
        <v>375</v>
      </c>
      <c r="E177" s="3" t="str">
        <f>HYPERLINK("http://genome.ucsc.edu/cgi-bin/hgTracks?db=mm10&amp;lastVirtModeType=default&amp;lastVirtModeExtraState=&amp;virtModeType=default&amp;virtMode=0&amp;nonVirtPosition=&amp;position=chr8:33599620-33619804","chr8:33599620-33619804")</f>
        <v>chr8:33599620-33619804</v>
      </c>
      <c r="F177" t="s">
        <v>30</v>
      </c>
      <c r="G177">
        <v>-0.84312216657319805</v>
      </c>
      <c r="H177">
        <v>0.131254585847382</v>
      </c>
      <c r="I177">
        <v>-6.4235634978388401</v>
      </c>
      <c r="J177" s="1">
        <v>1.33120577062468E-10</v>
      </c>
      <c r="K177" s="1">
        <v>1.0244929008296E-8</v>
      </c>
      <c r="L177" t="s">
        <v>26</v>
      </c>
      <c r="M177" t="s">
        <v>27</v>
      </c>
      <c r="N177">
        <v>299.900394314984</v>
      </c>
      <c r="O177">
        <v>409.69198699572701</v>
      </c>
      <c r="P177">
        <v>217.55669980442701</v>
      </c>
      <c r="Q177">
        <v>408.68572876820201</v>
      </c>
      <c r="R177">
        <v>429.69581999040901</v>
      </c>
      <c r="S177">
        <v>390.69441222857</v>
      </c>
      <c r="T177">
        <v>169.56932447650701</v>
      </c>
      <c r="U177">
        <v>226.973215063867</v>
      </c>
      <c r="V177">
        <v>243.50134950568</v>
      </c>
      <c r="W177">
        <v>230.18291017165399</v>
      </c>
    </row>
    <row r="178" spans="1:23" x14ac:dyDescent="0.2">
      <c r="A178" t="s">
        <v>376</v>
      </c>
      <c r="B178" s="3" t="str">
        <f>HYPERLINK("http://www.ncbi.nlm.nih.gov/gene/17920","Myo6")</f>
        <v>Myo6</v>
      </c>
      <c r="C178">
        <v>17920</v>
      </c>
      <c r="D178" t="s">
        <v>377</v>
      </c>
      <c r="E178" s="3" t="str">
        <f>HYPERLINK("http://genome.ucsc.edu/cgi-bin/hgTracks?db=mm10&amp;lastVirtModeType=default&amp;lastVirtModeExtraState=&amp;virtModeType=default&amp;virtMode=0&amp;nonVirtPosition=&amp;position=chr9:80165033-80311729","chr9:80165033-80311729")</f>
        <v>chr9:80165033-80311729</v>
      </c>
      <c r="F178" t="s">
        <v>30</v>
      </c>
      <c r="G178">
        <v>-0.74033883922365495</v>
      </c>
      <c r="H178">
        <v>0.115276258201603</v>
      </c>
      <c r="I178">
        <v>-6.4223010945488799</v>
      </c>
      <c r="J178" s="1">
        <v>1.3422958381117199E-10</v>
      </c>
      <c r="K178" s="1">
        <v>1.02712477532309E-8</v>
      </c>
      <c r="L178" t="s">
        <v>26</v>
      </c>
      <c r="M178" t="s">
        <v>27</v>
      </c>
      <c r="N178">
        <v>552.20642862968805</v>
      </c>
      <c r="O178">
        <v>718.19251694810703</v>
      </c>
      <c r="P178">
        <v>427.71686239087398</v>
      </c>
      <c r="Q178">
        <v>773.94163894795804</v>
      </c>
      <c r="R178">
        <v>731.20347832436801</v>
      </c>
      <c r="S178">
        <v>649.43243357199401</v>
      </c>
      <c r="T178">
        <v>458.295471558126</v>
      </c>
      <c r="U178">
        <v>400.41501148059501</v>
      </c>
      <c r="V178">
        <v>415.64429749458998</v>
      </c>
      <c r="W178">
        <v>436.51266903018399</v>
      </c>
    </row>
    <row r="179" spans="1:23" x14ac:dyDescent="0.2">
      <c r="A179" t="s">
        <v>378</v>
      </c>
      <c r="B179" s="3" t="str">
        <f>HYPERLINK("http://www.ncbi.nlm.nih.gov/gene/109901","Cela1")</f>
        <v>Cela1</v>
      </c>
      <c r="C179">
        <v>109901</v>
      </c>
      <c r="D179" t="s">
        <v>379</v>
      </c>
      <c r="E179" s="3" t="str">
        <f>HYPERLINK("http://genome.ucsc.edu/cgi-bin/hgTracks?db=mm10&amp;lastVirtModeType=default&amp;lastVirtModeExtraState=&amp;virtModeType=default&amp;virtMode=0&amp;nonVirtPosition=&amp;position=chr15:100674421-100687920","chr15:100674421-100687920")</f>
        <v>chr15:100674421-100687920</v>
      </c>
      <c r="F179" t="s">
        <v>25</v>
      </c>
      <c r="G179">
        <v>-1.40931263792235</v>
      </c>
      <c r="H179">
        <v>0.21999926304433901</v>
      </c>
      <c r="I179">
        <v>-6.4059879947794096</v>
      </c>
      <c r="J179" s="1">
        <v>1.4939872024123599E-10</v>
      </c>
      <c r="K179" s="1">
        <v>1.1367035583809101E-8</v>
      </c>
      <c r="L179" t="s">
        <v>26</v>
      </c>
      <c r="M179" t="s">
        <v>27</v>
      </c>
      <c r="N179">
        <v>86.390699508367902</v>
      </c>
      <c r="O179">
        <v>138.923673790707</v>
      </c>
      <c r="P179">
        <v>46.9909687966136</v>
      </c>
      <c r="Q179">
        <v>164.253801071689</v>
      </c>
      <c r="R179">
        <v>133.497730482457</v>
      </c>
      <c r="S179">
        <v>119.019489817975</v>
      </c>
      <c r="T179">
        <v>36.663637724650101</v>
      </c>
      <c r="U179">
        <v>62.096445630680499</v>
      </c>
      <c r="V179">
        <v>52.231407295780301</v>
      </c>
      <c r="W179">
        <v>36.972384535343402</v>
      </c>
    </row>
    <row r="180" spans="1:23" x14ac:dyDescent="0.2">
      <c r="A180" t="s">
        <v>380</v>
      </c>
      <c r="B180" s="3" t="str">
        <f>HYPERLINK("http://www.ncbi.nlm.nih.gov/gene/12661","Chl1")</f>
        <v>Chl1</v>
      </c>
      <c r="C180">
        <v>12661</v>
      </c>
      <c r="D180" t="s">
        <v>381</v>
      </c>
      <c r="E180" s="3" t="str">
        <f>HYPERLINK("http://genome.ucsc.edu/cgi-bin/hgTracks?db=mm10&amp;lastVirtModeType=default&amp;lastVirtModeExtraState=&amp;virtModeType=default&amp;virtMode=0&amp;nonVirtPosition=&amp;position=chr6:103510875-103733035","chr6:103510875-103733035")</f>
        <v>chr6:103510875-103733035</v>
      </c>
      <c r="F180" t="s">
        <v>30</v>
      </c>
      <c r="G180">
        <v>1.57244421002174</v>
      </c>
      <c r="H180">
        <v>0.24566897922333999</v>
      </c>
      <c r="I180">
        <v>6.4006624482784797</v>
      </c>
      <c r="J180" s="1">
        <v>1.5470425274733901E-10</v>
      </c>
      <c r="K180" s="1">
        <v>1.17042070538962E-8</v>
      </c>
      <c r="L180" t="s">
        <v>26</v>
      </c>
      <c r="M180" t="s">
        <v>27</v>
      </c>
      <c r="N180">
        <v>820.08296808206501</v>
      </c>
      <c r="O180">
        <v>348.53196378247702</v>
      </c>
      <c r="P180">
        <v>1173.7462213067499</v>
      </c>
      <c r="Q180">
        <v>248.886268064559</v>
      </c>
      <c r="R180">
        <v>396.70064228593799</v>
      </c>
      <c r="S180">
        <v>400.00898099693302</v>
      </c>
      <c r="T180">
        <v>577.452294163239</v>
      </c>
      <c r="U180">
        <v>1391.8168848256</v>
      </c>
      <c r="V180">
        <v>1435.2602201981299</v>
      </c>
      <c r="W180">
        <v>1290.4554860400499</v>
      </c>
    </row>
    <row r="181" spans="1:23" x14ac:dyDescent="0.2">
      <c r="A181" t="s">
        <v>382</v>
      </c>
      <c r="B181" s="3" t="str">
        <f>HYPERLINK("http://www.ncbi.nlm.nih.gov/gene/241296","Lrrc8a")</f>
        <v>Lrrc8a</v>
      </c>
      <c r="C181">
        <v>241296</v>
      </c>
      <c r="D181" t="s">
        <v>383</v>
      </c>
      <c r="E181" s="3" t="str">
        <f>HYPERLINK("http://genome.ucsc.edu/cgi-bin/hgTracks?db=mm10&amp;lastVirtModeType=default&amp;lastVirtModeExtraState=&amp;virtModeType=default&amp;virtMode=0&amp;nonVirtPosition=&amp;position=chr2:30237768-30263790","chr2:30237768-30263790")</f>
        <v>chr2:30237768-30263790</v>
      </c>
      <c r="F181" t="s">
        <v>30</v>
      </c>
      <c r="G181">
        <v>-0.83036470383255001</v>
      </c>
      <c r="H181">
        <v>0.12985126884449999</v>
      </c>
      <c r="I181">
        <v>-6.39473692649804</v>
      </c>
      <c r="J181" s="1">
        <v>1.6082400126599101E-10</v>
      </c>
      <c r="K181" s="1">
        <v>1.2098843825578001E-8</v>
      </c>
      <c r="L181" t="s">
        <v>26</v>
      </c>
      <c r="M181" t="s">
        <v>27</v>
      </c>
      <c r="N181">
        <v>572.45975822131902</v>
      </c>
      <c r="O181">
        <v>776.07666294878902</v>
      </c>
      <c r="P181">
        <v>419.74707967571698</v>
      </c>
      <c r="Q181">
        <v>778.95277186200894</v>
      </c>
      <c r="R181">
        <v>766.85344044184296</v>
      </c>
      <c r="S181">
        <v>782.42377654251402</v>
      </c>
      <c r="T181">
        <v>307.05796594394502</v>
      </c>
      <c r="U181">
        <v>468.93522734893202</v>
      </c>
      <c r="V181">
        <v>460.51916855152803</v>
      </c>
      <c r="W181">
        <v>442.475956858465</v>
      </c>
    </row>
    <row r="182" spans="1:23" x14ac:dyDescent="0.2">
      <c r="A182" t="s">
        <v>384</v>
      </c>
      <c r="B182" s="3" t="str">
        <f>HYPERLINK("http://www.ncbi.nlm.nih.gov/gene/231002","Plekhn1")</f>
        <v>Plekhn1</v>
      </c>
      <c r="C182">
        <v>231002</v>
      </c>
      <c r="D182" t="s">
        <v>385</v>
      </c>
      <c r="E182" s="3" t="str">
        <f>HYPERLINK("http://genome.ucsc.edu/cgi-bin/hgTracks?db=mm10&amp;lastVirtModeType=default&amp;lastVirtModeExtraState=&amp;virtModeType=default&amp;virtMode=0&amp;nonVirtPosition=&amp;position=chr4:156221455-156228542","chr4:156221455-156228542")</f>
        <v>chr4:156221455-156228542</v>
      </c>
      <c r="F182" t="s">
        <v>25</v>
      </c>
      <c r="G182">
        <v>0.95078397499362</v>
      </c>
      <c r="H182">
        <v>0.14877048956531599</v>
      </c>
      <c r="I182">
        <v>6.3909447214407802</v>
      </c>
      <c r="J182" s="1">
        <v>1.6486397880482199E-10</v>
      </c>
      <c r="K182" s="1">
        <v>1.23334834646669E-8</v>
      </c>
      <c r="L182" t="s">
        <v>26</v>
      </c>
      <c r="M182" t="s">
        <v>27</v>
      </c>
      <c r="N182">
        <v>242.30594039464299</v>
      </c>
      <c r="O182">
        <v>154.32000348414201</v>
      </c>
      <c r="P182">
        <v>308.29539307751799</v>
      </c>
      <c r="Q182">
        <v>144.20926941548299</v>
      </c>
      <c r="R182">
        <v>139.18655422460699</v>
      </c>
      <c r="S182">
        <v>179.564186812336</v>
      </c>
      <c r="T182">
        <v>316.22387537510701</v>
      </c>
      <c r="U182">
        <v>340.45982259580001</v>
      </c>
      <c r="V182">
        <v>269.98487996551302</v>
      </c>
      <c r="W182">
        <v>306.51299437365401</v>
      </c>
    </row>
    <row r="183" spans="1:23" x14ac:dyDescent="0.2">
      <c r="A183" t="s">
        <v>386</v>
      </c>
      <c r="B183" s="3" t="str">
        <f>HYPERLINK("http://www.ncbi.nlm.nih.gov/gene/76987","Hdhd2")</f>
        <v>Hdhd2</v>
      </c>
      <c r="C183">
        <v>76987</v>
      </c>
      <c r="D183" t="s">
        <v>387</v>
      </c>
      <c r="E183" s="3" t="str">
        <f>HYPERLINK("http://genome.ucsc.edu/cgi-bin/hgTracks?db=mm10&amp;lastVirtModeType=default&amp;lastVirtModeExtraState=&amp;virtModeType=default&amp;virtMode=0&amp;nonVirtPosition=&amp;position=chr18:76944114-76972171","chr18:76944114-76972171")</f>
        <v>chr18:76944114-76972171</v>
      </c>
      <c r="F183" t="s">
        <v>30</v>
      </c>
      <c r="G183">
        <v>-0.890495626243484</v>
      </c>
      <c r="H183">
        <v>0.139584844309671</v>
      </c>
      <c r="I183">
        <v>-6.3796010995857699</v>
      </c>
      <c r="J183" s="1">
        <v>1.77549842476077E-10</v>
      </c>
      <c r="K183" s="1">
        <v>1.32087218922064E-8</v>
      </c>
      <c r="L183" t="s">
        <v>26</v>
      </c>
      <c r="M183" t="s">
        <v>27</v>
      </c>
      <c r="N183">
        <v>276.24833685983202</v>
      </c>
      <c r="O183">
        <v>376.04315116862801</v>
      </c>
      <c r="P183">
        <v>201.40222612823601</v>
      </c>
      <c r="Q183">
        <v>423.719127510357</v>
      </c>
      <c r="R183">
        <v>365.98099407832802</v>
      </c>
      <c r="S183">
        <v>338.429331917198</v>
      </c>
      <c r="T183">
        <v>210.81591691673799</v>
      </c>
      <c r="U183">
        <v>211.98441784266799</v>
      </c>
      <c r="V183">
        <v>182.44209872328901</v>
      </c>
      <c r="W183">
        <v>200.36647103024799</v>
      </c>
    </row>
    <row r="184" spans="1:23" x14ac:dyDescent="0.2">
      <c r="A184" t="s">
        <v>388</v>
      </c>
      <c r="B184" s="3" t="str">
        <f>HYPERLINK("http://www.ncbi.nlm.nih.gov/gene/19411","Rarg")</f>
        <v>Rarg</v>
      </c>
      <c r="C184">
        <v>19411</v>
      </c>
      <c r="D184" t="s">
        <v>389</v>
      </c>
      <c r="E184" s="3" t="str">
        <f>HYPERLINK("http://genome.ucsc.edu/cgi-bin/hgTracks?db=mm10&amp;lastVirtModeType=default&amp;lastVirtModeExtraState=&amp;virtModeType=default&amp;virtMode=0&amp;nonVirtPosition=&amp;position=chr15:102234937-102257522","chr15:102234937-102257522")</f>
        <v>chr15:102234937-102257522</v>
      </c>
      <c r="F184" t="s">
        <v>25</v>
      </c>
      <c r="G184">
        <v>1.09596017922106</v>
      </c>
      <c r="H184">
        <v>0.17204086792722001</v>
      </c>
      <c r="I184">
        <v>6.3703478855076199</v>
      </c>
      <c r="J184" s="1">
        <v>1.8859991474904101E-10</v>
      </c>
      <c r="K184" s="1">
        <v>1.39532677259912E-8</v>
      </c>
      <c r="L184" t="s">
        <v>26</v>
      </c>
      <c r="M184" t="s">
        <v>27</v>
      </c>
      <c r="N184">
        <v>186.391426079566</v>
      </c>
      <c r="O184">
        <v>111.41075613935</v>
      </c>
      <c r="P184">
        <v>242.626928534727</v>
      </c>
      <c r="Q184">
        <v>127.50549303531101</v>
      </c>
      <c r="R184">
        <v>94.434474119692794</v>
      </c>
      <c r="S184">
        <v>112.292301263046</v>
      </c>
      <c r="T184">
        <v>178.735233907669</v>
      </c>
      <c r="U184">
        <v>297.63468767808899</v>
      </c>
      <c r="V184">
        <v>241.294388634028</v>
      </c>
      <c r="W184">
        <v>252.84340391912301</v>
      </c>
    </row>
    <row r="185" spans="1:23" x14ac:dyDescent="0.2">
      <c r="A185" t="s">
        <v>390</v>
      </c>
      <c r="B185" s="3" t="str">
        <f>HYPERLINK("http://www.ncbi.nlm.nih.gov/gene/75801","4930447C04Rik")</f>
        <v>4930447C04Rik</v>
      </c>
      <c r="C185">
        <v>75801</v>
      </c>
      <c r="D185" t="s">
        <v>391</v>
      </c>
      <c r="E185" s="3" t="str">
        <f>HYPERLINK("http://genome.ucsc.edu/cgi-bin/hgTracks?db=mm10&amp;lastVirtModeType=default&amp;lastVirtModeExtraState=&amp;virtModeType=default&amp;virtMode=0&amp;nonVirtPosition=&amp;position=chr12:72881108-72917765","chr12:72881108-72917765")</f>
        <v>chr12:72881108-72917765</v>
      </c>
      <c r="F185" t="s">
        <v>25</v>
      </c>
      <c r="G185">
        <v>1.9451320121342299</v>
      </c>
      <c r="H185">
        <v>0.30550933558208199</v>
      </c>
      <c r="I185">
        <v>6.3668496690230398</v>
      </c>
      <c r="J185" s="1">
        <v>1.92950118681928E-10</v>
      </c>
      <c r="K185" s="1">
        <v>1.4196676039943399E-8</v>
      </c>
      <c r="L185" t="s">
        <v>26</v>
      </c>
      <c r="M185" t="s">
        <v>27</v>
      </c>
      <c r="N185">
        <v>24.7865134415519</v>
      </c>
      <c r="O185">
        <v>7.4625776049315897</v>
      </c>
      <c r="P185">
        <v>37.779465319017099</v>
      </c>
      <c r="Q185">
        <v>8.3518881900858695</v>
      </c>
      <c r="R185">
        <v>8.3436081551535803</v>
      </c>
      <c r="S185">
        <v>5.6922364695553203</v>
      </c>
      <c r="T185">
        <v>36.663637724650101</v>
      </c>
      <c r="U185">
        <v>27.836337696512</v>
      </c>
      <c r="V185">
        <v>44.874871056937998</v>
      </c>
      <c r="W185">
        <v>41.743014797968399</v>
      </c>
    </row>
    <row r="186" spans="1:23" x14ac:dyDescent="0.2">
      <c r="A186" t="s">
        <v>392</v>
      </c>
      <c r="B186" s="3" t="str">
        <f>HYPERLINK("http://www.ncbi.nlm.nih.gov/gene/245049","Myrip")</f>
        <v>Myrip</v>
      </c>
      <c r="C186">
        <v>245049</v>
      </c>
      <c r="D186" t="s">
        <v>393</v>
      </c>
      <c r="E186" s="3" t="str">
        <f>HYPERLINK("http://genome.ucsc.edu/cgi-bin/hgTracks?db=mm10&amp;lastVirtModeType=default&amp;lastVirtModeExtraState=&amp;virtModeType=default&amp;virtMode=0&amp;nonVirtPosition=&amp;position=chr9:120304072-120474834","chr9:120304072-120474834")</f>
        <v>chr9:120304072-120474834</v>
      </c>
      <c r="F186" t="s">
        <v>30</v>
      </c>
      <c r="G186">
        <v>1.4708137041292799</v>
      </c>
      <c r="H186">
        <v>0.23130942570975699</v>
      </c>
      <c r="I186">
        <v>6.3586414587999798</v>
      </c>
      <c r="J186" s="1">
        <v>2.03545886618467E-10</v>
      </c>
      <c r="K186" s="1">
        <v>1.48944424464912E-8</v>
      </c>
      <c r="L186" t="s">
        <v>26</v>
      </c>
      <c r="M186" t="s">
        <v>27</v>
      </c>
      <c r="N186">
        <v>82.429457950497806</v>
      </c>
      <c r="O186">
        <v>37.417003367658197</v>
      </c>
      <c r="P186">
        <v>116.188798887627</v>
      </c>
      <c r="Q186">
        <v>42.316233496435103</v>
      </c>
      <c r="R186">
        <v>46.648354685631404</v>
      </c>
      <c r="S186">
        <v>23.286421920908101</v>
      </c>
      <c r="T186">
        <v>119.15682260511301</v>
      </c>
      <c r="U186">
        <v>115.627864277819</v>
      </c>
      <c r="V186">
        <v>105.93412183932899</v>
      </c>
      <c r="W186">
        <v>124.03638682824899</v>
      </c>
    </row>
    <row r="187" spans="1:23" x14ac:dyDescent="0.2">
      <c r="A187" t="s">
        <v>394</v>
      </c>
      <c r="B187" s="3" t="str">
        <f>HYPERLINK("http://www.ncbi.nlm.nih.gov/gene/18573","Pde1a")</f>
        <v>Pde1a</v>
      </c>
      <c r="C187">
        <v>18573</v>
      </c>
      <c r="D187" t="s">
        <v>395</v>
      </c>
      <c r="E187" s="3" t="str">
        <f>HYPERLINK("http://genome.ucsc.edu/cgi-bin/hgTracks?db=mm10&amp;lastVirtModeType=default&amp;lastVirtModeExtraState=&amp;virtModeType=default&amp;virtMode=0&amp;nonVirtPosition=&amp;position=chr2:79859024-79908399","chr2:79859024-79908399")</f>
        <v>chr2:79859024-79908399</v>
      </c>
      <c r="F187" t="s">
        <v>25</v>
      </c>
      <c r="G187">
        <v>-1.32698143525116</v>
      </c>
      <c r="H187">
        <v>0.209074029090413</v>
      </c>
      <c r="I187">
        <v>-6.3469453428733296</v>
      </c>
      <c r="J187" s="1">
        <v>2.1963211666649401E-10</v>
      </c>
      <c r="K187" s="1">
        <v>1.5984204751527301E-8</v>
      </c>
      <c r="L187" t="s">
        <v>26</v>
      </c>
      <c r="M187" t="s">
        <v>27</v>
      </c>
      <c r="N187">
        <v>158.77346970185599</v>
      </c>
      <c r="O187">
        <v>243.27777721771099</v>
      </c>
      <c r="P187">
        <v>95.395239064963803</v>
      </c>
      <c r="Q187">
        <v>202.115694200078</v>
      </c>
      <c r="R187">
        <v>237.413577505734</v>
      </c>
      <c r="S187">
        <v>290.304059947322</v>
      </c>
      <c r="T187">
        <v>123.739777320694</v>
      </c>
      <c r="U187">
        <v>111.345350786048</v>
      </c>
      <c r="V187">
        <v>71.3584015167703</v>
      </c>
      <c r="W187">
        <v>75.137426636343093</v>
      </c>
    </row>
    <row r="188" spans="1:23" x14ac:dyDescent="0.2">
      <c r="A188" t="s">
        <v>396</v>
      </c>
      <c r="B188" s="3" t="str">
        <f>HYPERLINK("http://www.ncbi.nlm.nih.gov/gene/100042807","Eif3j2")</f>
        <v>Eif3j2</v>
      </c>
      <c r="C188">
        <v>100042807</v>
      </c>
      <c r="D188" t="s">
        <v>397</v>
      </c>
      <c r="E188" s="3" t="str">
        <f>HYPERLINK("http://genome.ucsc.edu/cgi-bin/hgTracks?db=mm10&amp;lastVirtModeType=default&amp;lastVirtModeExtraState=&amp;virtModeType=default&amp;virtMode=0&amp;nonVirtPosition=&amp;position=chr2:122028582-122053631","chr2:122028582-122053631")</f>
        <v>chr2:122028582-122053631</v>
      </c>
      <c r="F188" t="s">
        <v>30</v>
      </c>
      <c r="G188">
        <v>-2.4945466597170798</v>
      </c>
      <c r="H188">
        <v>0.39328644276213398</v>
      </c>
      <c r="I188">
        <v>-6.3428239280188503</v>
      </c>
      <c r="J188" s="1">
        <v>2.2559120953303101E-10</v>
      </c>
      <c r="K188" s="1">
        <v>1.63291453343612E-8</v>
      </c>
      <c r="L188" t="s">
        <v>26</v>
      </c>
      <c r="M188" t="s">
        <v>27</v>
      </c>
      <c r="N188">
        <v>10.3730041046674</v>
      </c>
      <c r="O188">
        <v>23.4899239955955</v>
      </c>
      <c r="P188">
        <v>0.53531418647138496</v>
      </c>
      <c r="Q188">
        <v>24.498872024251899</v>
      </c>
      <c r="R188">
        <v>25.789334297747398</v>
      </c>
      <c r="S188">
        <v>20.181565664787101</v>
      </c>
      <c r="T188">
        <v>0</v>
      </c>
      <c r="U188">
        <v>2.1412567458855398</v>
      </c>
      <c r="V188">
        <v>0</v>
      </c>
      <c r="W188">
        <v>0</v>
      </c>
    </row>
    <row r="189" spans="1:23" x14ac:dyDescent="0.2">
      <c r="A189" t="s">
        <v>398</v>
      </c>
      <c r="B189" s="3" t="str">
        <f>HYPERLINK("http://www.ncbi.nlm.nih.gov/gene/227801","Dennd1a")</f>
        <v>Dennd1a</v>
      </c>
      <c r="C189">
        <v>227801</v>
      </c>
      <c r="D189" t="s">
        <v>399</v>
      </c>
      <c r="E189" s="3" t="str">
        <f>HYPERLINK("http://genome.ucsc.edu/cgi-bin/hgTracks?db=mm10&amp;lastVirtModeType=default&amp;lastVirtModeExtraState=&amp;virtModeType=default&amp;virtMode=0&amp;nonVirtPosition=&amp;position=chr2:37798989-38287384","chr2:37798989-38287384")</f>
        <v>chr2:37798989-38287384</v>
      </c>
      <c r="F189" t="s">
        <v>25</v>
      </c>
      <c r="G189">
        <v>0.94761238758812605</v>
      </c>
      <c r="H189">
        <v>0.149512938864068</v>
      </c>
      <c r="I189">
        <v>6.3379958603426596</v>
      </c>
      <c r="J189" s="1">
        <v>2.3277308147757901E-10</v>
      </c>
      <c r="K189" s="1">
        <v>1.6758410398205698E-8</v>
      </c>
      <c r="L189" t="s">
        <v>26</v>
      </c>
      <c r="M189" t="s">
        <v>27</v>
      </c>
      <c r="N189">
        <v>273.90688491532597</v>
      </c>
      <c r="O189">
        <v>175.9052496013</v>
      </c>
      <c r="P189">
        <v>347.408111400846</v>
      </c>
      <c r="Q189">
        <v>192.65022091798099</v>
      </c>
      <c r="R189">
        <v>144.11686813447099</v>
      </c>
      <c r="S189">
        <v>190.948659751447</v>
      </c>
      <c r="T189">
        <v>375.80228667766397</v>
      </c>
      <c r="U189">
        <v>299.77594442397498</v>
      </c>
      <c r="V189">
        <v>363.41289019880998</v>
      </c>
      <c r="W189">
        <v>350.64132430293398</v>
      </c>
    </row>
    <row r="190" spans="1:23" x14ac:dyDescent="0.2">
      <c r="A190" t="s">
        <v>400</v>
      </c>
      <c r="B190" s="3" t="str">
        <f>HYPERLINK("http://www.ncbi.nlm.nih.gov/gene/67784","Plxnd1")</f>
        <v>Plxnd1</v>
      </c>
      <c r="C190">
        <v>67784</v>
      </c>
      <c r="D190" t="s">
        <v>401</v>
      </c>
      <c r="E190" s="3" t="str">
        <f>HYPERLINK("http://genome.ucsc.edu/cgi-bin/hgTracks?db=mm10&amp;lastVirtModeType=default&amp;lastVirtModeExtraState=&amp;virtModeType=default&amp;virtMode=0&amp;nonVirtPosition=&amp;position=chr6:115954810-115995005","chr6:115954810-115995005")</f>
        <v>chr6:115954810-115995005</v>
      </c>
      <c r="F190" t="s">
        <v>25</v>
      </c>
      <c r="G190">
        <v>0.99311802527743898</v>
      </c>
      <c r="H190">
        <v>0.15676712788375599</v>
      </c>
      <c r="I190">
        <v>6.3349889653770104</v>
      </c>
      <c r="J190" s="1">
        <v>2.37358260535035E-10</v>
      </c>
      <c r="K190" s="1">
        <v>1.6997136186228102E-8</v>
      </c>
      <c r="L190" t="s">
        <v>26</v>
      </c>
      <c r="M190" t="s">
        <v>27</v>
      </c>
      <c r="N190">
        <v>720.11673135077297</v>
      </c>
      <c r="O190">
        <v>451.18588976320098</v>
      </c>
      <c r="P190">
        <v>921.81486254145204</v>
      </c>
      <c r="Q190">
        <v>425.38950514837398</v>
      </c>
      <c r="R190">
        <v>478.99895908904398</v>
      </c>
      <c r="S190">
        <v>449.169205052184</v>
      </c>
      <c r="T190">
        <v>829.51480352020894</v>
      </c>
      <c r="U190">
        <v>1066.345859451</v>
      </c>
      <c r="V190">
        <v>1076.99690536651</v>
      </c>
      <c r="W190">
        <v>714.40188182808799</v>
      </c>
    </row>
    <row r="191" spans="1:23" x14ac:dyDescent="0.2">
      <c r="A191" t="s">
        <v>402</v>
      </c>
      <c r="B191" s="3" t="str">
        <f>HYPERLINK("http://www.ncbi.nlm.nih.gov/gene/242259","Slc44a5")</f>
        <v>Slc44a5</v>
      </c>
      <c r="C191">
        <v>242259</v>
      </c>
      <c r="D191" t="s">
        <v>403</v>
      </c>
      <c r="E191" s="3" t="str">
        <f>HYPERLINK("http://genome.ucsc.edu/cgi-bin/hgTracks?db=mm10&amp;lastVirtModeType=default&amp;lastVirtModeExtraState=&amp;virtModeType=default&amp;virtMode=0&amp;nonVirtPosition=&amp;position=chr3:153973435-154271720","chr3:153973435-154271720")</f>
        <v>chr3:153973435-154271720</v>
      </c>
      <c r="F191" t="s">
        <v>30</v>
      </c>
      <c r="G191">
        <v>-1.30314317686851</v>
      </c>
      <c r="H191">
        <v>0.20660412201575901</v>
      </c>
      <c r="I191">
        <v>-6.3074403557597298</v>
      </c>
      <c r="J191" s="1">
        <v>2.8368784482240799E-10</v>
      </c>
      <c r="K191" s="1">
        <v>2.0206723032004599E-8</v>
      </c>
      <c r="L191" t="s">
        <v>26</v>
      </c>
      <c r="M191" t="s">
        <v>27</v>
      </c>
      <c r="N191">
        <v>182.320723042049</v>
      </c>
      <c r="O191">
        <v>283.21100596273698</v>
      </c>
      <c r="P191">
        <v>106.653010851533</v>
      </c>
      <c r="Q191">
        <v>232.739284230393</v>
      </c>
      <c r="R191">
        <v>241.20612666716701</v>
      </c>
      <c r="S191">
        <v>375.68760699065098</v>
      </c>
      <c r="T191">
        <v>91.659094311625296</v>
      </c>
      <c r="U191">
        <v>134.89917499078899</v>
      </c>
      <c r="V191">
        <v>102.255853719908</v>
      </c>
      <c r="W191">
        <v>97.7979203838117</v>
      </c>
    </row>
    <row r="192" spans="1:23" x14ac:dyDescent="0.2">
      <c r="A192" t="s">
        <v>404</v>
      </c>
      <c r="B192" s="3" t="str">
        <f>HYPERLINK("http://www.ncbi.nlm.nih.gov/gene/17161","Maoa")</f>
        <v>Maoa</v>
      </c>
      <c r="C192">
        <v>17161</v>
      </c>
      <c r="D192" t="s">
        <v>405</v>
      </c>
      <c r="E192" s="3" t="str">
        <f>HYPERLINK("http://genome.ucsc.edu/cgi-bin/hgTracks?db=mm10&amp;lastVirtModeType=default&amp;lastVirtModeExtraState=&amp;virtModeType=default&amp;virtMode=0&amp;nonVirtPosition=&amp;position=chrX:16619697-16687812","chrX:16619697-16687812")</f>
        <v>chrX:16619697-16687812</v>
      </c>
      <c r="F192" t="s">
        <v>30</v>
      </c>
      <c r="G192">
        <v>-0.89576429864163498</v>
      </c>
      <c r="H192">
        <v>0.14246127252909199</v>
      </c>
      <c r="I192">
        <v>-6.2877740928413397</v>
      </c>
      <c r="J192" s="1">
        <v>3.2205008514245602E-10</v>
      </c>
      <c r="K192" s="1">
        <v>2.2722463379455301E-8</v>
      </c>
      <c r="L192" t="s">
        <v>26</v>
      </c>
      <c r="M192" t="s">
        <v>27</v>
      </c>
      <c r="N192">
        <v>253.71283260161701</v>
      </c>
      <c r="O192">
        <v>350.61056957995498</v>
      </c>
      <c r="P192">
        <v>181.039529867862</v>
      </c>
      <c r="Q192">
        <v>384.74364928995601</v>
      </c>
      <c r="R192">
        <v>357.63738592317401</v>
      </c>
      <c r="S192">
        <v>309.45067352673499</v>
      </c>
      <c r="T192">
        <v>164.98636976092499</v>
      </c>
      <c r="U192">
        <v>175.58305316261399</v>
      </c>
      <c r="V192">
        <v>202.30474656816301</v>
      </c>
      <c r="W192">
        <v>181.283949979748</v>
      </c>
    </row>
    <row r="193" spans="1:23" x14ac:dyDescent="0.2">
      <c r="A193" t="s">
        <v>406</v>
      </c>
      <c r="B193" s="3" t="str">
        <f>HYPERLINK("http://www.ncbi.nlm.nih.gov/gene/19659","Rbp1")</f>
        <v>Rbp1</v>
      </c>
      <c r="C193">
        <v>19659</v>
      </c>
      <c r="D193" t="s">
        <v>407</v>
      </c>
      <c r="E193" s="3" t="str">
        <f>HYPERLINK("http://genome.ucsc.edu/cgi-bin/hgTracks?db=mm10&amp;lastVirtModeType=default&amp;lastVirtModeExtraState=&amp;virtModeType=default&amp;virtMode=0&amp;nonVirtPosition=&amp;position=chr9:98422960-98446550","chr9:98422960-98446550")</f>
        <v>chr9:98422960-98446550</v>
      </c>
      <c r="F193" t="s">
        <v>30</v>
      </c>
      <c r="G193">
        <v>-1.2744812094661799</v>
      </c>
      <c r="H193">
        <v>0.202697400197102</v>
      </c>
      <c r="I193">
        <v>-6.2876051110023097</v>
      </c>
      <c r="J193" s="1">
        <v>3.2240072004305201E-10</v>
      </c>
      <c r="K193" s="1">
        <v>2.2722463379455301E-8</v>
      </c>
      <c r="L193" t="s">
        <v>26</v>
      </c>
      <c r="M193" t="s">
        <v>27</v>
      </c>
      <c r="N193">
        <v>206.885990344443</v>
      </c>
      <c r="O193">
        <v>318.57498718306198</v>
      </c>
      <c r="P193">
        <v>123.119242715479</v>
      </c>
      <c r="Q193">
        <v>378.06213873788698</v>
      </c>
      <c r="R193">
        <v>309.092756656826</v>
      </c>
      <c r="S193">
        <v>268.57006615447398</v>
      </c>
      <c r="T193">
        <v>123.739777320694</v>
      </c>
      <c r="U193">
        <v>134.89917499078899</v>
      </c>
      <c r="V193">
        <v>151.54464652015099</v>
      </c>
      <c r="W193">
        <v>82.293372030280594</v>
      </c>
    </row>
    <row r="194" spans="1:23" x14ac:dyDescent="0.2">
      <c r="A194" t="s">
        <v>408</v>
      </c>
      <c r="B194" s="3" t="str">
        <f>HYPERLINK("http://www.ncbi.nlm.nih.gov/gene/76954","St5")</f>
        <v>St5</v>
      </c>
      <c r="C194">
        <v>76954</v>
      </c>
      <c r="D194" t="s">
        <v>409</v>
      </c>
      <c r="E194" s="3" t="str">
        <f>HYPERLINK("http://genome.ucsc.edu/cgi-bin/hgTracks?db=mm10&amp;lastVirtModeType=default&amp;lastVirtModeExtraState=&amp;virtModeType=default&amp;virtMode=0&amp;nonVirtPosition=&amp;position=chr7:109523910-109617147","chr7:109523910-109617147")</f>
        <v>chr7:109523910-109617147</v>
      </c>
      <c r="F194" t="s">
        <v>25</v>
      </c>
      <c r="G194">
        <v>1.02191991667268</v>
      </c>
      <c r="H194">
        <v>0.16262444352553401</v>
      </c>
      <c r="I194">
        <v>6.2839256788124196</v>
      </c>
      <c r="J194" s="1">
        <v>3.30128575183872E-10</v>
      </c>
      <c r="K194" s="1">
        <v>2.3145297121922698E-8</v>
      </c>
      <c r="L194" t="s">
        <v>26</v>
      </c>
      <c r="M194" t="s">
        <v>27</v>
      </c>
      <c r="N194">
        <v>198.62198224084301</v>
      </c>
      <c r="O194">
        <v>123.48331768976</v>
      </c>
      <c r="P194">
        <v>254.975980654154</v>
      </c>
      <c r="Q194">
        <v>147.550024691517</v>
      </c>
      <c r="R194">
        <v>105.43286668784999</v>
      </c>
      <c r="S194">
        <v>117.467061689914</v>
      </c>
      <c r="T194">
        <v>242.89659992580701</v>
      </c>
      <c r="U194">
        <v>222.690701572096</v>
      </c>
      <c r="V194">
        <v>278.81272345212301</v>
      </c>
      <c r="W194">
        <v>275.503897666591</v>
      </c>
    </row>
    <row r="195" spans="1:23" x14ac:dyDescent="0.2">
      <c r="A195" t="s">
        <v>410</v>
      </c>
      <c r="B195" s="3" t="str">
        <f>HYPERLINK("http://www.ncbi.nlm.nih.gov/gene/70357","Kcnip1")</f>
        <v>Kcnip1</v>
      </c>
      <c r="C195">
        <v>70357</v>
      </c>
      <c r="D195" t="s">
        <v>411</v>
      </c>
      <c r="E195" s="3" t="str">
        <f>HYPERLINK("http://genome.ucsc.edu/cgi-bin/hgTracks?db=mm10&amp;lastVirtModeType=default&amp;lastVirtModeExtraState=&amp;virtModeType=default&amp;virtMode=0&amp;nonVirtPosition=&amp;position=chr11:33629779-33843585","chr11:33629779-33843585")</f>
        <v>chr11:33629779-33843585</v>
      </c>
      <c r="F195" t="s">
        <v>25</v>
      </c>
      <c r="G195">
        <v>-0.925014930942335</v>
      </c>
      <c r="H195">
        <v>0.147432327239675</v>
      </c>
      <c r="I195">
        <v>-6.2741662446837401</v>
      </c>
      <c r="J195" s="1">
        <v>3.51512774583383E-10</v>
      </c>
      <c r="K195" s="1">
        <v>2.451618523149E-8</v>
      </c>
      <c r="L195" t="s">
        <v>26</v>
      </c>
      <c r="M195" t="s">
        <v>27</v>
      </c>
      <c r="N195">
        <v>294.57770382965799</v>
      </c>
      <c r="O195">
        <v>408.968974780981</v>
      </c>
      <c r="P195">
        <v>208.78425061616599</v>
      </c>
      <c r="Q195">
        <v>396.99308530208202</v>
      </c>
      <c r="R195">
        <v>426.28252574511902</v>
      </c>
      <c r="S195">
        <v>403.63131329574099</v>
      </c>
      <c r="T195">
        <v>178.735233907669</v>
      </c>
      <c r="U195">
        <v>259.09206625215</v>
      </c>
      <c r="V195">
        <v>224.37435528469001</v>
      </c>
      <c r="W195">
        <v>172.93534702015501</v>
      </c>
    </row>
    <row r="196" spans="1:23" x14ac:dyDescent="0.2">
      <c r="A196" t="s">
        <v>412</v>
      </c>
      <c r="B196" s="3" t="str">
        <f>HYPERLINK("http://www.ncbi.nlm.nih.gov/gene/18609","Pdx1")</f>
        <v>Pdx1</v>
      </c>
      <c r="C196">
        <v>18609</v>
      </c>
      <c r="D196" t="s">
        <v>413</v>
      </c>
      <c r="E196" s="3" t="str">
        <f>HYPERLINK("http://genome.ucsc.edu/cgi-bin/hgTracks?db=mm10&amp;lastVirtModeType=default&amp;lastVirtModeExtraState=&amp;virtModeType=default&amp;virtMode=0&amp;nonVirtPosition=&amp;position=chr5:147270130-147275149","chr5:147270130-147275149")</f>
        <v>chr5:147270130-147275149</v>
      </c>
      <c r="F196" t="s">
        <v>30</v>
      </c>
      <c r="G196">
        <v>2.4358639665027302</v>
      </c>
      <c r="H196">
        <v>0.388722910340983</v>
      </c>
      <c r="I196">
        <v>6.2663246793609897</v>
      </c>
      <c r="J196" s="1">
        <v>3.6966915518030902E-10</v>
      </c>
      <c r="K196" s="1">
        <v>2.5648910139997501E-8</v>
      </c>
      <c r="L196" t="s">
        <v>26</v>
      </c>
      <c r="M196" t="s">
        <v>27</v>
      </c>
      <c r="N196">
        <v>12.8623462842351</v>
      </c>
      <c r="O196">
        <v>0.99522667210319604</v>
      </c>
      <c r="P196">
        <v>21.762685993333999</v>
      </c>
      <c r="Q196">
        <v>2.2271701840229001</v>
      </c>
      <c r="R196">
        <v>0.758509832286689</v>
      </c>
      <c r="S196">
        <v>0</v>
      </c>
      <c r="T196">
        <v>36.663637724650101</v>
      </c>
      <c r="U196">
        <v>10.7062837294277</v>
      </c>
      <c r="V196">
        <v>20.5983014687584</v>
      </c>
      <c r="W196">
        <v>19.0825210504998</v>
      </c>
    </row>
    <row r="197" spans="1:23" x14ac:dyDescent="0.2">
      <c r="A197" t="s">
        <v>414</v>
      </c>
      <c r="B197" s="3" t="str">
        <f>HYPERLINK("http://www.ncbi.nlm.nih.gov/gene/67666","Hapln3")</f>
        <v>Hapln3</v>
      </c>
      <c r="C197">
        <v>67666</v>
      </c>
      <c r="D197" t="s">
        <v>415</v>
      </c>
      <c r="E197" s="3" t="str">
        <f>HYPERLINK("http://genome.ucsc.edu/cgi-bin/hgTracks?db=mm10&amp;lastVirtModeType=default&amp;lastVirtModeExtraState=&amp;virtModeType=default&amp;virtMode=0&amp;nonVirtPosition=&amp;position=chr7:79117026-79131018","chr7:79117026-79131018")</f>
        <v>chr7:79117026-79131018</v>
      </c>
      <c r="F197" t="s">
        <v>25</v>
      </c>
      <c r="G197">
        <v>1.24599022471488</v>
      </c>
      <c r="H197">
        <v>0.19933227767139999</v>
      </c>
      <c r="I197">
        <v>6.2508201846211104</v>
      </c>
      <c r="J197" s="1">
        <v>4.0830275226942401E-10</v>
      </c>
      <c r="K197" s="1">
        <v>2.81834131734013E-8</v>
      </c>
      <c r="L197" t="s">
        <v>26</v>
      </c>
      <c r="M197" t="s">
        <v>27</v>
      </c>
      <c r="N197">
        <v>75.005139704838996</v>
      </c>
      <c r="O197">
        <v>39.329796176886397</v>
      </c>
      <c r="P197">
        <v>101.761647350804</v>
      </c>
      <c r="Q197">
        <v>42.873026042440799</v>
      </c>
      <c r="R197">
        <v>35.270707201331</v>
      </c>
      <c r="S197">
        <v>39.8456552868873</v>
      </c>
      <c r="T197">
        <v>114.573867889532</v>
      </c>
      <c r="U197">
        <v>111.345350786048</v>
      </c>
      <c r="V197">
        <v>90.4853957377603</v>
      </c>
      <c r="W197">
        <v>90.6419749898742</v>
      </c>
    </row>
    <row r="198" spans="1:23" x14ac:dyDescent="0.2">
      <c r="A198" t="s">
        <v>416</v>
      </c>
      <c r="B198" s="3" t="str">
        <f>HYPERLINK("http://www.ncbi.nlm.nih.gov/gene/67117","Dynlt3")</f>
        <v>Dynlt3</v>
      </c>
      <c r="C198">
        <v>67117</v>
      </c>
      <c r="D198" t="s">
        <v>417</v>
      </c>
      <c r="E198" s="3" t="str">
        <f>HYPERLINK("http://genome.ucsc.edu/cgi-bin/hgTracks?db=mm10&amp;lastVirtModeType=default&amp;lastVirtModeExtraState=&amp;virtModeType=default&amp;virtMode=0&amp;nonVirtPosition=&amp;position=chrX:9654269-9662983","chrX:9654269-9662983")</f>
        <v>chrX:9654269-9662983</v>
      </c>
      <c r="F198" t="s">
        <v>25</v>
      </c>
      <c r="G198">
        <v>-1.0527332661423301</v>
      </c>
      <c r="H198">
        <v>0.168592995785878</v>
      </c>
      <c r="I198">
        <v>-6.2442289564588904</v>
      </c>
      <c r="J198" s="1">
        <v>4.2589575755490599E-10</v>
      </c>
      <c r="K198" s="1">
        <v>2.9247026099578201E-8</v>
      </c>
      <c r="L198" t="s">
        <v>26</v>
      </c>
      <c r="M198" t="s">
        <v>27</v>
      </c>
      <c r="N198">
        <v>344.52869469389799</v>
      </c>
      <c r="O198">
        <v>495.06914282608199</v>
      </c>
      <c r="P198">
        <v>231.62335859476099</v>
      </c>
      <c r="Q198">
        <v>557.90613109773597</v>
      </c>
      <c r="R198">
        <v>543.85154974955606</v>
      </c>
      <c r="S198">
        <v>383.44974763095399</v>
      </c>
      <c r="T198">
        <v>261.22841878813199</v>
      </c>
      <c r="U198">
        <v>201.27813411323999</v>
      </c>
      <c r="V198">
        <v>255.271807487828</v>
      </c>
      <c r="W198">
        <v>208.71507398984201</v>
      </c>
    </row>
    <row r="199" spans="1:23" x14ac:dyDescent="0.2">
      <c r="A199" t="s">
        <v>418</v>
      </c>
      <c r="B199" s="3" t="str">
        <f>HYPERLINK("http://www.ncbi.nlm.nih.gov/gene/23959","Nt5e")</f>
        <v>Nt5e</v>
      </c>
      <c r="C199">
        <v>23959</v>
      </c>
      <c r="D199" t="s">
        <v>419</v>
      </c>
      <c r="E199" s="3" t="str">
        <f>HYPERLINK("http://genome.ucsc.edu/cgi-bin/hgTracks?db=mm10&amp;lastVirtModeType=default&amp;lastVirtModeExtraState=&amp;virtModeType=default&amp;virtMode=0&amp;nonVirtPosition=&amp;position=chr9:88327608-88372089","chr9:88327608-88372089")</f>
        <v>chr9:88327608-88372089</v>
      </c>
      <c r="F199" t="s">
        <v>30</v>
      </c>
      <c r="G199">
        <v>-1.3011385871565</v>
      </c>
      <c r="H199">
        <v>0.20866325985329701</v>
      </c>
      <c r="I199">
        <v>-6.2355902427254302</v>
      </c>
      <c r="J199" s="1">
        <v>4.5007779821797501E-10</v>
      </c>
      <c r="K199" s="1">
        <v>3.0749958142535198E-8</v>
      </c>
      <c r="L199" t="s">
        <v>26</v>
      </c>
      <c r="M199" t="s">
        <v>27</v>
      </c>
      <c r="N199">
        <v>851.35237098917298</v>
      </c>
      <c r="O199">
        <v>1322.7769667443499</v>
      </c>
      <c r="P199">
        <v>497.783924172789</v>
      </c>
      <c r="Q199">
        <v>862.47165376286796</v>
      </c>
      <c r="R199">
        <v>1375.9368357680501</v>
      </c>
      <c r="S199">
        <v>1729.92241070213</v>
      </c>
      <c r="T199">
        <v>430.797743264639</v>
      </c>
      <c r="U199">
        <v>554.58549718435404</v>
      </c>
      <c r="V199">
        <v>581.16636286854202</v>
      </c>
      <c r="W199">
        <v>424.586093373621</v>
      </c>
    </row>
    <row r="200" spans="1:23" x14ac:dyDescent="0.2">
      <c r="A200" t="s">
        <v>420</v>
      </c>
      <c r="B200" s="3" t="str">
        <f>HYPERLINK("http://www.ncbi.nlm.nih.gov/gene/73750","Whrn")</f>
        <v>Whrn</v>
      </c>
      <c r="C200">
        <v>73750</v>
      </c>
      <c r="D200" t="s">
        <v>421</v>
      </c>
      <c r="E200" s="3" t="str">
        <f>HYPERLINK("http://genome.ucsc.edu/cgi-bin/hgTracks?db=mm10&amp;lastVirtModeType=default&amp;lastVirtModeExtraState=&amp;virtModeType=default&amp;virtMode=0&amp;nonVirtPosition=&amp;position=chr4:63414909-63495991","chr4:63414909-63495991")</f>
        <v>chr4:63414909-63495991</v>
      </c>
      <c r="F200" t="s">
        <v>25</v>
      </c>
      <c r="G200">
        <v>1.50482215064178</v>
      </c>
      <c r="H200">
        <v>0.24153283595567099</v>
      </c>
      <c r="I200">
        <v>6.2303005083663496</v>
      </c>
      <c r="J200" s="1">
        <v>4.6554130139821501E-10</v>
      </c>
      <c r="K200" s="1">
        <v>3.1644992726007603E-8</v>
      </c>
      <c r="L200" t="s">
        <v>26</v>
      </c>
      <c r="M200" t="s">
        <v>27</v>
      </c>
      <c r="N200">
        <v>82.295871745263995</v>
      </c>
      <c r="O200">
        <v>35.377960108769301</v>
      </c>
      <c r="P200">
        <v>117.484305472635</v>
      </c>
      <c r="Q200">
        <v>25.055664570257601</v>
      </c>
      <c r="R200">
        <v>45.889844853344698</v>
      </c>
      <c r="S200">
        <v>35.1883709027056</v>
      </c>
      <c r="T200">
        <v>137.48864146743799</v>
      </c>
      <c r="U200">
        <v>141.32294522844501</v>
      </c>
      <c r="V200">
        <v>89.749742113876096</v>
      </c>
      <c r="W200">
        <v>101.37589308078</v>
      </c>
    </row>
    <row r="201" spans="1:23" x14ac:dyDescent="0.2">
      <c r="A201" t="s">
        <v>422</v>
      </c>
      <c r="B201" s="3" t="str">
        <f>HYPERLINK("http://www.ncbi.nlm.nih.gov/gene/18511","Pax9")</f>
        <v>Pax9</v>
      </c>
      <c r="C201">
        <v>18511</v>
      </c>
      <c r="D201" t="s">
        <v>423</v>
      </c>
      <c r="E201" s="3" t="str">
        <f>HYPERLINK("http://genome.ucsc.edu/cgi-bin/hgTracks?db=mm10&amp;lastVirtModeType=default&amp;lastVirtModeExtraState=&amp;virtModeType=default&amp;virtMode=0&amp;nonVirtPosition=&amp;position=chr12:56695470-56712822","chr12:56695470-56712822")</f>
        <v>chr12:56695470-56712822</v>
      </c>
      <c r="F201" t="s">
        <v>30</v>
      </c>
      <c r="G201">
        <v>2.3766880529371699</v>
      </c>
      <c r="H201">
        <v>0.381745611009283</v>
      </c>
      <c r="I201">
        <v>6.2258425097633197</v>
      </c>
      <c r="J201" s="1">
        <v>4.7897502640388204E-10</v>
      </c>
      <c r="K201" s="1">
        <v>3.2393709992799901E-8</v>
      </c>
      <c r="L201" t="s">
        <v>26</v>
      </c>
      <c r="M201" t="s">
        <v>27</v>
      </c>
      <c r="N201">
        <v>14.7795257209577</v>
      </c>
      <c r="O201">
        <v>1.4417206836735299</v>
      </c>
      <c r="P201">
        <v>24.782879498920799</v>
      </c>
      <c r="Q201">
        <v>1.67037763801717</v>
      </c>
      <c r="R201">
        <v>2.6547844130034099</v>
      </c>
      <c r="S201">
        <v>0</v>
      </c>
      <c r="T201">
        <v>36.663637724650101</v>
      </c>
      <c r="U201">
        <v>27.836337696512</v>
      </c>
      <c r="V201">
        <v>19.126994220989999</v>
      </c>
      <c r="W201">
        <v>15.504548353531099</v>
      </c>
    </row>
    <row r="202" spans="1:23" x14ac:dyDescent="0.2">
      <c r="A202" t="s">
        <v>424</v>
      </c>
      <c r="B202" s="3" t="str">
        <f>HYPERLINK("http://www.ncbi.nlm.nih.gov/gene/381983","Lmtk3")</f>
        <v>Lmtk3</v>
      </c>
      <c r="C202">
        <v>381983</v>
      </c>
      <c r="D202" t="s">
        <v>425</v>
      </c>
      <c r="E202" s="3" t="str">
        <f>HYPERLINK("http://genome.ucsc.edu/cgi-bin/hgTracks?db=mm10&amp;lastVirtModeType=default&amp;lastVirtModeExtraState=&amp;virtModeType=default&amp;virtMode=0&amp;nonVirtPosition=&amp;position=chr7:45783946-45804142","chr7:45783946-45804142")</f>
        <v>chr7:45783946-45804142</v>
      </c>
      <c r="F202" t="s">
        <v>30</v>
      </c>
      <c r="G202">
        <v>1.3884587106150701</v>
      </c>
      <c r="H202">
        <v>0.22322199435936499</v>
      </c>
      <c r="I202">
        <v>6.2200802147649998</v>
      </c>
      <c r="J202" s="1">
        <v>4.9690078042731196E-10</v>
      </c>
      <c r="K202" s="1">
        <v>3.3437177641719298E-8</v>
      </c>
      <c r="L202" t="s">
        <v>26</v>
      </c>
      <c r="M202" t="s">
        <v>27</v>
      </c>
      <c r="N202">
        <v>509.234001211399</v>
      </c>
      <c r="O202">
        <v>246.241521372048</v>
      </c>
      <c r="P202">
        <v>706.47836109091202</v>
      </c>
      <c r="Q202">
        <v>232.182491684387</v>
      </c>
      <c r="R202">
        <v>169.14769259993199</v>
      </c>
      <c r="S202">
        <v>337.39437983182501</v>
      </c>
      <c r="T202">
        <v>705.77502619951497</v>
      </c>
      <c r="U202">
        <v>858.64395510010002</v>
      </c>
      <c r="V202">
        <v>486.267045387476</v>
      </c>
      <c r="W202">
        <v>775.227417676556</v>
      </c>
    </row>
    <row r="203" spans="1:23" x14ac:dyDescent="0.2">
      <c r="A203" t="s">
        <v>426</v>
      </c>
      <c r="B203" s="3" t="str">
        <f>HYPERLINK("http://www.ncbi.nlm.nih.gov/gene/230235","Frrs1l")</f>
        <v>Frrs1l</v>
      </c>
      <c r="C203">
        <v>230235</v>
      </c>
      <c r="D203" t="s">
        <v>427</v>
      </c>
      <c r="E203" s="3" t="str">
        <f>HYPERLINK("http://genome.ucsc.edu/cgi-bin/hgTracks?db=mm10&amp;lastVirtModeType=default&amp;lastVirtModeExtraState=&amp;virtModeType=default&amp;virtMode=0&amp;nonVirtPosition=&amp;position=chr4:56960135-56990391","chr4:56960135-56990391")</f>
        <v>chr4:56960135-56990391</v>
      </c>
      <c r="F203" t="s">
        <v>25</v>
      </c>
      <c r="G203">
        <v>-1.03215703486919</v>
      </c>
      <c r="H203">
        <v>0.16608389182729499</v>
      </c>
      <c r="I203">
        <v>-6.2146727386572698</v>
      </c>
      <c r="J203" s="1">
        <v>5.1431727456646595E-10</v>
      </c>
      <c r="K203" s="1">
        <v>3.4409322741355903E-8</v>
      </c>
      <c r="L203" t="s">
        <v>26</v>
      </c>
      <c r="M203" t="s">
        <v>27</v>
      </c>
      <c r="N203">
        <v>782.51764991042705</v>
      </c>
      <c r="O203">
        <v>1116.51094500512</v>
      </c>
      <c r="P203">
        <v>532.02267858940502</v>
      </c>
      <c r="Q203">
        <v>1206.0126546484</v>
      </c>
      <c r="R203">
        <v>1213.6157316587</v>
      </c>
      <c r="S203">
        <v>929.90444870826502</v>
      </c>
      <c r="T203">
        <v>549.95456586975195</v>
      </c>
      <c r="U203">
        <v>650.94205074920296</v>
      </c>
      <c r="V203">
        <v>411.966029375169</v>
      </c>
      <c r="W203">
        <v>515.22806836349605</v>
      </c>
    </row>
    <row r="204" spans="1:23" x14ac:dyDescent="0.2">
      <c r="A204" t="s">
        <v>428</v>
      </c>
      <c r="B204" s="3" t="str">
        <f>HYPERLINK("http://www.ncbi.nlm.nih.gov/gene/57810","Cdon")</f>
        <v>Cdon</v>
      </c>
      <c r="C204">
        <v>57810</v>
      </c>
      <c r="D204" t="s">
        <v>429</v>
      </c>
      <c r="E204" s="3" t="str">
        <f>HYPERLINK("http://genome.ucsc.edu/cgi-bin/hgTracks?db=mm10&amp;lastVirtModeType=default&amp;lastVirtModeExtraState=&amp;virtModeType=default&amp;virtMode=0&amp;nonVirtPosition=&amp;position=chr9:35452075-35507652","chr9:35452075-35507652")</f>
        <v>chr9:35452075-35507652</v>
      </c>
      <c r="F204" t="s">
        <v>30</v>
      </c>
      <c r="G204">
        <v>1.1734340416295801</v>
      </c>
      <c r="H204">
        <v>0.18883679250461799</v>
      </c>
      <c r="I204">
        <v>6.2140117191456801</v>
      </c>
      <c r="J204" s="1">
        <v>5.16486735196216E-10</v>
      </c>
      <c r="K204" s="1">
        <v>3.4409322741355903E-8</v>
      </c>
      <c r="L204" t="s">
        <v>26</v>
      </c>
      <c r="M204" t="s">
        <v>27</v>
      </c>
      <c r="N204">
        <v>99.927241404926093</v>
      </c>
      <c r="O204">
        <v>56.069987600940699</v>
      </c>
      <c r="P204">
        <v>132.82018175791501</v>
      </c>
      <c r="Q204">
        <v>55.122462054566803</v>
      </c>
      <c r="R204">
        <v>54.612707924641597</v>
      </c>
      <c r="S204">
        <v>58.474792823613797</v>
      </c>
      <c r="T204">
        <v>109.99091317395001</v>
      </c>
      <c r="U204">
        <v>171.30053967084299</v>
      </c>
      <c r="V204">
        <v>114.02631170205601</v>
      </c>
      <c r="W204">
        <v>135.96296248481099</v>
      </c>
    </row>
    <row r="205" spans="1:23" x14ac:dyDescent="0.2">
      <c r="A205" t="s">
        <v>430</v>
      </c>
      <c r="B205" s="3" t="str">
        <f>HYPERLINK("http://www.ncbi.nlm.nih.gov/gene/16601","Klf9")</f>
        <v>Klf9</v>
      </c>
      <c r="C205">
        <v>16601</v>
      </c>
      <c r="D205" t="s">
        <v>431</v>
      </c>
      <c r="E205" s="3" t="str">
        <f>HYPERLINK("http://genome.ucsc.edu/cgi-bin/hgTracks?db=mm10&amp;lastVirtModeType=default&amp;lastVirtModeExtraState=&amp;virtModeType=default&amp;virtMode=0&amp;nonVirtPosition=&amp;position=chr19:23141225-23166911","chr19:23141225-23166911")</f>
        <v>chr19:23141225-23166911</v>
      </c>
      <c r="F205" t="s">
        <v>30</v>
      </c>
      <c r="G205">
        <v>-1.44510410835221</v>
      </c>
      <c r="H205">
        <v>0.23307884913364499</v>
      </c>
      <c r="I205">
        <v>-6.2000654015740597</v>
      </c>
      <c r="J205" s="1">
        <v>5.6439702239074997E-10</v>
      </c>
      <c r="K205" s="1">
        <v>3.7415052113042203E-8</v>
      </c>
      <c r="L205" t="s">
        <v>26</v>
      </c>
      <c r="M205" t="s">
        <v>27</v>
      </c>
      <c r="N205">
        <v>492.24120685248101</v>
      </c>
      <c r="O205">
        <v>795.17611301474903</v>
      </c>
      <c r="P205">
        <v>265.04002723077798</v>
      </c>
      <c r="Q205">
        <v>426.50309024038501</v>
      </c>
      <c r="R205">
        <v>1036.8829407359001</v>
      </c>
      <c r="S205">
        <v>922.14230806796297</v>
      </c>
      <c r="T205">
        <v>284.14319236603802</v>
      </c>
      <c r="U205">
        <v>286.92840394866198</v>
      </c>
      <c r="V205">
        <v>239.82308138625899</v>
      </c>
      <c r="W205">
        <v>249.26543122215401</v>
      </c>
    </row>
    <row r="206" spans="1:23" x14ac:dyDescent="0.2">
      <c r="A206" t="s">
        <v>432</v>
      </c>
      <c r="B206" s="3" t="str">
        <f>HYPERLINK("http://www.ncbi.nlm.nih.gov/gene/18767","Pkia")</f>
        <v>Pkia</v>
      </c>
      <c r="C206">
        <v>18767</v>
      </c>
      <c r="D206" t="s">
        <v>433</v>
      </c>
      <c r="E206" s="3" t="str">
        <f>HYPERLINK("http://genome.ucsc.edu/cgi-bin/hgTracks?db=mm10&amp;lastVirtModeType=default&amp;lastVirtModeExtraState=&amp;virtModeType=default&amp;virtMode=0&amp;nonVirtPosition=&amp;position=chr3:7366603-7445365","chr3:7366603-7445365")</f>
        <v>chr3:7366603-7445365</v>
      </c>
      <c r="F206" t="s">
        <v>30</v>
      </c>
      <c r="G206">
        <v>-0.990722693379265</v>
      </c>
      <c r="H206">
        <v>0.15984966670783701</v>
      </c>
      <c r="I206">
        <v>-6.1978402193984099</v>
      </c>
      <c r="J206" s="1">
        <v>5.7243207078010801E-10</v>
      </c>
      <c r="K206" s="1">
        <v>3.7760777634563701E-8</v>
      </c>
      <c r="L206" t="s">
        <v>26</v>
      </c>
      <c r="M206" t="s">
        <v>27</v>
      </c>
      <c r="N206">
        <v>862.083366417908</v>
      </c>
      <c r="O206">
        <v>1218.6860428069899</v>
      </c>
      <c r="P206">
        <v>594.63135912610096</v>
      </c>
      <c r="Q206">
        <v>1510.02138476753</v>
      </c>
      <c r="R206">
        <v>1216.6497709878499</v>
      </c>
      <c r="S206">
        <v>929.38697266557801</v>
      </c>
      <c r="T206">
        <v>577.452294163239</v>
      </c>
      <c r="U206">
        <v>610.25817257737799</v>
      </c>
      <c r="V206">
        <v>588.52289910738398</v>
      </c>
      <c r="W206">
        <v>602.29207065640105</v>
      </c>
    </row>
    <row r="207" spans="1:23" x14ac:dyDescent="0.2">
      <c r="A207" t="s">
        <v>434</v>
      </c>
      <c r="B207" s="3" t="str">
        <f>HYPERLINK("http://www.ncbi.nlm.nih.gov/gene/230872","Crocc")</f>
        <v>Crocc</v>
      </c>
      <c r="C207">
        <v>230872</v>
      </c>
      <c r="D207" t="s">
        <v>435</v>
      </c>
      <c r="E207" s="3" t="str">
        <f>HYPERLINK("http://genome.ucsc.edu/cgi-bin/hgTracks?db=mm10&amp;lastVirtModeType=default&amp;lastVirtModeExtraState=&amp;virtModeType=default&amp;virtMode=0&amp;nonVirtPosition=&amp;position=chr4:141016636-141053661","chr4:141016636-141053661")</f>
        <v>chr4:141016636-141053661</v>
      </c>
      <c r="F207" t="s">
        <v>25</v>
      </c>
      <c r="G207">
        <v>1.63609986420247</v>
      </c>
      <c r="H207">
        <v>0.26402318809151998</v>
      </c>
      <c r="I207">
        <v>6.1968036823922397</v>
      </c>
      <c r="J207" s="1">
        <v>5.7621296985797403E-10</v>
      </c>
      <c r="K207" s="1">
        <v>3.7822554635398203E-8</v>
      </c>
      <c r="L207" t="s">
        <v>26</v>
      </c>
      <c r="M207" t="s">
        <v>27</v>
      </c>
      <c r="N207">
        <v>152.59019621512999</v>
      </c>
      <c r="O207">
        <v>60.141497972874099</v>
      </c>
      <c r="P207">
        <v>221.92671989682199</v>
      </c>
      <c r="Q207">
        <v>50.668121686520998</v>
      </c>
      <c r="R207">
        <v>44.372825188771301</v>
      </c>
      <c r="S207">
        <v>85.383547043329898</v>
      </c>
      <c r="T207">
        <v>270.39432821929501</v>
      </c>
      <c r="U207">
        <v>177.72430990849901</v>
      </c>
      <c r="V207">
        <v>139.03853491411999</v>
      </c>
      <c r="W207">
        <v>300.54970654537198</v>
      </c>
    </row>
    <row r="208" spans="1:23" x14ac:dyDescent="0.2">
      <c r="A208" t="s">
        <v>436</v>
      </c>
      <c r="B208" s="3" t="str">
        <f>HYPERLINK("http://www.ncbi.nlm.nih.gov/gene/12662","Chm")</f>
        <v>Chm</v>
      </c>
      <c r="C208">
        <v>12662</v>
      </c>
      <c r="D208" t="s">
        <v>437</v>
      </c>
      <c r="E208" s="3" t="str">
        <f>HYPERLINK("http://genome.ucsc.edu/cgi-bin/hgTracks?db=mm10&amp;lastVirtModeType=default&amp;lastVirtModeExtraState=&amp;virtModeType=default&amp;virtMode=0&amp;nonVirtPosition=&amp;position=chrX:113040591-113185515","chrX:113040591-113185515")</f>
        <v>chrX:113040591-113185515</v>
      </c>
      <c r="F208" t="s">
        <v>25</v>
      </c>
      <c r="G208">
        <v>-0.86362347989897303</v>
      </c>
      <c r="H208">
        <v>0.13938315551591901</v>
      </c>
      <c r="I208">
        <v>-6.1960390888147101</v>
      </c>
      <c r="J208" s="1">
        <v>5.7901752671619904E-10</v>
      </c>
      <c r="K208" s="1">
        <v>3.7822554635398203E-8</v>
      </c>
      <c r="L208" t="s">
        <v>26</v>
      </c>
      <c r="M208" t="s">
        <v>27</v>
      </c>
      <c r="N208">
        <v>347.37682219190202</v>
      </c>
      <c r="O208">
        <v>472.69685121247102</v>
      </c>
      <c r="P208">
        <v>253.38680042647599</v>
      </c>
      <c r="Q208">
        <v>524.49857833739304</v>
      </c>
      <c r="R208">
        <v>436.14315356484599</v>
      </c>
      <c r="S208">
        <v>457.448821735173</v>
      </c>
      <c r="T208">
        <v>265.81137350371301</v>
      </c>
      <c r="U208">
        <v>220.54944482620999</v>
      </c>
      <c r="V208">
        <v>289.84752781038702</v>
      </c>
      <c r="W208">
        <v>237.33885556559201</v>
      </c>
    </row>
    <row r="209" spans="1:23" x14ac:dyDescent="0.2">
      <c r="A209" t="s">
        <v>438</v>
      </c>
      <c r="B209" s="3" t="str">
        <f>HYPERLINK("http://www.ncbi.nlm.nih.gov/gene/19346","Rab6a")</f>
        <v>Rab6a</v>
      </c>
      <c r="C209">
        <v>19346</v>
      </c>
      <c r="D209" t="s">
        <v>439</v>
      </c>
      <c r="E209" s="3" t="str">
        <f>HYPERLINK("http://genome.ucsc.edu/cgi-bin/hgTracks?db=mm10&amp;lastVirtModeType=default&amp;lastVirtModeExtraState=&amp;virtModeType=default&amp;virtMode=0&amp;nonVirtPosition=&amp;position=chr7:100607585-100641268","chr7:100607585-100641268")</f>
        <v>chr7:100607585-100641268</v>
      </c>
      <c r="F209" t="s">
        <v>30</v>
      </c>
      <c r="G209">
        <v>-0.86293377780062497</v>
      </c>
      <c r="H209">
        <v>0.139289978933196</v>
      </c>
      <c r="I209">
        <v>-6.1952323089551902</v>
      </c>
      <c r="J209" s="1">
        <v>5.81991266077069E-10</v>
      </c>
      <c r="K209" s="1">
        <v>3.7832257495330299E-8</v>
      </c>
      <c r="L209" t="s">
        <v>26</v>
      </c>
      <c r="M209" t="s">
        <v>27</v>
      </c>
      <c r="N209">
        <v>993.90087095118804</v>
      </c>
      <c r="O209">
        <v>1352.8645658659</v>
      </c>
      <c r="P209">
        <v>724.67809976515503</v>
      </c>
      <c r="Q209">
        <v>1296.7698396473299</v>
      </c>
      <c r="R209">
        <v>1577.3211962401699</v>
      </c>
      <c r="S209">
        <v>1184.5026617101901</v>
      </c>
      <c r="T209">
        <v>650.77956961253904</v>
      </c>
      <c r="U209">
        <v>721.60352336342498</v>
      </c>
      <c r="V209">
        <v>829.81728774141197</v>
      </c>
      <c r="W209">
        <v>696.51201834324399</v>
      </c>
    </row>
    <row r="210" spans="1:23" x14ac:dyDescent="0.2">
      <c r="A210" t="s">
        <v>440</v>
      </c>
      <c r="B210" s="3" t="str">
        <f>HYPERLINK("http://www.ncbi.nlm.nih.gov/gene/69926","Dnah17")</f>
        <v>Dnah17</v>
      </c>
      <c r="C210">
        <v>69926</v>
      </c>
      <c r="D210" t="s">
        <v>441</v>
      </c>
      <c r="E210" s="3" t="str">
        <f>HYPERLINK("http://genome.ucsc.edu/cgi-bin/hgTracks?db=mm10&amp;lastVirtModeType=default&amp;lastVirtModeExtraState=&amp;virtModeType=default&amp;virtMode=0&amp;nonVirtPosition=&amp;position=chr11:118021722-118129219","chr11:118021722-118129219")</f>
        <v>chr11:118021722-118129219</v>
      </c>
      <c r="F210" t="s">
        <v>25</v>
      </c>
      <c r="G210">
        <v>1.70432759732671</v>
      </c>
      <c r="H210">
        <v>0.275379946038182</v>
      </c>
      <c r="I210">
        <v>6.1890040355022604</v>
      </c>
      <c r="J210" s="1">
        <v>6.0545533503988499E-10</v>
      </c>
      <c r="K210" s="1">
        <v>3.91674028575802E-8</v>
      </c>
      <c r="L210" t="s">
        <v>26</v>
      </c>
      <c r="M210" t="s">
        <v>27</v>
      </c>
      <c r="N210">
        <v>36.4339141178029</v>
      </c>
      <c r="O210">
        <v>13.398772979873</v>
      </c>
      <c r="P210">
        <v>53.710269971250298</v>
      </c>
      <c r="Q210">
        <v>17.260568926177498</v>
      </c>
      <c r="R210">
        <v>9.4813729035836207</v>
      </c>
      <c r="S210">
        <v>13.454377109857999</v>
      </c>
      <c r="T210">
        <v>68.744320733718993</v>
      </c>
      <c r="U210">
        <v>44.966391663596198</v>
      </c>
      <c r="V210">
        <v>52.231407295780301</v>
      </c>
      <c r="W210">
        <v>48.8989601919058</v>
      </c>
    </row>
    <row r="211" spans="1:23" x14ac:dyDescent="0.2">
      <c r="A211" t="s">
        <v>442</v>
      </c>
      <c r="B211" s="3" t="str">
        <f>HYPERLINK("http://www.ncbi.nlm.nih.gov/gene/20394","Scg5")</f>
        <v>Scg5</v>
      </c>
      <c r="C211">
        <v>20394</v>
      </c>
      <c r="D211" t="s">
        <v>443</v>
      </c>
      <c r="E211" s="3" t="str">
        <f>HYPERLINK("http://genome.ucsc.edu/cgi-bin/hgTracks?db=mm10&amp;lastVirtModeType=default&amp;lastVirtModeExtraState=&amp;virtModeType=default&amp;virtMode=0&amp;nonVirtPosition=&amp;position=chr2:113776312-113829091","chr2:113776312-113829091")</f>
        <v>chr2:113776312-113829091</v>
      </c>
      <c r="F211" t="s">
        <v>25</v>
      </c>
      <c r="G211">
        <v>-1.29679057968652</v>
      </c>
      <c r="H211">
        <v>0.20977147699721699</v>
      </c>
      <c r="I211">
        <v>-6.18192043193618</v>
      </c>
      <c r="J211" s="1">
        <v>6.3326444371855298E-10</v>
      </c>
      <c r="K211" s="1">
        <v>4.0769443104976603E-8</v>
      </c>
      <c r="L211" t="s">
        <v>26</v>
      </c>
      <c r="M211" t="s">
        <v>27</v>
      </c>
      <c r="N211">
        <v>298.33932246965799</v>
      </c>
      <c r="O211">
        <v>464.58277232295399</v>
      </c>
      <c r="P211">
        <v>173.656735079686</v>
      </c>
      <c r="Q211">
        <v>608.01746023825206</v>
      </c>
      <c r="R211">
        <v>468.00056652088699</v>
      </c>
      <c r="S211">
        <v>317.73029020972399</v>
      </c>
      <c r="T211">
        <v>137.48864146743799</v>
      </c>
      <c r="U211">
        <v>207.701904350897</v>
      </c>
      <c r="V211">
        <v>192.00559583378401</v>
      </c>
      <c r="W211">
        <v>157.43079866662401</v>
      </c>
    </row>
    <row r="212" spans="1:23" x14ac:dyDescent="0.2">
      <c r="A212" t="s">
        <v>444</v>
      </c>
      <c r="B212" s="3" t="str">
        <f>HYPERLINK("http://www.ncbi.nlm.nih.gov/gene/252864","Dusp15")</f>
        <v>Dusp15</v>
      </c>
      <c r="C212">
        <v>252864</v>
      </c>
      <c r="D212" t="s">
        <v>445</v>
      </c>
      <c r="E212" s="3" t="str">
        <f>HYPERLINK("http://genome.ucsc.edu/cgi-bin/hgTracks?db=mm10&amp;lastVirtModeType=default&amp;lastVirtModeExtraState=&amp;virtModeType=default&amp;virtMode=0&amp;nonVirtPosition=&amp;position=chr2:152940994-152951582","chr2:152940994-152951582")</f>
        <v>chr2:152940994-152951582</v>
      </c>
      <c r="F212" t="s">
        <v>25</v>
      </c>
      <c r="G212">
        <v>0.936645592781851</v>
      </c>
      <c r="H212">
        <v>0.151604071878959</v>
      </c>
      <c r="I212">
        <v>6.17823506435679</v>
      </c>
      <c r="J212" s="1">
        <v>6.4822153195066999E-10</v>
      </c>
      <c r="K212" s="1">
        <v>4.1532701121298697E-8</v>
      </c>
      <c r="L212" t="s">
        <v>26</v>
      </c>
      <c r="M212" t="s">
        <v>27</v>
      </c>
      <c r="N212">
        <v>148.75652625550899</v>
      </c>
      <c r="O212">
        <v>95.886168306810106</v>
      </c>
      <c r="P212">
        <v>188.40929471703299</v>
      </c>
      <c r="Q212">
        <v>95.768317912984699</v>
      </c>
      <c r="R212">
        <v>98.227023281126307</v>
      </c>
      <c r="S212">
        <v>93.663163726319397</v>
      </c>
      <c r="T212">
        <v>206.23296220115699</v>
      </c>
      <c r="U212">
        <v>160.59425594141501</v>
      </c>
      <c r="V212">
        <v>206.718668311469</v>
      </c>
      <c r="W212">
        <v>180.09129241409201</v>
      </c>
    </row>
    <row r="213" spans="1:23" x14ac:dyDescent="0.2">
      <c r="A213" t="s">
        <v>446</v>
      </c>
      <c r="B213" s="3" t="str">
        <f>HYPERLINK("http://www.ncbi.nlm.nih.gov/gene/100306952","Snora78")</f>
        <v>Snora78</v>
      </c>
      <c r="C213">
        <v>100306952</v>
      </c>
      <c r="D213" t="s">
        <v>447</v>
      </c>
      <c r="E213" s="3" t="str">
        <f>HYPERLINK("http://genome.ucsc.edu/cgi-bin/hgTracks?db=mm10&amp;lastVirtModeType=default&amp;lastVirtModeExtraState=&amp;virtModeType=default&amp;virtMode=0&amp;nonVirtPosition=&amp;position=chr17:24719675-24719832","chr17:24719675-24719832")</f>
        <v>chr17:24719675-24719832</v>
      </c>
      <c r="F213" t="s">
        <v>25</v>
      </c>
      <c r="G213">
        <v>2.07012298146909</v>
      </c>
      <c r="H213">
        <v>0.33567745213310701</v>
      </c>
      <c r="I213">
        <v>6.1670003996819798</v>
      </c>
      <c r="J213" s="1">
        <v>6.9597581781445399E-10</v>
      </c>
      <c r="K213" s="1">
        <v>4.4380057982635E-8</v>
      </c>
      <c r="L213" t="s">
        <v>26</v>
      </c>
      <c r="M213" t="s">
        <v>27</v>
      </c>
      <c r="N213">
        <v>45.2458900446264</v>
      </c>
      <c r="O213">
        <v>10.943674507356601</v>
      </c>
      <c r="P213">
        <v>70.972551697578595</v>
      </c>
      <c r="Q213">
        <v>11.1358509201145</v>
      </c>
      <c r="R213">
        <v>7.2058434067235497</v>
      </c>
      <c r="S213">
        <v>14.489329195231701</v>
      </c>
      <c r="T213">
        <v>64.161366018137699</v>
      </c>
      <c r="U213">
        <v>64.237702376566105</v>
      </c>
      <c r="V213">
        <v>33.840066698674597</v>
      </c>
      <c r="W213">
        <v>121.651071696936</v>
      </c>
    </row>
    <row r="214" spans="1:23" x14ac:dyDescent="0.2">
      <c r="A214" t="s">
        <v>448</v>
      </c>
      <c r="B214" s="3" t="str">
        <f>HYPERLINK("http://www.ncbi.nlm.nih.gov/gene/109050","Fam212b")</f>
        <v>Fam212b</v>
      </c>
      <c r="C214">
        <v>109050</v>
      </c>
      <c r="D214" t="s">
        <v>449</v>
      </c>
      <c r="E214" s="3" t="str">
        <f>HYPERLINK("http://genome.ucsc.edu/cgi-bin/hgTracks?db=mm10&amp;lastVirtModeType=default&amp;lastVirtModeExtraState=&amp;virtModeType=default&amp;virtMode=0&amp;nonVirtPosition=&amp;position=chr3:105705457-105720842","chr3:105705457-105720842")</f>
        <v>chr3:105705457-105720842</v>
      </c>
      <c r="F214" t="s">
        <v>30</v>
      </c>
      <c r="G214">
        <v>-0.87185493403891401</v>
      </c>
      <c r="H214">
        <v>0.14142231707113501</v>
      </c>
      <c r="I214">
        <v>-6.16490347559765</v>
      </c>
      <c r="J214" s="1">
        <v>7.0526147681648899E-10</v>
      </c>
      <c r="K214" s="1">
        <v>4.4759035241941202E-8</v>
      </c>
      <c r="L214" t="s">
        <v>26</v>
      </c>
      <c r="M214" t="s">
        <v>27</v>
      </c>
      <c r="N214">
        <v>1118.8200381711599</v>
      </c>
      <c r="O214">
        <v>1519.8317471383</v>
      </c>
      <c r="P214">
        <v>818.06125644580004</v>
      </c>
      <c r="Q214">
        <v>1522.82761332566</v>
      </c>
      <c r="R214">
        <v>1585.6648043953201</v>
      </c>
      <c r="S214">
        <v>1451.0028236939199</v>
      </c>
      <c r="T214">
        <v>838.68071295137099</v>
      </c>
      <c r="U214">
        <v>989.26061659911704</v>
      </c>
      <c r="V214">
        <v>787.14937755612596</v>
      </c>
      <c r="W214">
        <v>657.15431867658799</v>
      </c>
    </row>
    <row r="215" spans="1:23" x14ac:dyDescent="0.2">
      <c r="A215" t="s">
        <v>450</v>
      </c>
      <c r="B215" s="3" t="str">
        <f>HYPERLINK("http://www.ncbi.nlm.nih.gov/gene/65114","Vps35")</f>
        <v>Vps35</v>
      </c>
      <c r="C215">
        <v>65114</v>
      </c>
      <c r="D215" t="s">
        <v>451</v>
      </c>
      <c r="E215" s="3" t="str">
        <f>HYPERLINK("http://genome.ucsc.edu/cgi-bin/hgTracks?db=mm10&amp;lastVirtModeType=default&amp;lastVirtModeExtraState=&amp;virtModeType=default&amp;virtMode=0&amp;nonVirtPosition=&amp;position=chr8:85260391-85299497","chr8:85260391-85299497")</f>
        <v>chr8:85260391-85299497</v>
      </c>
      <c r="F215" t="s">
        <v>25</v>
      </c>
      <c r="G215">
        <v>-0.59432645725165201</v>
      </c>
      <c r="H215">
        <v>9.64823897986231E-2</v>
      </c>
      <c r="I215">
        <v>-6.1599475146928198</v>
      </c>
      <c r="J215" s="1">
        <v>7.2769058097452701E-10</v>
      </c>
      <c r="K215" s="1">
        <v>4.59646441973108E-8</v>
      </c>
      <c r="L215" t="s">
        <v>26</v>
      </c>
      <c r="M215" t="s">
        <v>27</v>
      </c>
      <c r="N215">
        <v>794.70530480305001</v>
      </c>
      <c r="O215">
        <v>989.00380594123897</v>
      </c>
      <c r="P215">
        <v>648.98142894940895</v>
      </c>
      <c r="Q215">
        <v>998.32903498826499</v>
      </c>
      <c r="R215">
        <v>983.40799755969294</v>
      </c>
      <c r="S215">
        <v>985.27438527575805</v>
      </c>
      <c r="T215">
        <v>655.36252432812103</v>
      </c>
      <c r="U215">
        <v>599.55188884794995</v>
      </c>
      <c r="V215">
        <v>673.123065854071</v>
      </c>
      <c r="W215">
        <v>667.88823676749405</v>
      </c>
    </row>
    <row r="216" spans="1:23" x14ac:dyDescent="0.2">
      <c r="A216" t="s">
        <v>452</v>
      </c>
      <c r="B216" s="3" t="str">
        <f>HYPERLINK("http://www.ncbi.nlm.nih.gov/gene/67150","Rnf141")</f>
        <v>Rnf141</v>
      </c>
      <c r="C216">
        <v>67150</v>
      </c>
      <c r="D216" t="s">
        <v>453</v>
      </c>
      <c r="E216" s="3" t="str">
        <f>HYPERLINK("http://genome.ucsc.edu/cgi-bin/hgTracks?db=mm10&amp;lastVirtModeType=default&amp;lastVirtModeExtraState=&amp;virtModeType=default&amp;virtMode=0&amp;nonVirtPosition=&amp;position=chr7:110816534-110844381","chr7:110816534-110844381")</f>
        <v>chr7:110816534-110844381</v>
      </c>
      <c r="F216" t="s">
        <v>25</v>
      </c>
      <c r="G216">
        <v>-0.77094555321803804</v>
      </c>
      <c r="H216">
        <v>0.12518328120564501</v>
      </c>
      <c r="I216">
        <v>-6.1585344767530499</v>
      </c>
      <c r="J216" s="1">
        <v>7.3421201757625895E-10</v>
      </c>
      <c r="K216" s="1">
        <v>4.6158840973538402E-8</v>
      </c>
      <c r="L216" t="s">
        <v>26</v>
      </c>
      <c r="M216" t="s">
        <v>27</v>
      </c>
      <c r="N216">
        <v>320.43116105645203</v>
      </c>
      <c r="O216">
        <v>418.92260967966001</v>
      </c>
      <c r="P216">
        <v>246.56257458904599</v>
      </c>
      <c r="Q216">
        <v>438.75252625251102</v>
      </c>
      <c r="R216">
        <v>420.593702002969</v>
      </c>
      <c r="S216">
        <v>397.421600783499</v>
      </c>
      <c r="T216">
        <v>288.72614708162001</v>
      </c>
      <c r="U216">
        <v>224.83195831798099</v>
      </c>
      <c r="V216">
        <v>250.85788574452201</v>
      </c>
      <c r="W216">
        <v>221.83430721206099</v>
      </c>
    </row>
    <row r="217" spans="1:23" x14ac:dyDescent="0.2">
      <c r="A217" t="s">
        <v>454</v>
      </c>
      <c r="B217" s="3" t="str">
        <f>HYPERLINK("http://www.ncbi.nlm.nih.gov/gene/54208","Arl6ip1")</f>
        <v>Arl6ip1</v>
      </c>
      <c r="C217">
        <v>54208</v>
      </c>
      <c r="D217" t="s">
        <v>455</v>
      </c>
      <c r="E217" s="3" t="str">
        <f>HYPERLINK("http://genome.ucsc.edu/cgi-bin/hgTracks?db=mm10&amp;lastVirtModeType=default&amp;lastVirtModeExtraState=&amp;virtModeType=default&amp;virtMode=0&amp;nonVirtPosition=&amp;position=chr7:118118889-118129625","chr7:118118889-118129625")</f>
        <v>chr7:118118889-118129625</v>
      </c>
      <c r="F217" t="s">
        <v>25</v>
      </c>
      <c r="G217">
        <v>-0.614232899874119</v>
      </c>
      <c r="H217">
        <v>9.9884742992661202E-2</v>
      </c>
      <c r="I217">
        <v>-6.1494166323204</v>
      </c>
      <c r="J217" s="1">
        <v>7.7768449603866703E-10</v>
      </c>
      <c r="K217" s="1">
        <v>4.8663425637634501E-8</v>
      </c>
      <c r="L217" t="s">
        <v>26</v>
      </c>
      <c r="M217" t="s">
        <v>27</v>
      </c>
      <c r="N217">
        <v>1353.7334817655401</v>
      </c>
      <c r="O217">
        <v>1699.13111018533</v>
      </c>
      <c r="P217">
        <v>1094.6852604507001</v>
      </c>
      <c r="Q217">
        <v>1719.37538206568</v>
      </c>
      <c r="R217">
        <v>1604.6275502024901</v>
      </c>
      <c r="S217">
        <v>1773.3903982878301</v>
      </c>
      <c r="T217">
        <v>994.50117328113402</v>
      </c>
      <c r="U217">
        <v>1104.8884808769401</v>
      </c>
      <c r="V217">
        <v>1143.94138513998</v>
      </c>
      <c r="W217">
        <v>1135.4100025047401</v>
      </c>
    </row>
    <row r="218" spans="1:23" x14ac:dyDescent="0.2">
      <c r="A218" t="s">
        <v>456</v>
      </c>
      <c r="B218" s="3" t="str">
        <f>HYPERLINK("http://www.ncbi.nlm.nih.gov/gene/21349","Tal1")</f>
        <v>Tal1</v>
      </c>
      <c r="C218">
        <v>21349</v>
      </c>
      <c r="D218" t="s">
        <v>457</v>
      </c>
      <c r="E218" s="3" t="str">
        <f>HYPERLINK("http://genome.ucsc.edu/cgi-bin/hgTracks?db=mm10&amp;lastVirtModeType=default&amp;lastVirtModeExtraState=&amp;virtModeType=default&amp;virtMode=0&amp;nonVirtPosition=&amp;position=chr4:115056425-115071755","chr4:115056425-115071755")</f>
        <v>chr4:115056425-115071755</v>
      </c>
      <c r="F218" t="s">
        <v>30</v>
      </c>
      <c r="G218">
        <v>1.8742802036844399</v>
      </c>
      <c r="H218">
        <v>0.30521935822471802</v>
      </c>
      <c r="I218">
        <v>6.1407645130572002</v>
      </c>
      <c r="J218" s="1">
        <v>8.2125255836073302E-10</v>
      </c>
      <c r="K218" s="1">
        <v>5.1150665158179401E-8</v>
      </c>
      <c r="L218" t="s">
        <v>26</v>
      </c>
      <c r="M218" t="s">
        <v>27</v>
      </c>
      <c r="N218">
        <v>44.779369150374002</v>
      </c>
      <c r="O218">
        <v>14.495100725137</v>
      </c>
      <c r="P218">
        <v>67.492570469301796</v>
      </c>
      <c r="Q218">
        <v>22.828494386234699</v>
      </c>
      <c r="R218">
        <v>12.894667148873699</v>
      </c>
      <c r="S218">
        <v>7.7621406403027198</v>
      </c>
      <c r="T218">
        <v>41.246592440231403</v>
      </c>
      <c r="U218">
        <v>64.237702376566105</v>
      </c>
      <c r="V218">
        <v>75.036669636191505</v>
      </c>
      <c r="W218">
        <v>89.449317424217995</v>
      </c>
    </row>
    <row r="219" spans="1:23" x14ac:dyDescent="0.2">
      <c r="A219" t="s">
        <v>458</v>
      </c>
      <c r="B219" s="3" t="str">
        <f>HYPERLINK("http://www.ncbi.nlm.nih.gov/gene/66341","Eid3")</f>
        <v>Eid3</v>
      </c>
      <c r="C219">
        <v>66341</v>
      </c>
      <c r="D219" t="s">
        <v>459</v>
      </c>
      <c r="E219" s="3" t="str">
        <f>HYPERLINK("http://genome.ucsc.edu/cgi-bin/hgTracks?db=mm10&amp;lastVirtModeType=default&amp;lastVirtModeExtraState=&amp;virtModeType=default&amp;virtMode=0&amp;nonVirtPosition=&amp;position=chr10:82866625-82867929","chr10:82866625-82867929")</f>
        <v>chr10:82866625-82867929</v>
      </c>
      <c r="F219" t="s">
        <v>30</v>
      </c>
      <c r="G219">
        <v>2.0910059010817998</v>
      </c>
      <c r="H219">
        <v>0.341200997995252</v>
      </c>
      <c r="I219">
        <v>6.1283698270744802</v>
      </c>
      <c r="J219" s="1">
        <v>8.8784024094029905E-10</v>
      </c>
      <c r="K219" s="1">
        <v>5.5041984566812702E-8</v>
      </c>
      <c r="L219" t="s">
        <v>26</v>
      </c>
      <c r="M219" t="s">
        <v>27</v>
      </c>
      <c r="N219">
        <v>18.2816737062256</v>
      </c>
      <c r="O219">
        <v>4.2489693001284596</v>
      </c>
      <c r="P219">
        <v>28.806202010798501</v>
      </c>
      <c r="Q219">
        <v>2.2271701840229001</v>
      </c>
      <c r="R219">
        <v>3.7925491614334499</v>
      </c>
      <c r="S219">
        <v>6.72718855492902</v>
      </c>
      <c r="T219">
        <v>22.914773577906299</v>
      </c>
      <c r="U219">
        <v>34.260107934168602</v>
      </c>
      <c r="V219">
        <v>29.4261449553692</v>
      </c>
      <c r="W219">
        <v>28.623781575749799</v>
      </c>
    </row>
    <row r="220" spans="1:23" x14ac:dyDescent="0.2">
      <c r="A220" t="s">
        <v>460</v>
      </c>
      <c r="B220" s="3" t="str">
        <f>HYPERLINK("http://www.ncbi.nlm.nih.gov/gene/100705","Acacb")</f>
        <v>Acacb</v>
      </c>
      <c r="C220">
        <v>100705</v>
      </c>
      <c r="D220" t="s">
        <v>461</v>
      </c>
      <c r="E220" s="3" t="str">
        <f>HYPERLINK("http://genome.ucsc.edu/cgi-bin/hgTracks?db=mm10&amp;lastVirtModeType=default&amp;lastVirtModeExtraState=&amp;virtModeType=default&amp;virtMode=0&amp;nonVirtPosition=&amp;position=chr5:114165517-114250758","chr5:114165517-114250758")</f>
        <v>chr5:114165517-114250758</v>
      </c>
      <c r="F220" t="s">
        <v>30</v>
      </c>
      <c r="G220">
        <v>1.44498856217562</v>
      </c>
      <c r="H220">
        <v>0.23595776286006501</v>
      </c>
      <c r="I220">
        <v>6.1239288958362401</v>
      </c>
      <c r="J220" s="1">
        <v>9.1295650471729403E-10</v>
      </c>
      <c r="K220" s="1">
        <v>5.6338251404005899E-8</v>
      </c>
      <c r="L220" t="s">
        <v>26</v>
      </c>
      <c r="M220" t="s">
        <v>27</v>
      </c>
      <c r="N220">
        <v>61.715160635913598</v>
      </c>
      <c r="O220">
        <v>27.692090921026001</v>
      </c>
      <c r="P220">
        <v>87.232462922079407</v>
      </c>
      <c r="Q220">
        <v>22.828494386234699</v>
      </c>
      <c r="R220">
        <v>34.891452285187697</v>
      </c>
      <c r="S220">
        <v>25.3563260916555</v>
      </c>
      <c r="T220">
        <v>114.573867889532</v>
      </c>
      <c r="U220">
        <v>70.661472614222703</v>
      </c>
      <c r="V220">
        <v>89.749742113876096</v>
      </c>
      <c r="W220">
        <v>73.944769070686903</v>
      </c>
    </row>
    <row r="221" spans="1:23" x14ac:dyDescent="0.2">
      <c r="A221" t="s">
        <v>462</v>
      </c>
      <c r="B221" s="3" t="str">
        <f>HYPERLINK("http://www.ncbi.nlm.nih.gov/gene/14658","Glrb")</f>
        <v>Glrb</v>
      </c>
      <c r="C221">
        <v>14658</v>
      </c>
      <c r="D221" t="s">
        <v>463</v>
      </c>
      <c r="E221" s="3" t="str">
        <f>HYPERLINK("http://genome.ucsc.edu/cgi-bin/hgTracks?db=mm10&amp;lastVirtModeType=default&amp;lastVirtModeExtraState=&amp;virtModeType=default&amp;virtMode=0&amp;nonVirtPosition=&amp;position=chr3:80843598-80913660","chr3:80843598-80913660")</f>
        <v>chr3:80843598-80913660</v>
      </c>
      <c r="F221" t="s">
        <v>25</v>
      </c>
      <c r="G221">
        <v>-1.1095545235100599</v>
      </c>
      <c r="H221">
        <v>0.181224003375102</v>
      </c>
      <c r="I221">
        <v>-6.1225582861309702</v>
      </c>
      <c r="J221" s="1">
        <v>9.2084714264873195E-10</v>
      </c>
      <c r="K221" s="1">
        <v>5.656451416151E-8</v>
      </c>
      <c r="L221" t="s">
        <v>26</v>
      </c>
      <c r="M221" t="s">
        <v>27</v>
      </c>
      <c r="N221">
        <v>315.39763106949101</v>
      </c>
      <c r="O221">
        <v>460.93047838543703</v>
      </c>
      <c r="P221">
        <v>206.24799558253201</v>
      </c>
      <c r="Q221">
        <v>595.21123168012002</v>
      </c>
      <c r="R221">
        <v>433.10911423570002</v>
      </c>
      <c r="S221">
        <v>354.47108924049098</v>
      </c>
      <c r="T221">
        <v>224.564781063482</v>
      </c>
      <c r="U221">
        <v>201.27813411323999</v>
      </c>
      <c r="V221">
        <v>186.856020466594</v>
      </c>
      <c r="W221">
        <v>212.29304668681101</v>
      </c>
    </row>
    <row r="222" spans="1:23" x14ac:dyDescent="0.2">
      <c r="A222" t="s">
        <v>464</v>
      </c>
      <c r="B222" s="3" t="str">
        <f>HYPERLINK("http://www.ncbi.nlm.nih.gov/gene/214855","Arid5a")</f>
        <v>Arid5a</v>
      </c>
      <c r="C222">
        <v>214855</v>
      </c>
      <c r="D222" t="s">
        <v>465</v>
      </c>
      <c r="E222" s="3" t="str">
        <f>HYPERLINK("http://genome.ucsc.edu/cgi-bin/hgTracks?db=mm10&amp;lastVirtModeType=default&amp;lastVirtModeExtraState=&amp;virtModeType=default&amp;virtMode=0&amp;nonVirtPosition=&amp;position=chr1:36307732-36324029","chr1:36307732-36324029")</f>
        <v>chr1:36307732-36324029</v>
      </c>
      <c r="F222" t="s">
        <v>30</v>
      </c>
      <c r="G222">
        <v>1.0658096493398399</v>
      </c>
      <c r="H222">
        <v>0.174186222275653</v>
      </c>
      <c r="I222">
        <v>6.1187942158431898</v>
      </c>
      <c r="J222" s="1">
        <v>9.4286068928854502E-10</v>
      </c>
      <c r="K222" s="1">
        <v>5.7400021467268903E-8</v>
      </c>
      <c r="L222" t="s">
        <v>26</v>
      </c>
      <c r="M222" t="s">
        <v>27</v>
      </c>
      <c r="N222">
        <v>148.17489772968</v>
      </c>
      <c r="O222">
        <v>89.010580991595702</v>
      </c>
      <c r="P222">
        <v>192.54813528324399</v>
      </c>
      <c r="Q222">
        <v>86.859637176893102</v>
      </c>
      <c r="R222">
        <v>79.264277473958998</v>
      </c>
      <c r="S222">
        <v>100.90782832393499</v>
      </c>
      <c r="T222">
        <v>206.23296220115699</v>
      </c>
      <c r="U222">
        <v>145.60545872021601</v>
      </c>
      <c r="V222">
        <v>200.09778569651101</v>
      </c>
      <c r="W222">
        <v>218.25633451509199</v>
      </c>
    </row>
    <row r="223" spans="1:23" x14ac:dyDescent="0.2">
      <c r="A223" t="s">
        <v>466</v>
      </c>
      <c r="B223" s="3" t="str">
        <f>HYPERLINK("http://www.ncbi.nlm.nih.gov/gene/14585","Gfra1")</f>
        <v>Gfra1</v>
      </c>
      <c r="C223">
        <v>14585</v>
      </c>
      <c r="D223" t="s">
        <v>467</v>
      </c>
      <c r="E223" s="3" t="str">
        <f>HYPERLINK("http://genome.ucsc.edu/cgi-bin/hgTracks?db=mm10&amp;lastVirtModeType=default&amp;lastVirtModeExtraState=&amp;virtModeType=default&amp;virtMode=0&amp;nonVirtPosition=&amp;position=chr19:58235580-58455398","chr19:58235580-58455398")</f>
        <v>chr19:58235580-58455398</v>
      </c>
      <c r="F223" t="s">
        <v>25</v>
      </c>
      <c r="G223">
        <v>-0.74627315953071804</v>
      </c>
      <c r="H223">
        <v>0.121978655151467</v>
      </c>
      <c r="I223">
        <v>-6.1180635136863204</v>
      </c>
      <c r="J223" s="1">
        <v>9.4719316900065908E-10</v>
      </c>
      <c r="K223" s="1">
        <v>5.7400021467268903E-8</v>
      </c>
      <c r="L223" t="s">
        <v>26</v>
      </c>
      <c r="M223" t="s">
        <v>27</v>
      </c>
      <c r="N223">
        <v>1028.3506706929199</v>
      </c>
      <c r="O223">
        <v>1350.15103215309</v>
      </c>
      <c r="P223">
        <v>787.00039959778201</v>
      </c>
      <c r="Q223">
        <v>1507.7942145835</v>
      </c>
      <c r="R223">
        <v>1284.15714606136</v>
      </c>
      <c r="S223">
        <v>1258.50173581441</v>
      </c>
      <c r="T223">
        <v>669.11138847486404</v>
      </c>
      <c r="U223">
        <v>813.67756343650296</v>
      </c>
      <c r="V223">
        <v>823.19640512645401</v>
      </c>
      <c r="W223">
        <v>842.01624135330496</v>
      </c>
    </row>
    <row r="224" spans="1:23" x14ac:dyDescent="0.2">
      <c r="A224" t="s">
        <v>468</v>
      </c>
      <c r="B224" s="3" t="str">
        <f>HYPERLINK("http://www.ncbi.nlm.nih.gov/gene/54196","Pabpn1")</f>
        <v>Pabpn1</v>
      </c>
      <c r="C224">
        <v>54196</v>
      </c>
      <c r="D224" t="s">
        <v>469</v>
      </c>
      <c r="E224" s="3" t="str">
        <f>HYPERLINK("http://genome.ucsc.edu/cgi-bin/hgTracks?db=mm10&amp;lastVirtModeType=default&amp;lastVirtModeExtraState=&amp;virtModeType=default&amp;virtMode=0&amp;nonVirtPosition=&amp;position=chr14:54894142-54898927","chr14:54894142-54898927")</f>
        <v>chr14:54894142-54898927</v>
      </c>
      <c r="F224" t="s">
        <v>30</v>
      </c>
      <c r="G224">
        <v>0.99923197260978802</v>
      </c>
      <c r="H224">
        <v>0.163325394229905</v>
      </c>
      <c r="I224">
        <v>6.1180441493575497</v>
      </c>
      <c r="J224" s="1">
        <v>9.47308247648901E-10</v>
      </c>
      <c r="K224" s="1">
        <v>5.7400021467268903E-8</v>
      </c>
      <c r="L224" t="s">
        <v>26</v>
      </c>
      <c r="M224" t="s">
        <v>27</v>
      </c>
      <c r="N224">
        <v>438.00427666427299</v>
      </c>
      <c r="O224">
        <v>271.91243945299198</v>
      </c>
      <c r="P224">
        <v>562.57315457273398</v>
      </c>
      <c r="Q224">
        <v>222.71701840228999</v>
      </c>
      <c r="R224">
        <v>299.61138375324202</v>
      </c>
      <c r="S224">
        <v>293.40891620344303</v>
      </c>
      <c r="T224">
        <v>568.28638473207695</v>
      </c>
      <c r="U224">
        <v>543.879213454926</v>
      </c>
      <c r="V224">
        <v>458.31220767987497</v>
      </c>
      <c r="W224">
        <v>679.81481242405698</v>
      </c>
    </row>
    <row r="225" spans="1:23" x14ac:dyDescent="0.2">
      <c r="A225" t="s">
        <v>470</v>
      </c>
      <c r="B225" s="3" t="str">
        <f>HYPERLINK("http://www.ncbi.nlm.nih.gov/gene/56055","Gtpbp2")</f>
        <v>Gtpbp2</v>
      </c>
      <c r="C225">
        <v>56055</v>
      </c>
      <c r="D225" t="s">
        <v>471</v>
      </c>
      <c r="E225" s="3" t="str">
        <f>HYPERLINK("http://genome.ucsc.edu/cgi-bin/hgTracks?db=mm10&amp;lastVirtModeType=default&amp;lastVirtModeExtraState=&amp;virtModeType=default&amp;virtMode=0&amp;nonVirtPosition=&amp;position=chr17:46161031-46169370","chr17:46161031-46169370")</f>
        <v>chr17:46161031-46169370</v>
      </c>
      <c r="F225" t="s">
        <v>30</v>
      </c>
      <c r="G225">
        <v>0.77902107754250505</v>
      </c>
      <c r="H225">
        <v>0.12754420332574401</v>
      </c>
      <c r="I225">
        <v>6.1078516877235796</v>
      </c>
      <c r="J225" s="1">
        <v>1.0098112232726701E-9</v>
      </c>
      <c r="K225" s="1">
        <v>6.0911631039839104E-8</v>
      </c>
      <c r="L225" t="s">
        <v>26</v>
      </c>
      <c r="M225" t="s">
        <v>27</v>
      </c>
      <c r="N225">
        <v>318.427189205292</v>
      </c>
      <c r="O225">
        <v>223.76231970932</v>
      </c>
      <c r="P225">
        <v>389.42584132727097</v>
      </c>
      <c r="Q225">
        <v>213.25154512019299</v>
      </c>
      <c r="R225">
        <v>229.828479182867</v>
      </c>
      <c r="S225">
        <v>228.2069348249</v>
      </c>
      <c r="T225">
        <v>407.882969686732</v>
      </c>
      <c r="U225">
        <v>329.75353886637203</v>
      </c>
      <c r="V225">
        <v>384.74684529145202</v>
      </c>
      <c r="W225">
        <v>435.32001146452802</v>
      </c>
    </row>
    <row r="226" spans="1:23" x14ac:dyDescent="0.2">
      <c r="A226" t="s">
        <v>472</v>
      </c>
      <c r="B226" s="3" t="str">
        <f>HYPERLINK("http://www.ncbi.nlm.nih.gov/gene/234396","Ankle1")</f>
        <v>Ankle1</v>
      </c>
      <c r="C226">
        <v>234396</v>
      </c>
      <c r="D226" t="s">
        <v>473</v>
      </c>
      <c r="E226" s="3" t="str">
        <f>HYPERLINK("http://genome.ucsc.edu/cgi-bin/hgTracks?db=mm10&amp;lastVirtModeType=default&amp;lastVirtModeExtraState=&amp;virtModeType=default&amp;virtMode=0&amp;nonVirtPosition=&amp;position=chr8:71406011-71410542","chr8:71406011-71410542")</f>
        <v>chr8:71406011-71410542</v>
      </c>
      <c r="F226" t="s">
        <v>30</v>
      </c>
      <c r="G226">
        <v>1.6549773489199</v>
      </c>
      <c r="H226">
        <v>0.27129516405652598</v>
      </c>
      <c r="I226">
        <v>6.1002832640801197</v>
      </c>
      <c r="J226" s="1">
        <v>1.0588066007788701E-9</v>
      </c>
      <c r="K226" s="1">
        <v>6.3580624175021496E-8</v>
      </c>
      <c r="L226" t="s">
        <v>26</v>
      </c>
      <c r="M226" t="s">
        <v>27</v>
      </c>
      <c r="N226">
        <v>61.3728118309118</v>
      </c>
      <c r="O226">
        <v>23.1474693769363</v>
      </c>
      <c r="P226">
        <v>90.0418186713935</v>
      </c>
      <c r="Q226">
        <v>13.363021104137401</v>
      </c>
      <c r="R226">
        <v>25.0308244654607</v>
      </c>
      <c r="S226">
        <v>31.0485625612109</v>
      </c>
      <c r="T226">
        <v>119.15682260511301</v>
      </c>
      <c r="U226">
        <v>70.661472614222703</v>
      </c>
      <c r="V226">
        <v>71.3584015167703</v>
      </c>
      <c r="W226">
        <v>98.990577949467905</v>
      </c>
    </row>
    <row r="227" spans="1:23" x14ac:dyDescent="0.2">
      <c r="A227" t="s">
        <v>474</v>
      </c>
      <c r="B227" s="3" t="str">
        <f>HYPERLINK("http://www.ncbi.nlm.nih.gov/gene/13602","Sparcl1")</f>
        <v>Sparcl1</v>
      </c>
      <c r="C227">
        <v>13602</v>
      </c>
      <c r="D227" t="s">
        <v>475</v>
      </c>
      <c r="E227" s="3" t="str">
        <f>HYPERLINK("http://genome.ucsc.edu/cgi-bin/hgTracks?db=mm10&amp;lastVirtModeType=default&amp;lastVirtModeExtraState=&amp;virtModeType=default&amp;virtMode=0&amp;nonVirtPosition=&amp;position=chr5:104079108-104114088","chr5:104079108-104114088")</f>
        <v>chr5:104079108-104114088</v>
      </c>
      <c r="F227" t="s">
        <v>25</v>
      </c>
      <c r="G227">
        <v>-1.19955548037077</v>
      </c>
      <c r="H227">
        <v>0.19678281510097401</v>
      </c>
      <c r="I227">
        <v>-6.0958345359336601</v>
      </c>
      <c r="J227" s="1">
        <v>1.08867978998539E-9</v>
      </c>
      <c r="K227" s="1">
        <v>6.5082638695063998E-8</v>
      </c>
      <c r="L227" t="s">
        <v>26</v>
      </c>
      <c r="M227" t="s">
        <v>27</v>
      </c>
      <c r="N227">
        <v>2163.2510482122998</v>
      </c>
      <c r="O227">
        <v>3261.2113239609498</v>
      </c>
      <c r="P227">
        <v>1339.7808414008</v>
      </c>
      <c r="Q227">
        <v>3883.6280083899301</v>
      </c>
      <c r="R227">
        <v>3646.9152736343999</v>
      </c>
      <c r="S227">
        <v>2253.0906898585299</v>
      </c>
      <c r="T227">
        <v>1186.9852713355499</v>
      </c>
      <c r="U227">
        <v>1490.3146951363301</v>
      </c>
      <c r="V227">
        <v>1102.7447822024601</v>
      </c>
      <c r="W227">
        <v>1579.0786169288599</v>
      </c>
    </row>
    <row r="228" spans="1:23" x14ac:dyDescent="0.2">
      <c r="A228" t="s">
        <v>476</v>
      </c>
      <c r="B228" s="3" t="str">
        <f>HYPERLINK("http://www.ncbi.nlm.nih.gov/gene/56442","Serinc1")</f>
        <v>Serinc1</v>
      </c>
      <c r="C228">
        <v>56442</v>
      </c>
      <c r="D228" t="s">
        <v>477</v>
      </c>
      <c r="E228" s="3" t="str">
        <f>HYPERLINK("http://genome.ucsc.edu/cgi-bin/hgTracks?db=mm10&amp;lastVirtModeType=default&amp;lastVirtModeExtraState=&amp;virtModeType=default&amp;virtMode=0&amp;nonVirtPosition=&amp;position=chr10:57515774-57532529","chr10:57515774-57532529")</f>
        <v>chr10:57515774-57532529</v>
      </c>
      <c r="F228" t="s">
        <v>25</v>
      </c>
      <c r="G228">
        <v>-0.85835786082840404</v>
      </c>
      <c r="H228">
        <v>0.14093768404595999</v>
      </c>
      <c r="I228">
        <v>-6.0903360704330298</v>
      </c>
      <c r="J228" s="1">
        <v>1.1267390640913E-9</v>
      </c>
      <c r="K228" s="1">
        <v>6.7058501365540597E-8</v>
      </c>
      <c r="L228" t="s">
        <v>26</v>
      </c>
      <c r="M228" t="s">
        <v>27</v>
      </c>
      <c r="N228">
        <v>1536.56300425827</v>
      </c>
      <c r="O228">
        <v>2087.0977384411999</v>
      </c>
      <c r="P228">
        <v>1123.6619536210801</v>
      </c>
      <c r="Q228">
        <v>2445.98965460315</v>
      </c>
      <c r="R228">
        <v>2091.5908625305501</v>
      </c>
      <c r="S228">
        <v>1723.71269818989</v>
      </c>
      <c r="T228">
        <v>994.50117328113402</v>
      </c>
      <c r="U228">
        <v>1139.1485888110999</v>
      </c>
      <c r="V228">
        <v>1181.4597199580701</v>
      </c>
      <c r="W228">
        <v>1179.53833243402</v>
      </c>
    </row>
    <row r="229" spans="1:23" x14ac:dyDescent="0.2">
      <c r="A229" t="s">
        <v>478</v>
      </c>
      <c r="B229" s="3" t="str">
        <f>HYPERLINK("http://www.ncbi.nlm.nih.gov/gene/54614","Prpf40b")</f>
        <v>Prpf40b</v>
      </c>
      <c r="C229">
        <v>54614</v>
      </c>
      <c r="D229" t="s">
        <v>479</v>
      </c>
      <c r="E229" s="3" t="str">
        <f>HYPERLINK("http://genome.ucsc.edu/cgi-bin/hgTracks?db=mm10&amp;lastVirtModeType=default&amp;lastVirtModeExtraState=&amp;virtModeType=default&amp;virtMode=0&amp;nonVirtPosition=&amp;position=chr15:99295408-99317007","chr15:99295408-99317007")</f>
        <v>chr15:99295408-99317007</v>
      </c>
      <c r="F229" t="s">
        <v>30</v>
      </c>
      <c r="G229">
        <v>0.87456554380565998</v>
      </c>
      <c r="H229">
        <v>0.14366014612674299</v>
      </c>
      <c r="I229">
        <v>6.0877394836705703</v>
      </c>
      <c r="J229" s="1">
        <v>1.1451600746774399E-9</v>
      </c>
      <c r="K229" s="1">
        <v>6.7853267964626394E-8</v>
      </c>
      <c r="L229" t="s">
        <v>26</v>
      </c>
      <c r="M229" t="s">
        <v>27</v>
      </c>
      <c r="N229">
        <v>226.21903888639801</v>
      </c>
      <c r="O229">
        <v>149.358265100712</v>
      </c>
      <c r="P229">
        <v>283.86461922566201</v>
      </c>
      <c r="Q229">
        <v>158.12908306562599</v>
      </c>
      <c r="R229">
        <v>137.29027964389101</v>
      </c>
      <c r="S229">
        <v>152.65543259262</v>
      </c>
      <c r="T229">
        <v>307.05796594394502</v>
      </c>
      <c r="U229">
        <v>299.77594442397498</v>
      </c>
      <c r="V229">
        <v>237.616120514606</v>
      </c>
      <c r="W229">
        <v>291.00844602012302</v>
      </c>
    </row>
    <row r="230" spans="1:23" x14ac:dyDescent="0.2">
      <c r="A230" t="s">
        <v>480</v>
      </c>
      <c r="B230" s="3" t="str">
        <f>HYPERLINK("http://www.ncbi.nlm.nih.gov/gene/23971","Papss1")</f>
        <v>Papss1</v>
      </c>
      <c r="C230">
        <v>23971</v>
      </c>
      <c r="D230" t="s">
        <v>481</v>
      </c>
      <c r="E230" s="3" t="str">
        <f>HYPERLINK("http://genome.ucsc.edu/cgi-bin/hgTracks?db=mm10&amp;lastVirtModeType=default&amp;lastVirtModeExtraState=&amp;virtModeType=default&amp;virtMode=0&amp;nonVirtPosition=&amp;position=chr3:131564767-131643671","chr3:131564767-131643671")</f>
        <v>chr3:131564767-131643671</v>
      </c>
      <c r="F230" t="s">
        <v>30</v>
      </c>
      <c r="G230">
        <v>-0.78005453544544501</v>
      </c>
      <c r="H230">
        <v>0.128235972081883</v>
      </c>
      <c r="I230">
        <v>-6.0829619238769901</v>
      </c>
      <c r="J230" s="1">
        <v>1.1798237414164001E-9</v>
      </c>
      <c r="K230" s="1">
        <v>6.9599205820735806E-8</v>
      </c>
      <c r="L230" t="s">
        <v>26</v>
      </c>
      <c r="M230" t="s">
        <v>27</v>
      </c>
      <c r="N230">
        <v>1227.88453135803</v>
      </c>
      <c r="O230">
        <v>1624.47839614349</v>
      </c>
      <c r="P230">
        <v>930.43913276893204</v>
      </c>
      <c r="Q230">
        <v>1814.5869074326599</v>
      </c>
      <c r="R230">
        <v>1588.69884372447</v>
      </c>
      <c r="S230">
        <v>1470.14943727333</v>
      </c>
      <c r="T230">
        <v>925.75685254741495</v>
      </c>
      <c r="U230">
        <v>912.17537374723804</v>
      </c>
      <c r="V230">
        <v>1054.92729664999</v>
      </c>
      <c r="W230">
        <v>828.89700813108698</v>
      </c>
    </row>
    <row r="231" spans="1:23" x14ac:dyDescent="0.2">
      <c r="A231" t="s">
        <v>482</v>
      </c>
      <c r="B231" s="3" t="str">
        <f>HYPERLINK("http://www.ncbi.nlm.nih.gov/gene/320719","6030443J06Rik")</f>
        <v>6030443J06Rik</v>
      </c>
      <c r="C231">
        <v>320719</v>
      </c>
      <c r="D231" t="s">
        <v>483</v>
      </c>
      <c r="E231" s="3" t="str">
        <f>HYPERLINK("http://genome.ucsc.edu/cgi-bin/hgTracks?db=mm10&amp;lastVirtModeType=default&amp;lastVirtModeExtraState=&amp;virtModeType=default&amp;virtMode=0&amp;nonVirtPosition=&amp;position=chr5:22550412-22558171","chr5:22550412-22558171")</f>
        <v>chr5:22550412-22558171</v>
      </c>
      <c r="F231" t="s">
        <v>30</v>
      </c>
      <c r="G231">
        <v>1.28420252177523</v>
      </c>
      <c r="H231">
        <v>0.21126137004602899</v>
      </c>
      <c r="I231">
        <v>6.0787380177238797</v>
      </c>
      <c r="J231" s="1">
        <v>1.21132077513833E-9</v>
      </c>
      <c r="K231" s="1">
        <v>7.1143844297707803E-8</v>
      </c>
      <c r="L231" t="s">
        <v>26</v>
      </c>
      <c r="M231" t="s">
        <v>27</v>
      </c>
      <c r="N231">
        <v>286.613728788495</v>
      </c>
      <c r="O231">
        <v>149.71698644126599</v>
      </c>
      <c r="P231">
        <v>389.28628554891702</v>
      </c>
      <c r="Q231">
        <v>163.697008525683</v>
      </c>
      <c r="R231">
        <v>91.4004347905461</v>
      </c>
      <c r="S231">
        <v>194.05351600756799</v>
      </c>
      <c r="T231">
        <v>371.21933196208198</v>
      </c>
      <c r="U231">
        <v>355.44861981699898</v>
      </c>
      <c r="V231">
        <v>442.86348157830702</v>
      </c>
      <c r="W231">
        <v>387.613708838278</v>
      </c>
    </row>
    <row r="232" spans="1:23" x14ac:dyDescent="0.2">
      <c r="A232" t="s">
        <v>484</v>
      </c>
      <c r="B232" s="3" t="str">
        <f>HYPERLINK("http://www.ncbi.nlm.nih.gov/gene/21355","Tap2")</f>
        <v>Tap2</v>
      </c>
      <c r="C232">
        <v>21355</v>
      </c>
      <c r="D232" t="s">
        <v>485</v>
      </c>
      <c r="E232" s="3" t="str">
        <f>HYPERLINK("http://genome.ucsc.edu/cgi-bin/hgTracks?db=mm10&amp;lastVirtModeType=default&amp;lastVirtModeExtraState=&amp;virtModeType=default&amp;virtMode=0&amp;nonVirtPosition=&amp;position=chr17:34204478-34216321","chr17:34204478-34216321")</f>
        <v>chr17:34204478-34216321</v>
      </c>
      <c r="F232" t="s">
        <v>30</v>
      </c>
      <c r="G232">
        <v>1.4538664988897401</v>
      </c>
      <c r="H232">
        <v>0.239274134611519</v>
      </c>
      <c r="I232">
        <v>6.0761540366668401</v>
      </c>
      <c r="J232" s="1">
        <v>1.2309916799323599E-9</v>
      </c>
      <c r="K232" s="1">
        <v>7.1983447973686604E-8</v>
      </c>
      <c r="L232" t="s">
        <v>26</v>
      </c>
      <c r="M232" t="s">
        <v>27</v>
      </c>
      <c r="N232">
        <v>267.527471951157</v>
      </c>
      <c r="O232">
        <v>122.29962343185301</v>
      </c>
      <c r="P232">
        <v>376.44835834063502</v>
      </c>
      <c r="Q232">
        <v>161.46983834165999</v>
      </c>
      <c r="R232">
        <v>72.437688983378806</v>
      </c>
      <c r="S232">
        <v>132.99134297052001</v>
      </c>
      <c r="T232">
        <v>476.627290420451</v>
      </c>
      <c r="U232">
        <v>276.222120219234</v>
      </c>
      <c r="V232">
        <v>320.00932638964002</v>
      </c>
      <c r="W232">
        <v>432.93469633321502</v>
      </c>
    </row>
    <row r="233" spans="1:23" x14ac:dyDescent="0.2">
      <c r="A233" t="s">
        <v>486</v>
      </c>
      <c r="B233" s="3" t="str">
        <f>HYPERLINK("http://www.ncbi.nlm.nih.gov/gene/97820","4833439L19Rik")</f>
        <v>4833439L19Rik</v>
      </c>
      <c r="C233">
        <v>97820</v>
      </c>
      <c r="D233" t="s">
        <v>487</v>
      </c>
      <c r="E233" s="3" t="str">
        <f>HYPERLINK("http://genome.ucsc.edu/cgi-bin/hgTracks?db=mm10&amp;lastVirtModeType=default&amp;lastVirtModeExtraState=&amp;virtModeType=default&amp;virtMode=0&amp;nonVirtPosition=&amp;position=chr13:54551217-54565382","chr13:54551217-54565382")</f>
        <v>chr13:54551217-54565382</v>
      </c>
      <c r="F233" t="s">
        <v>25</v>
      </c>
      <c r="G233">
        <v>-0.78149688966213005</v>
      </c>
      <c r="H233">
        <v>0.12863882978653099</v>
      </c>
      <c r="I233">
        <v>-6.0751243692047101</v>
      </c>
      <c r="J233" s="1">
        <v>1.23891663069223E-9</v>
      </c>
      <c r="K233" s="1">
        <v>7.2131880876520098E-8</v>
      </c>
      <c r="L233" t="s">
        <v>26</v>
      </c>
      <c r="M233" t="s">
        <v>27</v>
      </c>
      <c r="N233">
        <v>609.40899722097095</v>
      </c>
      <c r="O233">
        <v>809.03707943418704</v>
      </c>
      <c r="P233">
        <v>459.68793556105902</v>
      </c>
      <c r="Q233">
        <v>881.40260032706306</v>
      </c>
      <c r="R233">
        <v>792.26351982344704</v>
      </c>
      <c r="S233">
        <v>753.44511815204999</v>
      </c>
      <c r="T233">
        <v>412.46592440231399</v>
      </c>
      <c r="U233">
        <v>501.05407853721499</v>
      </c>
      <c r="V233">
        <v>514.95753671896102</v>
      </c>
      <c r="W233">
        <v>410.27420258574602</v>
      </c>
    </row>
    <row r="234" spans="1:23" x14ac:dyDescent="0.2">
      <c r="A234" t="s">
        <v>488</v>
      </c>
      <c r="B234" s="3" t="str">
        <f>HYPERLINK("http://www.ncbi.nlm.nih.gov/gene/110962","Mbd6")</f>
        <v>Mbd6</v>
      </c>
      <c r="C234">
        <v>110962</v>
      </c>
      <c r="D234" t="s">
        <v>489</v>
      </c>
      <c r="E234" s="3" t="str">
        <f>HYPERLINK("http://genome.ucsc.edu/cgi-bin/hgTracks?db=mm10&amp;lastVirtModeType=default&amp;lastVirtModeExtraState=&amp;virtModeType=default&amp;virtMode=0&amp;nonVirtPosition=&amp;position=chr10:127281955-127288771","chr10:127281955-127288771")</f>
        <v>chr10:127281955-127288771</v>
      </c>
      <c r="F234" t="s">
        <v>25</v>
      </c>
      <c r="G234">
        <v>1.5174776001021799</v>
      </c>
      <c r="H234">
        <v>0.24983845002521299</v>
      </c>
      <c r="I234">
        <v>6.0738353121749098</v>
      </c>
      <c r="J234" s="1">
        <v>1.2489081360601E-9</v>
      </c>
      <c r="K234" s="1">
        <v>7.2398826190393104E-8</v>
      </c>
      <c r="L234" t="s">
        <v>26</v>
      </c>
      <c r="M234" t="s">
        <v>27</v>
      </c>
      <c r="N234">
        <v>182.29629994080801</v>
      </c>
      <c r="O234">
        <v>79.979777995134697</v>
      </c>
      <c r="P234">
        <v>259.03369140006203</v>
      </c>
      <c r="Q234">
        <v>71.269445888732804</v>
      </c>
      <c r="R234">
        <v>45.510589937201402</v>
      </c>
      <c r="S234">
        <v>123.15929815947</v>
      </c>
      <c r="T234">
        <v>229.147735779063</v>
      </c>
      <c r="U234">
        <v>297.63468767808899</v>
      </c>
      <c r="V234">
        <v>274.39880170881798</v>
      </c>
      <c r="W234">
        <v>234.95354043427901</v>
      </c>
    </row>
    <row r="235" spans="1:23" x14ac:dyDescent="0.2">
      <c r="A235" t="s">
        <v>490</v>
      </c>
      <c r="B235" s="3" t="str">
        <f>HYPERLINK("http://www.ncbi.nlm.nih.gov/gene/114874","Ddhd1")</f>
        <v>Ddhd1</v>
      </c>
      <c r="C235">
        <v>114874</v>
      </c>
      <c r="D235" t="s">
        <v>491</v>
      </c>
      <c r="E235" s="3" t="str">
        <f>HYPERLINK("http://genome.ucsc.edu/cgi-bin/hgTracks?db=mm10&amp;lastVirtModeType=default&amp;lastVirtModeExtraState=&amp;virtModeType=default&amp;virtMode=0&amp;nonVirtPosition=&amp;position=chr14:45593170-45658143","chr14:45593170-45658143")</f>
        <v>chr14:45593170-45658143</v>
      </c>
      <c r="F235" t="s">
        <v>25</v>
      </c>
      <c r="G235">
        <v>0.70475202890268895</v>
      </c>
      <c r="H235">
        <v>0.116056330782731</v>
      </c>
      <c r="I235">
        <v>6.0724996572746397</v>
      </c>
      <c r="J235" s="1">
        <v>1.2593436755204001E-9</v>
      </c>
      <c r="K235" s="1">
        <v>7.2689099822817306E-8</v>
      </c>
      <c r="L235" t="s">
        <v>26</v>
      </c>
      <c r="M235" t="s">
        <v>27</v>
      </c>
      <c r="N235">
        <v>791.21579024922801</v>
      </c>
      <c r="O235">
        <v>577.41659278654299</v>
      </c>
      <c r="P235">
        <v>951.56518834624296</v>
      </c>
      <c r="Q235">
        <v>601.33594968618297</v>
      </c>
      <c r="R235">
        <v>538.92123583969305</v>
      </c>
      <c r="S235">
        <v>591.99259283375397</v>
      </c>
      <c r="T235">
        <v>1012.83299214346</v>
      </c>
      <c r="U235">
        <v>813.67756343650296</v>
      </c>
      <c r="V235">
        <v>960.02797916891996</v>
      </c>
      <c r="W235">
        <v>1019.72221863609</v>
      </c>
    </row>
    <row r="236" spans="1:23" x14ac:dyDescent="0.2">
      <c r="A236" t="s">
        <v>492</v>
      </c>
      <c r="B236" s="3" t="str">
        <f>HYPERLINK("http://www.ncbi.nlm.nih.gov/gene/234267","Gpm6a")</f>
        <v>Gpm6a</v>
      </c>
      <c r="C236">
        <v>234267</v>
      </c>
      <c r="D236" t="s">
        <v>493</v>
      </c>
      <c r="E236" s="3" t="str">
        <f>HYPERLINK("http://genome.ucsc.edu/cgi-bin/hgTracks?db=mm10&amp;lastVirtModeType=default&amp;lastVirtModeExtraState=&amp;virtModeType=default&amp;virtMode=0&amp;nonVirtPosition=&amp;position=chr8:54779433-55060878","chr8:54779433-55060878")</f>
        <v>chr8:54779433-55060878</v>
      </c>
      <c r="F236" t="s">
        <v>30</v>
      </c>
      <c r="G236">
        <v>-1.10121033501887</v>
      </c>
      <c r="H236">
        <v>0.181641530465394</v>
      </c>
      <c r="I236">
        <v>-6.0625471069165799</v>
      </c>
      <c r="J236" s="1">
        <v>1.33982548055511E-9</v>
      </c>
      <c r="K236" s="1">
        <v>7.68388137030257E-8</v>
      </c>
      <c r="L236" t="s">
        <v>26</v>
      </c>
      <c r="M236" t="s">
        <v>27</v>
      </c>
      <c r="N236">
        <v>2167.9625169714</v>
      </c>
      <c r="O236">
        <v>3169.95174710943</v>
      </c>
      <c r="P236">
        <v>1416.47059436788</v>
      </c>
      <c r="Q236">
        <v>4093.5387982340899</v>
      </c>
      <c r="R236">
        <v>3108.3732927108499</v>
      </c>
      <c r="S236">
        <v>2307.9431503833398</v>
      </c>
      <c r="T236">
        <v>1581.11937687554</v>
      </c>
      <c r="U236">
        <v>1331.8616959408</v>
      </c>
      <c r="V236">
        <v>1487.4916274939101</v>
      </c>
      <c r="W236">
        <v>1265.4096771612701</v>
      </c>
    </row>
    <row r="237" spans="1:23" x14ac:dyDescent="0.2">
      <c r="A237" t="s">
        <v>494</v>
      </c>
      <c r="B237" s="3" t="str">
        <f>HYPERLINK("http://www.ncbi.nlm.nih.gov/gene/13859","Eps15l1")</f>
        <v>Eps15l1</v>
      </c>
      <c r="C237">
        <v>13859</v>
      </c>
      <c r="D237" t="s">
        <v>495</v>
      </c>
      <c r="E237" s="3" t="str">
        <f>HYPERLINK("http://genome.ucsc.edu/cgi-bin/hgTracks?db=mm10&amp;lastVirtModeType=default&amp;lastVirtModeExtraState=&amp;virtModeType=default&amp;virtMode=0&amp;nonVirtPosition=&amp;position=chr8:72340995-72421474","chr8:72340995-72421474")</f>
        <v>chr8:72340995-72421474</v>
      </c>
      <c r="F237" t="s">
        <v>25</v>
      </c>
      <c r="G237">
        <v>0.76051454070748303</v>
      </c>
      <c r="H237">
        <v>0.12545188786822101</v>
      </c>
      <c r="I237">
        <v>6.06220084552539</v>
      </c>
      <c r="J237" s="1">
        <v>1.3427139426859799E-9</v>
      </c>
      <c r="K237" s="1">
        <v>7.68388137030257E-8</v>
      </c>
      <c r="L237" t="s">
        <v>26</v>
      </c>
      <c r="M237" t="s">
        <v>27</v>
      </c>
      <c r="N237">
        <v>303.47164369097197</v>
      </c>
      <c r="O237">
        <v>215.92088564581101</v>
      </c>
      <c r="P237">
        <v>369.13471222484299</v>
      </c>
      <c r="Q237">
        <v>207.68361966013501</v>
      </c>
      <c r="R237">
        <v>201.00510555597299</v>
      </c>
      <c r="S237">
        <v>239.07393172132399</v>
      </c>
      <c r="T237">
        <v>366.63637724650101</v>
      </c>
      <c r="U237">
        <v>344.742336087571</v>
      </c>
      <c r="V237">
        <v>365.619851070462</v>
      </c>
      <c r="W237">
        <v>399.54028449484002</v>
      </c>
    </row>
    <row r="238" spans="1:23" x14ac:dyDescent="0.2">
      <c r="A238" t="s">
        <v>496</v>
      </c>
      <c r="B238" s="3" t="str">
        <f>HYPERLINK("http://www.ncbi.nlm.nih.gov/gene/12840","Col9a2")</f>
        <v>Col9a2</v>
      </c>
      <c r="C238">
        <v>12840</v>
      </c>
      <c r="D238" t="s">
        <v>497</v>
      </c>
      <c r="E238" s="3" t="str">
        <f>HYPERLINK("http://genome.ucsc.edu/cgi-bin/hgTracks?db=mm10&amp;lastVirtModeType=default&amp;lastVirtModeExtraState=&amp;virtModeType=default&amp;virtMode=0&amp;nonVirtPosition=&amp;position=chr4:121039565-121055325","chr4:121039565-121055325")</f>
        <v>chr4:121039565-121055325</v>
      </c>
      <c r="F238" t="s">
        <v>30</v>
      </c>
      <c r="G238">
        <v>1.7132470859201301</v>
      </c>
      <c r="H238">
        <v>0.28273115075297001</v>
      </c>
      <c r="I238">
        <v>6.0596332641713104</v>
      </c>
      <c r="J238" s="1">
        <v>1.3643225317104099E-9</v>
      </c>
      <c r="K238" s="1">
        <v>7.7743161796315194E-8</v>
      </c>
      <c r="L238" t="s">
        <v>26</v>
      </c>
      <c r="M238" t="s">
        <v>27</v>
      </c>
      <c r="N238">
        <v>154.25504205459899</v>
      </c>
      <c r="O238">
        <v>57.0616127851466</v>
      </c>
      <c r="P238">
        <v>227.15011400668899</v>
      </c>
      <c r="Q238">
        <v>87.416429722898798</v>
      </c>
      <c r="R238">
        <v>47.027609601774699</v>
      </c>
      <c r="S238">
        <v>36.740799030766198</v>
      </c>
      <c r="T238">
        <v>197.06705276999401</v>
      </c>
      <c r="U238">
        <v>139.18168848255999</v>
      </c>
      <c r="V238">
        <v>222.903048036922</v>
      </c>
      <c r="W238">
        <v>349.44866673727802</v>
      </c>
    </row>
    <row r="239" spans="1:23" x14ac:dyDescent="0.2">
      <c r="A239" t="s">
        <v>498</v>
      </c>
      <c r="B239" s="3" t="str">
        <f>HYPERLINK("http://www.ncbi.nlm.nih.gov/gene/11595","Acan")</f>
        <v>Acan</v>
      </c>
      <c r="C239">
        <v>11595</v>
      </c>
      <c r="D239" t="s">
        <v>499</v>
      </c>
      <c r="E239" s="3" t="str">
        <f>HYPERLINK("http://genome.ucsc.edu/cgi-bin/hgTracks?db=mm10&amp;lastVirtModeType=default&amp;lastVirtModeExtraState=&amp;virtModeType=default&amp;virtMode=0&amp;nonVirtPosition=&amp;position=chr7:79053482-79115099","chr7:79053482-79115099")</f>
        <v>chr7:79053482-79115099</v>
      </c>
      <c r="F239" t="s">
        <v>30</v>
      </c>
      <c r="G239">
        <v>1.60151880038645</v>
      </c>
      <c r="H239">
        <v>0.26441994145473902</v>
      </c>
      <c r="I239">
        <v>6.0567247370810904</v>
      </c>
      <c r="J239" s="1">
        <v>1.3892100763992099E-9</v>
      </c>
      <c r="K239" s="1">
        <v>7.8825898868906099E-8</v>
      </c>
      <c r="L239" t="s">
        <v>26</v>
      </c>
      <c r="M239" t="s">
        <v>27</v>
      </c>
      <c r="N239">
        <v>310.52710288215701</v>
      </c>
      <c r="O239">
        <v>127.328409398639</v>
      </c>
      <c r="P239">
        <v>447.926122994796</v>
      </c>
      <c r="Q239">
        <v>194.320598555998</v>
      </c>
      <c r="R239">
        <v>68.645139821945406</v>
      </c>
      <c r="S239">
        <v>119.019489817975</v>
      </c>
      <c r="T239">
        <v>279.560237650457</v>
      </c>
      <c r="U239">
        <v>477.50025433247401</v>
      </c>
      <c r="V239">
        <v>538.49845268325601</v>
      </c>
      <c r="W239">
        <v>496.14554731299597</v>
      </c>
    </row>
    <row r="240" spans="1:23" x14ac:dyDescent="0.2">
      <c r="A240" t="s">
        <v>500</v>
      </c>
      <c r="B240" s="3" t="str">
        <f>HYPERLINK("http://www.ncbi.nlm.nih.gov/gene/381626","Rbm33")</f>
        <v>Rbm33</v>
      </c>
      <c r="C240">
        <v>381626</v>
      </c>
      <c r="D240" t="s">
        <v>501</v>
      </c>
      <c r="E240" s="3" t="str">
        <f>HYPERLINK("http://genome.ucsc.edu/cgi-bin/hgTracks?db=mm10&amp;lastVirtModeType=default&amp;lastVirtModeExtraState=&amp;virtModeType=default&amp;virtMode=0&amp;nonVirtPosition=&amp;position=chr5:28317188-28419242","chr5:28317188-28419242")</f>
        <v>chr5:28317188-28419242</v>
      </c>
      <c r="F240" t="s">
        <v>30</v>
      </c>
      <c r="G240">
        <v>0.93049989742203998</v>
      </c>
      <c r="H240">
        <v>0.15375047304207901</v>
      </c>
      <c r="I240">
        <v>6.0520132329438798</v>
      </c>
      <c r="J240" s="1">
        <v>1.4304671577081101E-9</v>
      </c>
      <c r="K240" s="1">
        <v>8.0824412273710103E-8</v>
      </c>
      <c r="L240" t="s">
        <v>26</v>
      </c>
      <c r="M240" t="s">
        <v>27</v>
      </c>
      <c r="N240">
        <v>556.30809336277105</v>
      </c>
      <c r="O240">
        <v>359.92182302970099</v>
      </c>
      <c r="P240">
        <v>703.59779611257295</v>
      </c>
      <c r="Q240">
        <v>321.269299045303</v>
      </c>
      <c r="R240">
        <v>321.228913973413</v>
      </c>
      <c r="S240">
        <v>437.267256070386</v>
      </c>
      <c r="T240">
        <v>733.27275449300203</v>
      </c>
      <c r="U240">
        <v>599.55188884794995</v>
      </c>
      <c r="V240">
        <v>675.33002672572297</v>
      </c>
      <c r="W240">
        <v>806.23651438361799</v>
      </c>
    </row>
    <row r="241" spans="1:23" x14ac:dyDescent="0.2">
      <c r="A241" t="s">
        <v>502</v>
      </c>
      <c r="B241" s="3" t="str">
        <f>HYPERLINK("http://www.ncbi.nlm.nih.gov/gene/94180","Acsbg1")</f>
        <v>Acsbg1</v>
      </c>
      <c r="C241">
        <v>94180</v>
      </c>
      <c r="D241" t="s">
        <v>503</v>
      </c>
      <c r="E241" s="3" t="str">
        <f>HYPERLINK("http://genome.ucsc.edu/cgi-bin/hgTracks?db=mm10&amp;lastVirtModeType=default&amp;lastVirtModeExtraState=&amp;virtModeType=default&amp;virtMode=0&amp;nonVirtPosition=&amp;position=chr9:54604996-54661885","chr9:54604996-54661885")</f>
        <v>chr9:54604996-54661885</v>
      </c>
      <c r="F241" t="s">
        <v>25</v>
      </c>
      <c r="G241">
        <v>-1.0295024344569601</v>
      </c>
      <c r="H241">
        <v>0.17033171998614399</v>
      </c>
      <c r="I241">
        <v>-6.0441028514284199</v>
      </c>
      <c r="J241" s="1">
        <v>1.5024364993413601E-9</v>
      </c>
      <c r="K241" s="1">
        <v>8.4534147742353795E-8</v>
      </c>
      <c r="L241" t="s">
        <v>26</v>
      </c>
      <c r="M241" t="s">
        <v>27</v>
      </c>
      <c r="N241">
        <v>592.44017790588396</v>
      </c>
      <c r="O241">
        <v>847.26715708741096</v>
      </c>
      <c r="P241">
        <v>401.31994351973998</v>
      </c>
      <c r="Q241">
        <v>628.06199189445795</v>
      </c>
      <c r="R241">
        <v>904.143720085734</v>
      </c>
      <c r="S241">
        <v>1009.59575928204</v>
      </c>
      <c r="T241">
        <v>384.96819610882602</v>
      </c>
      <c r="U241">
        <v>456.08768687361902</v>
      </c>
      <c r="V241">
        <v>357.527661207736</v>
      </c>
      <c r="W241">
        <v>406.69622988877802</v>
      </c>
    </row>
    <row r="242" spans="1:23" x14ac:dyDescent="0.2">
      <c r="A242" t="s">
        <v>504</v>
      </c>
      <c r="B242" s="3" t="str">
        <f>HYPERLINK("http://www.ncbi.nlm.nih.gov/gene/208043","Setd1b")</f>
        <v>Setd1b</v>
      </c>
      <c r="C242">
        <v>208043</v>
      </c>
      <c r="D242" t="s">
        <v>505</v>
      </c>
      <c r="E242" s="3" t="str">
        <f>HYPERLINK("http://genome.ucsc.edu/cgi-bin/hgTracks?db=mm10&amp;lastVirtModeType=default&amp;lastVirtModeExtraState=&amp;virtModeType=default&amp;virtMode=0&amp;nonVirtPosition=&amp;position=chr5:123142192-123168630","chr5:123142192-123168630")</f>
        <v>chr5:123142192-123168630</v>
      </c>
      <c r="F242" t="s">
        <v>30</v>
      </c>
      <c r="G242">
        <v>1.36594102286049</v>
      </c>
      <c r="H242">
        <v>0.22644259284874099</v>
      </c>
      <c r="I242">
        <v>6.0321735662729798</v>
      </c>
      <c r="J242" s="1">
        <v>1.6176889019207201E-9</v>
      </c>
      <c r="K242" s="1">
        <v>9.0637958517239995E-8</v>
      </c>
      <c r="L242" t="s">
        <v>26</v>
      </c>
      <c r="M242" t="s">
        <v>27</v>
      </c>
      <c r="N242">
        <v>282.36792561869902</v>
      </c>
      <c r="O242">
        <v>137.568255796313</v>
      </c>
      <c r="P242">
        <v>390.96767798548899</v>
      </c>
      <c r="Q242">
        <v>110.244924109134</v>
      </c>
      <c r="R242">
        <v>94.434474119692794</v>
      </c>
      <c r="S242">
        <v>208.025369160113</v>
      </c>
      <c r="T242">
        <v>467.46138098928901</v>
      </c>
      <c r="U242">
        <v>374.71993052996902</v>
      </c>
      <c r="V242">
        <v>372.24073368542003</v>
      </c>
      <c r="W242">
        <v>349.44866673727802</v>
      </c>
    </row>
    <row r="243" spans="1:23" x14ac:dyDescent="0.2">
      <c r="A243" t="s">
        <v>506</v>
      </c>
      <c r="B243" s="3" t="str">
        <f>HYPERLINK("http://www.ncbi.nlm.nih.gov/gene/59095","Fxyd6")</f>
        <v>Fxyd6</v>
      </c>
      <c r="C243">
        <v>59095</v>
      </c>
      <c r="D243" t="s">
        <v>507</v>
      </c>
      <c r="E243" s="3" t="str">
        <f>HYPERLINK("http://genome.ucsc.edu/cgi-bin/hgTracks?db=mm10&amp;lastVirtModeType=default&amp;lastVirtModeExtraState=&amp;virtModeType=default&amp;virtMode=0&amp;nonVirtPosition=&amp;position=chr9:45370184-45396159","chr9:45370184-45396159")</f>
        <v>chr9:45370184-45396159</v>
      </c>
      <c r="F243" t="s">
        <v>30</v>
      </c>
      <c r="G243">
        <v>0.78433245874195201</v>
      </c>
      <c r="H243">
        <v>0.130441344784788</v>
      </c>
      <c r="I243">
        <v>6.0129130072677803</v>
      </c>
      <c r="J243" s="1">
        <v>1.8221883364103101E-9</v>
      </c>
      <c r="K243" s="1">
        <v>1.01670516720294E-7</v>
      </c>
      <c r="L243" t="s">
        <v>26</v>
      </c>
      <c r="M243" t="s">
        <v>27</v>
      </c>
      <c r="N243">
        <v>469.44680608841998</v>
      </c>
      <c r="O243">
        <v>327.54390377378201</v>
      </c>
      <c r="P243">
        <v>575.87398282439904</v>
      </c>
      <c r="Q243">
        <v>288.97533137697098</v>
      </c>
      <c r="R243">
        <v>350.05228760030701</v>
      </c>
      <c r="S243">
        <v>343.604092344067</v>
      </c>
      <c r="T243">
        <v>586.61820359440196</v>
      </c>
      <c r="U243">
        <v>638.09451027389002</v>
      </c>
      <c r="V243">
        <v>582.63767011631001</v>
      </c>
      <c r="W243">
        <v>496.14554731299597</v>
      </c>
    </row>
    <row r="244" spans="1:23" x14ac:dyDescent="0.2">
      <c r="A244" t="s">
        <v>508</v>
      </c>
      <c r="B244" s="3" t="str">
        <f>HYPERLINK("http://www.ncbi.nlm.nih.gov/gene/16362","Irf1")</f>
        <v>Irf1</v>
      </c>
      <c r="C244">
        <v>16362</v>
      </c>
      <c r="D244" t="s">
        <v>509</v>
      </c>
      <c r="E244" s="3" t="str">
        <f>HYPERLINK("http://genome.ucsc.edu/cgi-bin/hgTracks?db=mm10&amp;lastVirtModeType=default&amp;lastVirtModeExtraState=&amp;virtModeType=default&amp;virtMode=0&amp;nonVirtPosition=&amp;position=chr11:53770013-53777324","chr11:53770013-53777324")</f>
        <v>chr11:53770013-53777324</v>
      </c>
      <c r="F244" t="s">
        <v>30</v>
      </c>
      <c r="G244">
        <v>1.5617848060061299</v>
      </c>
      <c r="H244">
        <v>0.26081631331647998</v>
      </c>
      <c r="I244">
        <v>5.9880641135780204</v>
      </c>
      <c r="J244" s="1">
        <v>2.12353360177562E-9</v>
      </c>
      <c r="K244" s="1">
        <v>1.17992690711109E-7</v>
      </c>
      <c r="L244" t="s">
        <v>26</v>
      </c>
      <c r="M244" t="s">
        <v>27</v>
      </c>
      <c r="N244">
        <v>306.60867573188699</v>
      </c>
      <c r="O244">
        <v>127.366536032418</v>
      </c>
      <c r="P244">
        <v>441.04028050648799</v>
      </c>
      <c r="Q244">
        <v>153.11795015157401</v>
      </c>
      <c r="R244">
        <v>88.745650377542603</v>
      </c>
      <c r="S244">
        <v>140.23600756813599</v>
      </c>
      <c r="T244">
        <v>669.11138847486404</v>
      </c>
      <c r="U244">
        <v>231.255728555638</v>
      </c>
      <c r="V244">
        <v>370.033772813768</v>
      </c>
      <c r="W244">
        <v>493.76023218168302</v>
      </c>
    </row>
    <row r="245" spans="1:23" x14ac:dyDescent="0.2">
      <c r="A245" t="s">
        <v>510</v>
      </c>
      <c r="B245" s="3" t="str">
        <f>HYPERLINK("http://www.ncbi.nlm.nih.gov/gene/22187","Ubb")</f>
        <v>Ubb</v>
      </c>
      <c r="C245">
        <v>22187</v>
      </c>
      <c r="D245" t="s">
        <v>511</v>
      </c>
      <c r="E245" s="3" t="str">
        <f>HYPERLINK("http://genome.ucsc.edu/cgi-bin/hgTracks?db=mm10&amp;lastVirtModeType=default&amp;lastVirtModeExtraState=&amp;virtModeType=default&amp;virtMode=0&amp;nonVirtPosition=&amp;position=chr11:62551170-62553213","chr11:62551170-62553213")</f>
        <v>chr11:62551170-62553213</v>
      </c>
      <c r="F245" t="s">
        <v>30</v>
      </c>
      <c r="G245">
        <v>-0.65533968153734901</v>
      </c>
      <c r="H245">
        <v>0.10967714369466</v>
      </c>
      <c r="I245">
        <v>-5.9751709377279898</v>
      </c>
      <c r="J245" s="1">
        <v>2.29849046113591E-9</v>
      </c>
      <c r="K245" s="1">
        <v>1.2718630481434301E-7</v>
      </c>
      <c r="L245" t="s">
        <v>26</v>
      </c>
      <c r="M245" t="s">
        <v>27</v>
      </c>
      <c r="N245">
        <v>648.440612946692</v>
      </c>
      <c r="O245">
        <v>824.78356973531004</v>
      </c>
      <c r="P245">
        <v>516.18339535523</v>
      </c>
      <c r="Q245">
        <v>824.60976063447902</v>
      </c>
      <c r="R245">
        <v>874.56183662655303</v>
      </c>
      <c r="S245">
        <v>775.17911194489795</v>
      </c>
      <c r="T245">
        <v>513.29092814510102</v>
      </c>
      <c r="U245">
        <v>471.076484094818</v>
      </c>
      <c r="V245">
        <v>553.21152516094105</v>
      </c>
      <c r="W245">
        <v>527.15464402005796</v>
      </c>
    </row>
    <row r="246" spans="1:23" x14ac:dyDescent="0.2">
      <c r="A246" t="s">
        <v>512</v>
      </c>
      <c r="B246" s="3" t="str">
        <f>HYPERLINK("http://www.ncbi.nlm.nih.gov/gene/100038347","Fam174b")</f>
        <v>Fam174b</v>
      </c>
      <c r="C246">
        <v>100038347</v>
      </c>
      <c r="D246" t="s">
        <v>513</v>
      </c>
      <c r="E246" s="3" t="str">
        <f>HYPERLINK("http://genome.ucsc.edu/cgi-bin/hgTracks?db=mm10&amp;lastVirtModeType=default&amp;lastVirtModeExtraState=&amp;virtModeType=default&amp;virtMode=0&amp;nonVirtPosition=&amp;position=chr7:73740306-73776919","chr7:73740306-73776919")</f>
        <v>chr7:73740306-73776919</v>
      </c>
      <c r="F246" t="s">
        <v>30</v>
      </c>
      <c r="G246">
        <v>-1.0331623268497401</v>
      </c>
      <c r="H246">
        <v>0.172945578995922</v>
      </c>
      <c r="I246">
        <v>-5.9739157996869503</v>
      </c>
      <c r="J246" s="1">
        <v>2.3162538243325899E-9</v>
      </c>
      <c r="K246" s="1">
        <v>1.2764178996558699E-7</v>
      </c>
      <c r="L246" t="s">
        <v>26</v>
      </c>
      <c r="M246" t="s">
        <v>27</v>
      </c>
      <c r="N246">
        <v>202.638226472952</v>
      </c>
      <c r="O246">
        <v>287.16276057760899</v>
      </c>
      <c r="P246">
        <v>139.24482589445901</v>
      </c>
      <c r="Q246">
        <v>272.82834754280498</v>
      </c>
      <c r="R246">
        <v>264.71993146805499</v>
      </c>
      <c r="S246">
        <v>323.94000272196701</v>
      </c>
      <c r="T246">
        <v>151.237505614182</v>
      </c>
      <c r="U246">
        <v>173.44179641672801</v>
      </c>
      <c r="V246">
        <v>121.382847940898</v>
      </c>
      <c r="W246">
        <v>110.91715360603</v>
      </c>
    </row>
    <row r="247" spans="1:23" x14ac:dyDescent="0.2">
      <c r="A247" t="s">
        <v>514</v>
      </c>
      <c r="B247" s="3" t="str">
        <f>HYPERLINK("http://www.ncbi.nlm.nih.gov/gene/73024","Emc7")</f>
        <v>Emc7</v>
      </c>
      <c r="C247">
        <v>73024</v>
      </c>
      <c r="D247" t="s">
        <v>515</v>
      </c>
      <c r="E247" s="3" t="str">
        <f>HYPERLINK("http://genome.ucsc.edu/cgi-bin/hgTracks?db=mm10&amp;lastVirtModeType=default&amp;lastVirtModeExtraState=&amp;virtModeType=default&amp;virtMode=0&amp;nonVirtPosition=&amp;position=chr2:112455024-112467436","chr2:112455024-112467436")</f>
        <v>chr2:112455024-112467436</v>
      </c>
      <c r="F247" t="s">
        <v>30</v>
      </c>
      <c r="G247">
        <v>-0.76874064287182498</v>
      </c>
      <c r="H247">
        <v>0.128737067606425</v>
      </c>
      <c r="I247">
        <v>-5.9714009116785096</v>
      </c>
      <c r="J247" s="1">
        <v>2.3522491100555199E-9</v>
      </c>
      <c r="K247" s="1">
        <v>1.2909413046210401E-7</v>
      </c>
      <c r="L247" t="s">
        <v>26</v>
      </c>
      <c r="M247" t="s">
        <v>27</v>
      </c>
      <c r="N247">
        <v>301.89480841969402</v>
      </c>
      <c r="O247">
        <v>399.52000377185198</v>
      </c>
      <c r="P247">
        <v>228.67591190557499</v>
      </c>
      <c r="Q247">
        <v>410.356106406219</v>
      </c>
      <c r="R247">
        <v>428.55805524197899</v>
      </c>
      <c r="S247">
        <v>359.64584966735902</v>
      </c>
      <c r="T247">
        <v>219.98182634790101</v>
      </c>
      <c r="U247">
        <v>216.26693133443899</v>
      </c>
      <c r="V247">
        <v>243.50134950568</v>
      </c>
      <c r="W247">
        <v>234.95354043427901</v>
      </c>
    </row>
    <row r="248" spans="1:23" x14ac:dyDescent="0.2">
      <c r="A248" t="s">
        <v>516</v>
      </c>
      <c r="B248" s="3" t="str">
        <f>HYPERLINK("http://www.ncbi.nlm.nih.gov/gene/15945","Cxcl10")</f>
        <v>Cxcl10</v>
      </c>
      <c r="C248">
        <v>15945</v>
      </c>
      <c r="D248" t="s">
        <v>517</v>
      </c>
      <c r="E248" s="3" t="str">
        <f>HYPERLINK("http://genome.ucsc.edu/cgi-bin/hgTracks?db=mm10&amp;lastVirtModeType=default&amp;lastVirtModeExtraState=&amp;virtModeType=default&amp;virtMode=0&amp;nonVirtPosition=&amp;position=chr5:92346638-92348889","chr5:92346638-92348889")</f>
        <v>chr5:92346638-92348889</v>
      </c>
      <c r="F248" t="s">
        <v>25</v>
      </c>
      <c r="G248">
        <v>1.65666298691203</v>
      </c>
      <c r="H248">
        <v>0.27748754638960799</v>
      </c>
      <c r="I248">
        <v>5.9702246405897501</v>
      </c>
      <c r="J248" s="1">
        <v>2.3692713925144299E-9</v>
      </c>
      <c r="K248" s="1">
        <v>1.29497604968003E-7</v>
      </c>
      <c r="L248" t="s">
        <v>26</v>
      </c>
      <c r="M248" t="s">
        <v>27</v>
      </c>
      <c r="N248">
        <v>47.138009888578097</v>
      </c>
      <c r="O248">
        <v>17.9691206661346</v>
      </c>
      <c r="P248">
        <v>69.014676805410801</v>
      </c>
      <c r="Q248">
        <v>19.487739110200401</v>
      </c>
      <c r="R248">
        <v>16.307961394163801</v>
      </c>
      <c r="S248">
        <v>18.111661494039701</v>
      </c>
      <c r="T248">
        <v>91.659094311625296</v>
      </c>
      <c r="U248">
        <v>32.118851188283003</v>
      </c>
      <c r="V248">
        <v>73.565362388422997</v>
      </c>
      <c r="W248">
        <v>78.715399333311794</v>
      </c>
    </row>
    <row r="249" spans="1:23" x14ac:dyDescent="0.2">
      <c r="A249" t="s">
        <v>518</v>
      </c>
      <c r="B249" s="3" t="str">
        <f>HYPERLINK("http://www.ncbi.nlm.nih.gov/gene/100313519","Snord17")</f>
        <v>Snord17</v>
      </c>
      <c r="C249">
        <v>100313519</v>
      </c>
      <c r="D249" t="s">
        <v>519</v>
      </c>
      <c r="E249" s="3" t="str">
        <f>HYPERLINK("http://genome.ucsc.edu/cgi-bin/hgTracks?db=mm10&amp;lastVirtModeType=default&amp;lastVirtModeExtraState=&amp;virtModeType=default&amp;virtMode=0&amp;nonVirtPosition=&amp;position=chr2:144265981-144266202","chr2:144265981-144266202")</f>
        <v>chr2:144265981-144266202</v>
      </c>
      <c r="F249" t="s">
        <v>25</v>
      </c>
      <c r="G249">
        <v>2.2863607357461602</v>
      </c>
      <c r="H249">
        <v>0.38310080459076401</v>
      </c>
      <c r="I249">
        <v>5.9680395038284999</v>
      </c>
      <c r="J249" s="1">
        <v>2.40121240825742E-9</v>
      </c>
      <c r="K249" s="1">
        <v>1.3070989983323199E-7</v>
      </c>
      <c r="L249" t="s">
        <v>26</v>
      </c>
      <c r="M249" t="s">
        <v>27</v>
      </c>
      <c r="N249">
        <v>279.14501547300699</v>
      </c>
      <c r="O249">
        <v>34.3082286193195</v>
      </c>
      <c r="P249">
        <v>462.77260561327199</v>
      </c>
      <c r="Q249">
        <v>47.327366410486597</v>
      </c>
      <c r="R249">
        <v>23.513804800887399</v>
      </c>
      <c r="S249">
        <v>32.083514646584597</v>
      </c>
      <c r="T249">
        <v>820.34889408904598</v>
      </c>
      <c r="U249">
        <v>404.69752497236601</v>
      </c>
      <c r="V249">
        <v>153.75160739180399</v>
      </c>
      <c r="W249">
        <v>472.29239599987102</v>
      </c>
    </row>
    <row r="250" spans="1:23" x14ac:dyDescent="0.2">
      <c r="A250" t="s">
        <v>520</v>
      </c>
      <c r="B250" s="3" t="str">
        <f>HYPERLINK("http://www.ncbi.nlm.nih.gov/gene/353236","Pcdhac1")</f>
        <v>Pcdhac1</v>
      </c>
      <c r="C250">
        <v>353236</v>
      </c>
      <c r="D250" t="s">
        <v>521</v>
      </c>
      <c r="E250" s="3" t="str">
        <f>HYPERLINK("http://genome.ucsc.edu/cgi-bin/hgTracks?db=mm10&amp;lastVirtModeType=default&amp;lastVirtModeExtraState=&amp;virtModeType=default&amp;virtMode=0&amp;nonVirtPosition=&amp;position=chr18:37090135-37187657","chr18:37090135-37187657")</f>
        <v>chr18:37090135-37187657</v>
      </c>
      <c r="F250" t="s">
        <v>30</v>
      </c>
      <c r="G250">
        <v>1.6461221377071</v>
      </c>
      <c r="H250">
        <v>0.27615674556748399</v>
      </c>
      <c r="I250">
        <v>5.9608253795301103</v>
      </c>
      <c r="J250" s="1">
        <v>2.5096704183054E-9</v>
      </c>
      <c r="K250" s="1">
        <v>1.3606071486448401E-7</v>
      </c>
      <c r="L250" t="s">
        <v>26</v>
      </c>
      <c r="M250" t="s">
        <v>27</v>
      </c>
      <c r="N250">
        <v>29.356038812791201</v>
      </c>
      <c r="O250">
        <v>11.370305812291701</v>
      </c>
      <c r="P250">
        <v>42.845338563165903</v>
      </c>
      <c r="Q250">
        <v>11.692643466120201</v>
      </c>
      <c r="R250">
        <v>9.4813729035836207</v>
      </c>
      <c r="S250">
        <v>12.936901067171201</v>
      </c>
      <c r="T250">
        <v>45.829547155812598</v>
      </c>
      <c r="U250">
        <v>40.683878171825199</v>
      </c>
      <c r="V250">
        <v>41.932256561401097</v>
      </c>
      <c r="W250">
        <v>42.935672363624597</v>
      </c>
    </row>
    <row r="251" spans="1:23" x14ac:dyDescent="0.2">
      <c r="A251" t="s">
        <v>522</v>
      </c>
      <c r="B251" s="3" t="str">
        <f>HYPERLINK("http://www.ncbi.nlm.nih.gov/gene/16490","Kcna2")</f>
        <v>Kcna2</v>
      </c>
      <c r="C251">
        <v>16490</v>
      </c>
      <c r="D251" t="s">
        <v>523</v>
      </c>
      <c r="E251" s="3" t="str">
        <f>HYPERLINK("http://genome.ucsc.edu/cgi-bin/hgTracks?db=mm10&amp;lastVirtModeType=default&amp;lastVirtModeExtraState=&amp;virtModeType=default&amp;virtMode=0&amp;nonVirtPosition=&amp;position=chr3:107101566-107115005","chr3:107101566-107115005")</f>
        <v>chr3:107101566-107115005</v>
      </c>
      <c r="F251" t="s">
        <v>30</v>
      </c>
      <c r="G251">
        <v>-0.61304367559712003</v>
      </c>
      <c r="H251">
        <v>0.102950001899988</v>
      </c>
      <c r="I251">
        <v>-5.9547709012445598</v>
      </c>
      <c r="J251" s="1">
        <v>2.6043639827397498E-9</v>
      </c>
      <c r="K251" s="1">
        <v>1.4062515360027399E-7</v>
      </c>
      <c r="L251" t="s">
        <v>26</v>
      </c>
      <c r="M251" t="s">
        <v>27</v>
      </c>
      <c r="N251">
        <v>691.57429709158498</v>
      </c>
      <c r="O251">
        <v>869.43123072867797</v>
      </c>
      <c r="P251">
        <v>558.181596863766</v>
      </c>
      <c r="Q251">
        <v>851.33580284275399</v>
      </c>
      <c r="R251">
        <v>881.38842511713301</v>
      </c>
      <c r="S251">
        <v>875.56946422614601</v>
      </c>
      <c r="T251">
        <v>485.79319985161402</v>
      </c>
      <c r="U251">
        <v>605.97565908560603</v>
      </c>
      <c r="V251">
        <v>570.86721213416297</v>
      </c>
      <c r="W251">
        <v>570.09031638368299</v>
      </c>
    </row>
    <row r="252" spans="1:23" x14ac:dyDescent="0.2">
      <c r="A252" t="s">
        <v>524</v>
      </c>
      <c r="B252" s="3" t="str">
        <f>HYPERLINK("http://www.ncbi.nlm.nih.gov/gene/286942","Kif19a")</f>
        <v>Kif19a</v>
      </c>
      <c r="C252">
        <v>286942</v>
      </c>
      <c r="D252" t="s">
        <v>525</v>
      </c>
      <c r="E252" s="3" t="str">
        <f>HYPERLINK("http://genome.ucsc.edu/cgi-bin/hgTracks?db=mm10&amp;lastVirtModeType=default&amp;lastVirtModeExtraState=&amp;virtModeType=default&amp;virtMode=0&amp;nonVirtPosition=&amp;position=chr11:114765388-114790575","chr11:114765388-114790575")</f>
        <v>chr11:114765388-114790575</v>
      </c>
      <c r="F252" t="s">
        <v>30</v>
      </c>
      <c r="G252">
        <v>1.64102010113763</v>
      </c>
      <c r="H252">
        <v>0.27561684863795499</v>
      </c>
      <c r="I252">
        <v>5.9539905098226997</v>
      </c>
      <c r="J252" s="1">
        <v>2.6168198391052199E-9</v>
      </c>
      <c r="K252" s="1">
        <v>1.4073025889742201E-7</v>
      </c>
      <c r="L252" t="s">
        <v>26</v>
      </c>
      <c r="M252" t="s">
        <v>27</v>
      </c>
      <c r="N252">
        <v>53.775687838575003</v>
      </c>
      <c r="O252">
        <v>20.9246816403999</v>
      </c>
      <c r="P252">
        <v>78.413942487206398</v>
      </c>
      <c r="Q252">
        <v>23.385286932240501</v>
      </c>
      <c r="R252">
        <v>14.0324318973038</v>
      </c>
      <c r="S252">
        <v>25.3563260916555</v>
      </c>
      <c r="T252">
        <v>100.825003742788</v>
      </c>
      <c r="U252">
        <v>47.107648409481797</v>
      </c>
      <c r="V252">
        <v>94.163663857181504</v>
      </c>
      <c r="W252">
        <v>71.559453939374393</v>
      </c>
    </row>
    <row r="253" spans="1:23" x14ac:dyDescent="0.2">
      <c r="A253" t="s">
        <v>526</v>
      </c>
      <c r="B253" s="3" t="str">
        <f>HYPERLINK("http://www.ncbi.nlm.nih.gov/gene/73144","3110039I08Rik")</f>
        <v>3110039I08Rik</v>
      </c>
      <c r="C253">
        <v>73144</v>
      </c>
      <c r="D253" t="s">
        <v>527</v>
      </c>
      <c r="E253" s="3" t="str">
        <f>HYPERLINK("http://genome.ucsc.edu/cgi-bin/hgTracks?db=mm10&amp;lastVirtModeType=default&amp;lastVirtModeExtraState=&amp;virtModeType=default&amp;virtMode=0&amp;nonVirtPosition=&amp;position=chr9:41376525-41590019","chr9:41376525-41590019")</f>
        <v>chr9:41376525-41590019</v>
      </c>
      <c r="F253" t="s">
        <v>30</v>
      </c>
      <c r="G253">
        <v>0.93398633261240205</v>
      </c>
      <c r="H253">
        <v>0.15693106716879701</v>
      </c>
      <c r="I253">
        <v>5.9515706447582897</v>
      </c>
      <c r="J253" s="1">
        <v>2.6558133936984198E-9</v>
      </c>
      <c r="K253" s="1">
        <v>1.4225598862006201E-7</v>
      </c>
      <c r="L253" t="s">
        <v>26</v>
      </c>
      <c r="M253" t="s">
        <v>27</v>
      </c>
      <c r="N253">
        <v>236.65892080810599</v>
      </c>
      <c r="O253">
        <v>154.955900692862</v>
      </c>
      <c r="P253">
        <v>297.93618589453899</v>
      </c>
      <c r="Q253">
        <v>181.514369997866</v>
      </c>
      <c r="R253">
        <v>142.59984846989801</v>
      </c>
      <c r="S253">
        <v>140.753483610823</v>
      </c>
      <c r="T253">
        <v>252.062509356969</v>
      </c>
      <c r="U253">
        <v>274.08086347334898</v>
      </c>
      <c r="V253">
        <v>318.53801914187198</v>
      </c>
      <c r="W253">
        <v>347.06335160596598</v>
      </c>
    </row>
    <row r="254" spans="1:23" x14ac:dyDescent="0.2">
      <c r="A254" t="s">
        <v>528</v>
      </c>
      <c r="B254" s="3" t="str">
        <f>HYPERLINK("http://www.ncbi.nlm.nih.gov/gene/107607","Nod1")</f>
        <v>Nod1</v>
      </c>
      <c r="C254">
        <v>107607</v>
      </c>
      <c r="D254" t="s">
        <v>529</v>
      </c>
      <c r="E254" s="3" t="str">
        <f>HYPERLINK("http://genome.ucsc.edu/cgi-bin/hgTracks?db=mm10&amp;lastVirtModeType=default&amp;lastVirtModeExtraState=&amp;virtModeType=default&amp;virtMode=0&amp;nonVirtPosition=&amp;position=chr6:54923941-54972612","chr6:54923941-54972612")</f>
        <v>chr6:54923941-54972612</v>
      </c>
      <c r="F254" t="s">
        <v>25</v>
      </c>
      <c r="G254">
        <v>1.5295317483840201</v>
      </c>
      <c r="H254">
        <v>0.25728025203556198</v>
      </c>
      <c r="I254">
        <v>5.9450025265545801</v>
      </c>
      <c r="J254" s="1">
        <v>2.7645259174995602E-9</v>
      </c>
      <c r="K254" s="1">
        <v>1.4748910980572299E-7</v>
      </c>
      <c r="L254" t="s">
        <v>26</v>
      </c>
      <c r="M254" t="s">
        <v>27</v>
      </c>
      <c r="N254">
        <v>48.096421045014701</v>
      </c>
      <c r="O254">
        <v>20.4944725039175</v>
      </c>
      <c r="P254">
        <v>68.797882450837704</v>
      </c>
      <c r="Q254">
        <v>22.271701840228999</v>
      </c>
      <c r="R254">
        <v>21.6175302201706</v>
      </c>
      <c r="S254">
        <v>17.5941854513528</v>
      </c>
      <c r="T254">
        <v>82.493184880462707</v>
      </c>
      <c r="U254">
        <v>42.825134917710699</v>
      </c>
      <c r="V254">
        <v>64.001865277928005</v>
      </c>
      <c r="W254">
        <v>85.871344727249294</v>
      </c>
    </row>
    <row r="255" spans="1:23" x14ac:dyDescent="0.2">
      <c r="A255" t="s">
        <v>530</v>
      </c>
      <c r="B255" s="3" t="str">
        <f>HYPERLINK("http://www.ncbi.nlm.nih.gov/gene/20255","Scg3")</f>
        <v>Scg3</v>
      </c>
      <c r="C255">
        <v>20255</v>
      </c>
      <c r="D255" t="s">
        <v>531</v>
      </c>
      <c r="E255" s="3" t="str">
        <f>HYPERLINK("http://genome.ucsc.edu/cgi-bin/hgTracks?db=mm10&amp;lastVirtModeType=default&amp;lastVirtModeExtraState=&amp;virtModeType=default&amp;virtMode=0&amp;nonVirtPosition=&amp;position=chr9:75643365-75684056","chr9:75643365-75684056")</f>
        <v>chr9:75643365-75684056</v>
      </c>
      <c r="F255" t="s">
        <v>25</v>
      </c>
      <c r="G255">
        <v>-0.87206308624653295</v>
      </c>
      <c r="H255">
        <v>0.14672881560930301</v>
      </c>
      <c r="I255">
        <v>-5.94336622036524</v>
      </c>
      <c r="J255" s="1">
        <v>2.7922764702723099E-9</v>
      </c>
      <c r="K255" s="1">
        <v>1.4775692007301399E-7</v>
      </c>
      <c r="L255" t="s">
        <v>26</v>
      </c>
      <c r="M255" t="s">
        <v>27</v>
      </c>
      <c r="N255">
        <v>594.93033755334102</v>
      </c>
      <c r="O255">
        <v>809.13413593714301</v>
      </c>
      <c r="P255">
        <v>434.27748876548901</v>
      </c>
      <c r="Q255">
        <v>803.45164388626097</v>
      </c>
      <c r="R255">
        <v>965.20376158481201</v>
      </c>
      <c r="S255">
        <v>658.74700234035697</v>
      </c>
      <c r="T255">
        <v>462.87842627370799</v>
      </c>
      <c r="U255">
        <v>404.69752497236601</v>
      </c>
      <c r="V255">
        <v>431.82867722004301</v>
      </c>
      <c r="W255">
        <v>437.70532659584001</v>
      </c>
    </row>
    <row r="256" spans="1:23" x14ac:dyDescent="0.2">
      <c r="A256" t="s">
        <v>532</v>
      </c>
      <c r="B256" s="3" t="str">
        <f>HYPERLINK("http://www.ncbi.nlm.nih.gov/gene/15953","Ifi47")</f>
        <v>Ifi47</v>
      </c>
      <c r="C256">
        <v>15953</v>
      </c>
      <c r="D256" t="s">
        <v>533</v>
      </c>
      <c r="E256" s="3" t="str">
        <f>HYPERLINK("http://genome.ucsc.edu/cgi-bin/hgTracks?db=mm10&amp;lastVirtModeType=default&amp;lastVirtModeExtraState=&amp;virtModeType=default&amp;virtMode=0&amp;nonVirtPosition=&amp;position=chr11:49087016-49096987","chr11:49087016-49096987")</f>
        <v>chr11:49087016-49096987</v>
      </c>
      <c r="F256" t="s">
        <v>30</v>
      </c>
      <c r="G256">
        <v>1.7851377218976401</v>
      </c>
      <c r="H256">
        <v>0.300370921916018</v>
      </c>
      <c r="I256">
        <v>5.94311097262855</v>
      </c>
      <c r="J256" s="1">
        <v>2.7966296710306398E-9</v>
      </c>
      <c r="K256" s="1">
        <v>1.4775692007301399E-7</v>
      </c>
      <c r="L256" t="s">
        <v>26</v>
      </c>
      <c r="M256" t="s">
        <v>27</v>
      </c>
      <c r="N256">
        <v>123.069531174064</v>
      </c>
      <c r="O256">
        <v>40.750595279790197</v>
      </c>
      <c r="P256">
        <v>184.808733094769</v>
      </c>
      <c r="Q256">
        <v>40.645855858417903</v>
      </c>
      <c r="R256">
        <v>28.823373626894199</v>
      </c>
      <c r="S256">
        <v>52.782556354058499</v>
      </c>
      <c r="T256">
        <v>297.89205651278201</v>
      </c>
      <c r="U256">
        <v>70.661472614222703</v>
      </c>
      <c r="V256">
        <v>175.085562484447</v>
      </c>
      <c r="W256">
        <v>195.595840767623</v>
      </c>
    </row>
    <row r="257" spans="1:23" x14ac:dyDescent="0.2">
      <c r="A257" t="s">
        <v>534</v>
      </c>
      <c r="B257" s="3" t="str">
        <f>HYPERLINK("http://www.ncbi.nlm.nih.gov/gene/16328","Cep250")</f>
        <v>Cep250</v>
      </c>
      <c r="C257">
        <v>16328</v>
      </c>
      <c r="D257" t="s">
        <v>535</v>
      </c>
      <c r="E257" s="3" t="str">
        <f>HYPERLINK("http://genome.ucsc.edu/cgi-bin/hgTracks?db=mm10&amp;lastVirtModeType=default&amp;lastVirtModeExtraState=&amp;virtModeType=default&amp;virtMode=0&amp;nonVirtPosition=&amp;position=chr2:155956557-155998900","chr2:155956557-155998900")</f>
        <v>chr2:155956557-155998900</v>
      </c>
      <c r="F257" t="s">
        <v>30</v>
      </c>
      <c r="G257">
        <v>0.93296974444136904</v>
      </c>
      <c r="H257">
        <v>0.15699270088043599</v>
      </c>
      <c r="I257">
        <v>5.9427587347000799</v>
      </c>
      <c r="J257" s="1">
        <v>2.8026478753301102E-9</v>
      </c>
      <c r="K257" s="1">
        <v>1.4775692007301399E-7</v>
      </c>
      <c r="L257" t="s">
        <v>26</v>
      </c>
      <c r="M257" t="s">
        <v>27</v>
      </c>
      <c r="N257">
        <v>378.468542157917</v>
      </c>
      <c r="O257">
        <v>243.76932790534801</v>
      </c>
      <c r="P257">
        <v>479.49295284734302</v>
      </c>
      <c r="Q257">
        <v>246.10230533453</v>
      </c>
      <c r="R257">
        <v>196.45404656225301</v>
      </c>
      <c r="S257">
        <v>288.75163181926098</v>
      </c>
      <c r="T257">
        <v>508.70797342952</v>
      </c>
      <c r="U257">
        <v>456.08768687361902</v>
      </c>
      <c r="V257">
        <v>420.058219237895</v>
      </c>
      <c r="W257">
        <v>533.11793184833903</v>
      </c>
    </row>
    <row r="258" spans="1:23" x14ac:dyDescent="0.2">
      <c r="A258" t="s">
        <v>536</v>
      </c>
      <c r="B258" s="3" t="str">
        <f>HYPERLINK("http://www.ncbi.nlm.nih.gov/gene/381022","Kmt2d")</f>
        <v>Kmt2d</v>
      </c>
      <c r="C258">
        <v>381022</v>
      </c>
      <c r="D258" t="s">
        <v>537</v>
      </c>
      <c r="E258" s="3" t="str">
        <f>HYPERLINK("http://genome.ucsc.edu/cgi-bin/hgTracks?db=mm10&amp;lastVirtModeType=default&amp;lastVirtModeExtraState=&amp;virtModeType=default&amp;virtMode=0&amp;nonVirtPosition=&amp;position=chr15:98831668-98871205","chr15:98831668-98871205")</f>
        <v>chr15:98831668-98871205</v>
      </c>
      <c r="F258" t="s">
        <v>25</v>
      </c>
      <c r="G258">
        <v>1.3496115789190299</v>
      </c>
      <c r="H258">
        <v>0.22715291084276501</v>
      </c>
      <c r="I258">
        <v>5.9414232197677199</v>
      </c>
      <c r="J258" s="1">
        <v>2.8255807482002402E-9</v>
      </c>
      <c r="K258" s="1">
        <v>1.4838177176136999E-7</v>
      </c>
      <c r="L258" t="s">
        <v>26</v>
      </c>
      <c r="M258" t="s">
        <v>27</v>
      </c>
      <c r="N258">
        <v>1752.8281432464701</v>
      </c>
      <c r="O258">
        <v>865.93795514588703</v>
      </c>
      <c r="P258">
        <v>2417.9957843219099</v>
      </c>
      <c r="Q258">
        <v>721.60313962342002</v>
      </c>
      <c r="R258">
        <v>549.91962840785004</v>
      </c>
      <c r="S258">
        <v>1326.29109740639</v>
      </c>
      <c r="T258">
        <v>2497.7103199917901</v>
      </c>
      <c r="U258">
        <v>2537.3892438743601</v>
      </c>
      <c r="V258">
        <v>2215.7887151393002</v>
      </c>
      <c r="W258">
        <v>2421.0948582821702</v>
      </c>
    </row>
    <row r="259" spans="1:23" x14ac:dyDescent="0.2">
      <c r="A259" t="s">
        <v>538</v>
      </c>
      <c r="B259" s="3" t="str">
        <f>HYPERLINK("http://www.ncbi.nlm.nih.gov/gene/140476","Strc")</f>
        <v>Strc</v>
      </c>
      <c r="C259">
        <v>140476</v>
      </c>
      <c r="D259" t="s">
        <v>539</v>
      </c>
      <c r="E259" s="3" t="str">
        <f>HYPERLINK("http://genome.ucsc.edu/cgi-bin/hgTracks?db=mm10&amp;lastVirtModeType=default&amp;lastVirtModeExtraState=&amp;virtModeType=default&amp;virtMode=0&amp;nonVirtPosition=&amp;position=chr2:121363726-121380940","chr2:121363726-121380940")</f>
        <v>chr2:121363726-121380940</v>
      </c>
      <c r="F259" t="s">
        <v>25</v>
      </c>
      <c r="G259">
        <v>1.7803852004132901</v>
      </c>
      <c r="H259">
        <v>0.30041099722779102</v>
      </c>
      <c r="I259">
        <v>5.9264980870966104</v>
      </c>
      <c r="J259" s="1">
        <v>3.0946298865847001E-9</v>
      </c>
      <c r="K259" s="1">
        <v>1.6187573754396801E-7</v>
      </c>
      <c r="L259" t="s">
        <v>26</v>
      </c>
      <c r="M259" t="s">
        <v>27</v>
      </c>
      <c r="N259">
        <v>48.5754316625938</v>
      </c>
      <c r="O259">
        <v>16.953137517403899</v>
      </c>
      <c r="P259">
        <v>72.292152271486302</v>
      </c>
      <c r="Q259">
        <v>13.9198136501431</v>
      </c>
      <c r="R259">
        <v>13.653176981160399</v>
      </c>
      <c r="S259">
        <v>23.286421920908101</v>
      </c>
      <c r="T259">
        <v>59.578411302556397</v>
      </c>
      <c r="U259">
        <v>38.5426214259396</v>
      </c>
      <c r="V259">
        <v>95.634971104949898</v>
      </c>
      <c r="W259">
        <v>95.412605252499205</v>
      </c>
    </row>
    <row r="260" spans="1:23" x14ac:dyDescent="0.2">
      <c r="A260" t="s">
        <v>540</v>
      </c>
      <c r="B260" s="3" t="str">
        <f>HYPERLINK("http://www.ncbi.nlm.nih.gov/gene/231287","Atp10d")</f>
        <v>Atp10d</v>
      </c>
      <c r="C260">
        <v>231287</v>
      </c>
      <c r="D260" t="s">
        <v>541</v>
      </c>
      <c r="E260" s="3" t="str">
        <f>HYPERLINK("http://genome.ucsc.edu/cgi-bin/hgTracks?db=mm10&amp;lastVirtModeType=default&amp;lastVirtModeExtraState=&amp;virtModeType=default&amp;virtMode=0&amp;nonVirtPosition=&amp;position=chr5:72203328-72298771","chr5:72203328-72298771")</f>
        <v>chr5:72203328-72298771</v>
      </c>
      <c r="F260" t="s">
        <v>30</v>
      </c>
      <c r="G260">
        <v>1.6105663328778099</v>
      </c>
      <c r="H260">
        <v>0.271924489112845</v>
      </c>
      <c r="I260">
        <v>5.9228440150142196</v>
      </c>
      <c r="J260" s="1">
        <v>3.16420953450395E-9</v>
      </c>
      <c r="K260" s="1">
        <v>1.64871322476818E-7</v>
      </c>
      <c r="L260" t="s">
        <v>26</v>
      </c>
      <c r="M260" t="s">
        <v>27</v>
      </c>
      <c r="N260">
        <v>69.319617691789603</v>
      </c>
      <c r="O260">
        <v>27.567449703243501</v>
      </c>
      <c r="P260">
        <v>100.633743683199</v>
      </c>
      <c r="Q260">
        <v>38.418685674395</v>
      </c>
      <c r="R260">
        <v>20.479765471740599</v>
      </c>
      <c r="S260">
        <v>23.803897963594999</v>
      </c>
      <c r="T260">
        <v>132.90568675185699</v>
      </c>
      <c r="U260">
        <v>62.096445630680499</v>
      </c>
      <c r="V260">
        <v>122.854155188666</v>
      </c>
      <c r="W260">
        <v>84.678687161593004</v>
      </c>
    </row>
    <row r="261" spans="1:23" x14ac:dyDescent="0.2">
      <c r="A261" t="s">
        <v>542</v>
      </c>
      <c r="B261" s="3" t="str">
        <f>HYPERLINK("http://www.ncbi.nlm.nih.gov/gene/233979","Tpcn2")</f>
        <v>Tpcn2</v>
      </c>
      <c r="C261">
        <v>233979</v>
      </c>
      <c r="D261" t="s">
        <v>543</v>
      </c>
      <c r="E261" s="3" t="str">
        <f>HYPERLINK("http://genome.ucsc.edu/cgi-bin/hgTracks?db=mm10&amp;lastVirtModeType=default&amp;lastVirtModeExtraState=&amp;virtModeType=default&amp;virtMode=0&amp;nonVirtPosition=&amp;position=chr7:145253922-145284011","chr7:145253922-145284011")</f>
        <v>chr7:145253922-145284011</v>
      </c>
      <c r="F261" t="s">
        <v>25</v>
      </c>
      <c r="G261">
        <v>1.1074612876935399</v>
      </c>
      <c r="H261">
        <v>0.187014383131831</v>
      </c>
      <c r="I261">
        <v>5.9217973994698596</v>
      </c>
      <c r="J261" s="1">
        <v>3.18441789544756E-9</v>
      </c>
      <c r="K261" s="1">
        <v>1.65281162937745E-7</v>
      </c>
      <c r="L261" t="s">
        <v>26</v>
      </c>
      <c r="M261" t="s">
        <v>27</v>
      </c>
      <c r="N261">
        <v>75.432213223012297</v>
      </c>
      <c r="O261">
        <v>44.6193371921158</v>
      </c>
      <c r="P261">
        <v>98.5418702461847</v>
      </c>
      <c r="Q261">
        <v>43.429818588446601</v>
      </c>
      <c r="R261">
        <v>44.372825188771301</v>
      </c>
      <c r="S261">
        <v>46.055367799129399</v>
      </c>
      <c r="T261">
        <v>82.493184880462707</v>
      </c>
      <c r="U261">
        <v>104.92158054839101</v>
      </c>
      <c r="V261">
        <v>102.99150734379199</v>
      </c>
      <c r="W261">
        <v>103.761208212093</v>
      </c>
    </row>
    <row r="262" spans="1:23" x14ac:dyDescent="0.2">
      <c r="A262" t="s">
        <v>544</v>
      </c>
      <c r="B262" s="3" t="str">
        <f>HYPERLINK("http://www.ncbi.nlm.nih.gov/gene/233210","Prr12")</f>
        <v>Prr12</v>
      </c>
      <c r="C262">
        <v>233210</v>
      </c>
      <c r="D262" t="s">
        <v>545</v>
      </c>
      <c r="E262" s="3" t="str">
        <f>HYPERLINK("http://genome.ucsc.edu/cgi-bin/hgTracks?db=mm10&amp;lastVirtModeType=default&amp;lastVirtModeExtraState=&amp;virtModeType=default&amp;virtMode=0&amp;nonVirtPosition=&amp;position=chr7:45027706-45052881","chr7:45027706-45052881")</f>
        <v>chr7:45027706-45052881</v>
      </c>
      <c r="F262" t="s">
        <v>25</v>
      </c>
      <c r="G262">
        <v>1.2722718604013199</v>
      </c>
      <c r="H262">
        <v>0.21523993475096201</v>
      </c>
      <c r="I262">
        <v>5.9109470641374102</v>
      </c>
      <c r="J262" s="1">
        <v>3.40146340905259E-9</v>
      </c>
      <c r="K262" s="1">
        <v>1.7586485139236801E-7</v>
      </c>
      <c r="L262" t="s">
        <v>26</v>
      </c>
      <c r="M262" t="s">
        <v>27</v>
      </c>
      <c r="N262">
        <v>340.43832594447599</v>
      </c>
      <c r="O262">
        <v>177.53673560149201</v>
      </c>
      <c r="P262">
        <v>462.61451870171499</v>
      </c>
      <c r="Q262">
        <v>150.890779967551</v>
      </c>
      <c r="R262">
        <v>124.01635757887399</v>
      </c>
      <c r="S262">
        <v>257.70306925804999</v>
      </c>
      <c r="T262">
        <v>449.129562126964</v>
      </c>
      <c r="U262">
        <v>539.59669996315495</v>
      </c>
      <c r="V262">
        <v>390.63207428252599</v>
      </c>
      <c r="W262">
        <v>471.099738434215</v>
      </c>
    </row>
    <row r="263" spans="1:23" x14ac:dyDescent="0.2">
      <c r="A263" t="s">
        <v>546</v>
      </c>
      <c r="B263" s="3" t="str">
        <f>HYPERLINK("http://www.ncbi.nlm.nih.gov/gene/225743","Rnf165")</f>
        <v>Rnf165</v>
      </c>
      <c r="C263">
        <v>225743</v>
      </c>
      <c r="D263" t="s">
        <v>547</v>
      </c>
      <c r="E263" s="3" t="str">
        <f>HYPERLINK("http://genome.ucsc.edu/cgi-bin/hgTracks?db=mm10&amp;lastVirtModeType=default&amp;lastVirtModeExtraState=&amp;virtModeType=default&amp;virtMode=0&amp;nonVirtPosition=&amp;position=chr18:77456109-77565136","chr18:77456109-77565136")</f>
        <v>chr18:77456109-77565136</v>
      </c>
      <c r="F263" t="s">
        <v>25</v>
      </c>
      <c r="G263">
        <v>1.3398610383467</v>
      </c>
      <c r="H263">
        <v>0.22672980580579999</v>
      </c>
      <c r="I263">
        <v>5.9095055173042397</v>
      </c>
      <c r="J263" s="1">
        <v>3.43136186221067E-9</v>
      </c>
      <c r="K263" s="1">
        <v>1.7672833344947299E-7</v>
      </c>
      <c r="L263" t="s">
        <v>26</v>
      </c>
      <c r="M263" t="s">
        <v>27</v>
      </c>
      <c r="N263">
        <v>141.546665045087</v>
      </c>
      <c r="O263">
        <v>69.454365603727695</v>
      </c>
      <c r="P263">
        <v>195.615889626106</v>
      </c>
      <c r="Q263">
        <v>47.327366410486597</v>
      </c>
      <c r="R263">
        <v>62.197806247508503</v>
      </c>
      <c r="S263">
        <v>98.837924153187899</v>
      </c>
      <c r="T263">
        <v>233.73069049464399</v>
      </c>
      <c r="U263">
        <v>205.56064760501101</v>
      </c>
      <c r="V263">
        <v>180.970791475521</v>
      </c>
      <c r="W263">
        <v>162.201428929249</v>
      </c>
    </row>
    <row r="264" spans="1:23" x14ac:dyDescent="0.2">
      <c r="A264" t="s">
        <v>548</v>
      </c>
      <c r="B264" s="3" t="str">
        <f>HYPERLINK("http://www.ncbi.nlm.nih.gov/gene/69170","1810026B05Rik")</f>
        <v>1810026B05Rik</v>
      </c>
      <c r="C264">
        <v>69170</v>
      </c>
      <c r="D264" t="s">
        <v>549</v>
      </c>
      <c r="E264" s="3" t="str">
        <f>HYPERLINK("http://genome.ucsc.edu/cgi-bin/hgTracks?db=mm10&amp;lastVirtModeType=default&amp;lastVirtModeExtraState=&amp;virtModeType=default&amp;virtMode=0&amp;nonVirtPosition=&amp;position=chr7:73539797-73558395","chr7:73539797-73558395")</f>
        <v>chr7:73539797-73558395</v>
      </c>
      <c r="F264" t="s">
        <v>25</v>
      </c>
      <c r="G264">
        <v>1.06470757102748</v>
      </c>
      <c r="H264">
        <v>0.18023604977669599</v>
      </c>
      <c r="I264">
        <v>5.9072953071630696</v>
      </c>
      <c r="J264" s="1">
        <v>3.47770027505257E-9</v>
      </c>
      <c r="K264" s="1">
        <v>1.78428675797812E-7</v>
      </c>
      <c r="L264" t="s">
        <v>26</v>
      </c>
      <c r="M264" t="s">
        <v>27</v>
      </c>
      <c r="N264">
        <v>187.88332492277101</v>
      </c>
      <c r="O264">
        <v>110.58828894363501</v>
      </c>
      <c r="P264">
        <v>245.85460190712399</v>
      </c>
      <c r="Q264">
        <v>90.200392452927403</v>
      </c>
      <c r="R264">
        <v>103.915847023276</v>
      </c>
      <c r="S264">
        <v>137.64862735470101</v>
      </c>
      <c r="T264">
        <v>284.14319236603802</v>
      </c>
      <c r="U264">
        <v>267.657093235692</v>
      </c>
      <c r="V264">
        <v>222.903048036922</v>
      </c>
      <c r="W264">
        <v>208.71507398984201</v>
      </c>
    </row>
    <row r="265" spans="1:23" x14ac:dyDescent="0.2">
      <c r="A265" t="s">
        <v>550</v>
      </c>
      <c r="B265" s="3" t="str">
        <f>HYPERLINK("http://www.ncbi.nlm.nih.gov/gene/12772","Ccr2")</f>
        <v>Ccr2</v>
      </c>
      <c r="C265">
        <v>12772</v>
      </c>
      <c r="D265" t="s">
        <v>551</v>
      </c>
      <c r="E265" s="3" t="str">
        <f>HYPERLINK("http://genome.ucsc.edu/cgi-bin/hgTracks?db=mm10&amp;lastVirtModeType=default&amp;lastVirtModeExtraState=&amp;virtModeType=default&amp;virtMode=0&amp;nonVirtPosition=&amp;position=chr9:124102182-124109140","chr9:124102182-124109140")</f>
        <v>chr9:124102182-124109140</v>
      </c>
      <c r="F265" t="s">
        <v>30</v>
      </c>
      <c r="G265">
        <v>1.9472019955318101</v>
      </c>
      <c r="H265">
        <v>0.32967086389859401</v>
      </c>
      <c r="I265">
        <v>5.9065031483363697</v>
      </c>
      <c r="J265" s="1">
        <v>3.49445621398476E-9</v>
      </c>
      <c r="K265" s="1">
        <v>1.7860405786820599E-7</v>
      </c>
      <c r="L265" t="s">
        <v>26</v>
      </c>
      <c r="M265" t="s">
        <v>27</v>
      </c>
      <c r="N265">
        <v>37.466949239416799</v>
      </c>
      <c r="O265">
        <v>10.391518667032701</v>
      </c>
      <c r="P265">
        <v>57.773522168705</v>
      </c>
      <c r="Q265">
        <v>15.033398742154599</v>
      </c>
      <c r="R265">
        <v>6.8265884905801997</v>
      </c>
      <c r="S265">
        <v>9.3145687683632605</v>
      </c>
      <c r="T265">
        <v>68.744320733718993</v>
      </c>
      <c r="U265">
        <v>27.836337696512</v>
      </c>
      <c r="V265">
        <v>86.807127618339194</v>
      </c>
      <c r="W265">
        <v>47.706302626249602</v>
      </c>
    </row>
    <row r="266" spans="1:23" x14ac:dyDescent="0.2">
      <c r="A266" t="s">
        <v>552</v>
      </c>
      <c r="B266" s="3" t="str">
        <f>HYPERLINK("http://www.ncbi.nlm.nih.gov/gene/66704","Rbm4b")</f>
        <v>Rbm4b</v>
      </c>
      <c r="C266">
        <v>66704</v>
      </c>
      <c r="D266" t="s">
        <v>553</v>
      </c>
      <c r="E266" s="3" t="str">
        <f>HYPERLINK("http://genome.ucsc.edu/cgi-bin/hgTracks?db=mm10&amp;lastVirtModeType=default&amp;lastVirtModeExtraState=&amp;virtModeType=default&amp;virtMode=0&amp;nonVirtPosition=&amp;position=chr19:4756524-4765941","chr19:4756524-4765941")</f>
        <v>chr19:4756524-4765941</v>
      </c>
      <c r="F266" t="s">
        <v>30</v>
      </c>
      <c r="G266">
        <v>0.84626763484324996</v>
      </c>
      <c r="H266">
        <v>0.14370105828323801</v>
      </c>
      <c r="I266">
        <v>5.88908422076641</v>
      </c>
      <c r="J266" s="1">
        <v>3.8834151547646198E-9</v>
      </c>
      <c r="K266" s="1">
        <v>1.97729324477008E-7</v>
      </c>
      <c r="L266" t="s">
        <v>26</v>
      </c>
      <c r="M266" t="s">
        <v>27</v>
      </c>
      <c r="N266">
        <v>257.21777834272001</v>
      </c>
      <c r="O266">
        <v>176.674589783089</v>
      </c>
      <c r="P266">
        <v>317.62516976244302</v>
      </c>
      <c r="Q266">
        <v>193.20701346398701</v>
      </c>
      <c r="R266">
        <v>157.77004511563101</v>
      </c>
      <c r="S266">
        <v>179.046710769649</v>
      </c>
      <c r="T266">
        <v>284.14319236603802</v>
      </c>
      <c r="U266">
        <v>284.787147202776</v>
      </c>
      <c r="V266">
        <v>360.47027570327299</v>
      </c>
      <c r="W266">
        <v>341.10006377768502</v>
      </c>
    </row>
    <row r="267" spans="1:23" x14ac:dyDescent="0.2">
      <c r="A267" t="s">
        <v>554</v>
      </c>
      <c r="B267" s="3" t="str">
        <f>HYPERLINK("http://www.ncbi.nlm.nih.gov/gene/14991","H2-M3")</f>
        <v>H2-M3</v>
      </c>
      <c r="C267">
        <v>14991</v>
      </c>
      <c r="D267" t="s">
        <v>555</v>
      </c>
      <c r="E267" s="3" t="str">
        <f>HYPERLINK("http://genome.ucsc.edu/cgi-bin/hgTracks?db=mm10&amp;lastVirtModeType=default&amp;lastVirtModeExtraState=&amp;virtModeType=default&amp;virtMode=0&amp;nonVirtPosition=&amp;position=chr17:37270233-37274485","chr17:37270233-37274485")</f>
        <v>chr17:37270233-37274485</v>
      </c>
      <c r="F267" t="s">
        <v>30</v>
      </c>
      <c r="G267">
        <v>1.7549815282299199</v>
      </c>
      <c r="H267">
        <v>0.29866130906272298</v>
      </c>
      <c r="I267">
        <v>5.8761596329216799</v>
      </c>
      <c r="J267" s="1">
        <v>4.1989343545976103E-9</v>
      </c>
      <c r="K267" s="1">
        <v>2.12984583115215E-7</v>
      </c>
      <c r="L267" t="s">
        <v>26</v>
      </c>
      <c r="M267" t="s">
        <v>27</v>
      </c>
      <c r="N267">
        <v>72.262531406505104</v>
      </c>
      <c r="O267">
        <v>24.336992961644601</v>
      </c>
      <c r="P267">
        <v>108.206685240151</v>
      </c>
      <c r="Q267">
        <v>30.623590030314901</v>
      </c>
      <c r="R267">
        <v>18.583490891023899</v>
      </c>
      <c r="S267">
        <v>23.803897963594999</v>
      </c>
      <c r="T267">
        <v>174.152279192088</v>
      </c>
      <c r="U267">
        <v>44.966391663596198</v>
      </c>
      <c r="V267">
        <v>95.634971104949898</v>
      </c>
      <c r="W267">
        <v>118.073098999968</v>
      </c>
    </row>
    <row r="268" spans="1:23" x14ac:dyDescent="0.2">
      <c r="A268" t="s">
        <v>556</v>
      </c>
      <c r="B268" s="3" t="str">
        <f>HYPERLINK("http://www.ncbi.nlm.nih.gov/gene/234373","Sugp2")</f>
        <v>Sugp2</v>
      </c>
      <c r="C268">
        <v>234373</v>
      </c>
      <c r="D268" t="s">
        <v>557</v>
      </c>
      <c r="E268" s="3" t="str">
        <f>HYPERLINK("http://genome.ucsc.edu/cgi-bin/hgTracks?db=mm10&amp;lastVirtModeType=default&amp;lastVirtModeExtraState=&amp;virtModeType=default&amp;virtMode=0&amp;nonVirtPosition=&amp;position=chr8:70234225-70263105","chr8:70234225-70263105")</f>
        <v>chr8:70234225-70263105</v>
      </c>
      <c r="F268" t="s">
        <v>30</v>
      </c>
      <c r="G268">
        <v>0.60233441946784105</v>
      </c>
      <c r="H268">
        <v>0.10252405331483801</v>
      </c>
      <c r="I268">
        <v>5.8750546822232304</v>
      </c>
      <c r="J268" s="1">
        <v>4.2270379402582799E-9</v>
      </c>
      <c r="K268" s="1">
        <v>2.13601000218863E-7</v>
      </c>
      <c r="L268" t="s">
        <v>26</v>
      </c>
      <c r="M268" t="s">
        <v>27</v>
      </c>
      <c r="N268">
        <v>475.556143391609</v>
      </c>
      <c r="O268">
        <v>364.49933132828602</v>
      </c>
      <c r="P268">
        <v>558.84875243910005</v>
      </c>
      <c r="Q268">
        <v>352.44968162162399</v>
      </c>
      <c r="R268">
        <v>364.84322932989699</v>
      </c>
      <c r="S268">
        <v>376.20508303333798</v>
      </c>
      <c r="T268">
        <v>586.61820359440196</v>
      </c>
      <c r="U268">
        <v>520.32538925018503</v>
      </c>
      <c r="V268">
        <v>558.36110052813103</v>
      </c>
      <c r="W268">
        <v>570.09031638368299</v>
      </c>
    </row>
    <row r="269" spans="1:23" x14ac:dyDescent="0.2">
      <c r="A269" t="s">
        <v>558</v>
      </c>
      <c r="B269" s="3" t="str">
        <f>HYPERLINK("http://www.ncbi.nlm.nih.gov/gene/71742","Ulk3")</f>
        <v>Ulk3</v>
      </c>
      <c r="C269">
        <v>71742</v>
      </c>
      <c r="D269" t="s">
        <v>559</v>
      </c>
      <c r="E269" s="3" t="str">
        <f>HYPERLINK("http://genome.ucsc.edu/cgi-bin/hgTracks?db=mm10&amp;lastVirtModeType=default&amp;lastVirtModeExtraState=&amp;virtModeType=default&amp;virtMode=0&amp;nonVirtPosition=&amp;position=chr9:57589451-57596233","chr9:57589451-57596233")</f>
        <v>chr9:57589451-57596233</v>
      </c>
      <c r="F269" t="s">
        <v>30</v>
      </c>
      <c r="G269">
        <v>1.3684963926437499</v>
      </c>
      <c r="H269">
        <v>0.23315391860526799</v>
      </c>
      <c r="I269">
        <v>5.8694977156297696</v>
      </c>
      <c r="J269" s="1">
        <v>4.3711737632699001E-9</v>
      </c>
      <c r="K269" s="1">
        <v>2.20054089714087E-7</v>
      </c>
      <c r="L269" t="s">
        <v>26</v>
      </c>
      <c r="M269" t="s">
        <v>27</v>
      </c>
      <c r="N269">
        <v>76.6967628315886</v>
      </c>
      <c r="O269">
        <v>37.467307623814399</v>
      </c>
      <c r="P269">
        <v>106.118854237419</v>
      </c>
      <c r="Q269">
        <v>34.521137852354897</v>
      </c>
      <c r="R269">
        <v>27.685608878464201</v>
      </c>
      <c r="S269">
        <v>50.195176140624199</v>
      </c>
      <c r="T269">
        <v>114.573867889532</v>
      </c>
      <c r="U269">
        <v>83.509013089535898</v>
      </c>
      <c r="V269">
        <v>105.93412183932899</v>
      </c>
      <c r="W269">
        <v>120.45841413127999</v>
      </c>
    </row>
    <row r="270" spans="1:23" x14ac:dyDescent="0.2">
      <c r="A270" t="s">
        <v>560</v>
      </c>
      <c r="B270" s="3" t="str">
        <f>HYPERLINK("http://www.ncbi.nlm.nih.gov/gene/170935","Grid2ip")</f>
        <v>Grid2ip</v>
      </c>
      <c r="C270">
        <v>170935</v>
      </c>
      <c r="D270" t="s">
        <v>561</v>
      </c>
      <c r="E270" s="3" t="str">
        <f>HYPERLINK("http://genome.ucsc.edu/cgi-bin/hgTracks?db=mm10&amp;lastVirtModeType=default&amp;lastVirtModeExtraState=&amp;virtModeType=default&amp;virtMode=0&amp;nonVirtPosition=&amp;position=chr5:143363907-143391798","chr5:143363907-143391798")</f>
        <v>chr5:143363907-143391798</v>
      </c>
      <c r="F270" t="s">
        <v>30</v>
      </c>
      <c r="G270">
        <v>1.1209093705223401</v>
      </c>
      <c r="H270">
        <v>0.19165445528702801</v>
      </c>
      <c r="I270">
        <v>5.8485954257814399</v>
      </c>
      <c r="J270" s="1">
        <v>4.9574121309593098E-9</v>
      </c>
      <c r="K270" s="1">
        <v>2.4779251305118401E-7</v>
      </c>
      <c r="L270" t="s">
        <v>26</v>
      </c>
      <c r="M270" t="s">
        <v>27</v>
      </c>
      <c r="N270">
        <v>91.637607525830205</v>
      </c>
      <c r="O270">
        <v>51.914313746695598</v>
      </c>
      <c r="P270">
        <v>121.430077860181</v>
      </c>
      <c r="Q270">
        <v>46.213781318475199</v>
      </c>
      <c r="R270">
        <v>62.956316079795201</v>
      </c>
      <c r="S270">
        <v>46.572843841816301</v>
      </c>
      <c r="T270">
        <v>132.90568675185699</v>
      </c>
      <c r="U270">
        <v>124.192891261361</v>
      </c>
      <c r="V270">
        <v>117.704579821477</v>
      </c>
      <c r="W270">
        <v>110.91715360603</v>
      </c>
    </row>
    <row r="271" spans="1:23" x14ac:dyDescent="0.2">
      <c r="A271" t="s">
        <v>562</v>
      </c>
      <c r="B271" s="3" t="str">
        <f>HYPERLINK("http://www.ncbi.nlm.nih.gov/gene/16773","Lama2")</f>
        <v>Lama2</v>
      </c>
      <c r="C271">
        <v>16773</v>
      </c>
      <c r="D271" t="s">
        <v>563</v>
      </c>
      <c r="E271" s="3" t="str">
        <f>HYPERLINK("http://genome.ucsc.edu/cgi-bin/hgTracks?db=mm10&amp;lastVirtModeType=default&amp;lastVirtModeExtraState=&amp;virtModeType=default&amp;virtMode=0&amp;nonVirtPosition=&amp;position=chr10:26981284-27616942","chr10:26981284-27616942")</f>
        <v>chr10:26981284-27616942</v>
      </c>
      <c r="F271" t="s">
        <v>25</v>
      </c>
      <c r="G271">
        <v>-1.6029584129358001</v>
      </c>
      <c r="H271">
        <v>0.27407857165419103</v>
      </c>
      <c r="I271">
        <v>-5.8485360721971302</v>
      </c>
      <c r="J271" s="1">
        <v>4.9591810542690797E-9</v>
      </c>
      <c r="K271" s="1">
        <v>2.4779251305118401E-7</v>
      </c>
      <c r="L271" t="s">
        <v>26</v>
      </c>
      <c r="M271" t="s">
        <v>27</v>
      </c>
      <c r="N271">
        <v>93.793328424088998</v>
      </c>
      <c r="O271">
        <v>161.18551500151401</v>
      </c>
      <c r="P271">
        <v>43.2491884910199</v>
      </c>
      <c r="Q271">
        <v>247.21589042654199</v>
      </c>
      <c r="R271">
        <v>128.18816165645001</v>
      </c>
      <c r="S271">
        <v>108.152492921551</v>
      </c>
      <c r="T271">
        <v>32.0806830090688</v>
      </c>
      <c r="U271">
        <v>49.248905155367297</v>
      </c>
      <c r="V271">
        <v>46.346178304706498</v>
      </c>
      <c r="W271">
        <v>45.3209874949371</v>
      </c>
    </row>
    <row r="272" spans="1:23" x14ac:dyDescent="0.2">
      <c r="A272" t="s">
        <v>564</v>
      </c>
      <c r="B272" s="3" t="str">
        <f>HYPERLINK("http://www.ncbi.nlm.nih.gov/gene/12839","Col9a1")</f>
        <v>Col9a1</v>
      </c>
      <c r="C272">
        <v>12839</v>
      </c>
      <c r="D272" t="s">
        <v>565</v>
      </c>
      <c r="E272" s="3" t="str">
        <f>HYPERLINK("http://genome.ucsc.edu/cgi-bin/hgTracks?db=mm10&amp;lastVirtModeType=default&amp;lastVirtModeExtraState=&amp;virtModeType=default&amp;virtMode=0&amp;nonVirtPosition=&amp;position=chr1:24195202-24252738","chr1:24195202-24252738")</f>
        <v>chr1:24195202-24252738</v>
      </c>
      <c r="F272" t="s">
        <v>30</v>
      </c>
      <c r="G272">
        <v>1.6529649498243699</v>
      </c>
      <c r="H272">
        <v>0.283106383778782</v>
      </c>
      <c r="I272">
        <v>5.8386707066132004</v>
      </c>
      <c r="J272" s="1">
        <v>5.2618951593802504E-9</v>
      </c>
      <c r="K272" s="1">
        <v>2.6173125245636202E-7</v>
      </c>
      <c r="L272" t="s">
        <v>26</v>
      </c>
      <c r="M272" t="s">
        <v>27</v>
      </c>
      <c r="N272">
        <v>123.869100019583</v>
      </c>
      <c r="O272">
        <v>48.338199356105797</v>
      </c>
      <c r="P272">
        <v>180.517275517191</v>
      </c>
      <c r="Q272">
        <v>60.133594968618297</v>
      </c>
      <c r="R272">
        <v>32.615922788327602</v>
      </c>
      <c r="S272">
        <v>52.265080311371598</v>
      </c>
      <c r="T272">
        <v>132.90568675185699</v>
      </c>
      <c r="U272">
        <v>109.204094040162</v>
      </c>
      <c r="V272">
        <v>298.67537129699701</v>
      </c>
      <c r="W272">
        <v>181.283949979748</v>
      </c>
    </row>
    <row r="273" spans="1:23" x14ac:dyDescent="0.2">
      <c r="A273" t="s">
        <v>566</v>
      </c>
      <c r="B273" s="3" t="str">
        <f>HYPERLINK("http://www.ncbi.nlm.nih.gov/gene/21652","Phf1")</f>
        <v>Phf1</v>
      </c>
      <c r="C273">
        <v>21652</v>
      </c>
      <c r="D273" t="s">
        <v>567</v>
      </c>
      <c r="E273" s="3" t="str">
        <f>HYPERLINK("http://genome.ucsc.edu/cgi-bin/hgTracks?db=mm10&amp;lastVirtModeType=default&amp;lastVirtModeExtraState=&amp;virtModeType=default&amp;virtMode=0&amp;nonVirtPosition=&amp;position=chr17:26933126-26937908","chr17:26933126-26937908")</f>
        <v>chr17:26933126-26937908</v>
      </c>
      <c r="F273" t="s">
        <v>30</v>
      </c>
      <c r="G273">
        <v>1.17795494206968</v>
      </c>
      <c r="H273">
        <v>0.201767297926047</v>
      </c>
      <c r="I273">
        <v>5.8381856434506396</v>
      </c>
      <c r="J273" s="1">
        <v>5.2772338259441203E-9</v>
      </c>
      <c r="K273" s="1">
        <v>2.6173125245636202E-7</v>
      </c>
      <c r="L273" t="s">
        <v>26</v>
      </c>
      <c r="M273" t="s">
        <v>27</v>
      </c>
      <c r="N273">
        <v>64.496309668391504</v>
      </c>
      <c r="O273">
        <v>36.112036026442098</v>
      </c>
      <c r="P273">
        <v>85.784514899853605</v>
      </c>
      <c r="Q273">
        <v>39.532270766406498</v>
      </c>
      <c r="R273">
        <v>34.132942452900998</v>
      </c>
      <c r="S273">
        <v>34.670894860018798</v>
      </c>
      <c r="T273">
        <v>82.493184880462707</v>
      </c>
      <c r="U273">
        <v>81.367756343650299</v>
      </c>
      <c r="V273">
        <v>83.864513122802194</v>
      </c>
      <c r="W273">
        <v>95.412605252499205</v>
      </c>
    </row>
    <row r="274" spans="1:23" x14ac:dyDescent="0.2">
      <c r="A274" t="s">
        <v>568</v>
      </c>
      <c r="B274" s="3" t="str">
        <f>HYPERLINK("http://www.ncbi.nlm.nih.gov/gene/93707","Pcdhgc4")</f>
        <v>Pcdhgc4</v>
      </c>
      <c r="C274">
        <v>93707</v>
      </c>
      <c r="D274" t="s">
        <v>569</v>
      </c>
      <c r="E274" s="3" t="str">
        <f>HYPERLINK("http://genome.ucsc.edu/cgi-bin/hgTracks?db=mm10&amp;lastVirtModeType=default&amp;lastVirtModeExtraState=&amp;virtModeType=default&amp;virtMode=0&amp;nonVirtPosition=&amp;position=chr18:37815078-37841872","chr18:37815078-37841872")</f>
        <v>chr18:37815078-37841872</v>
      </c>
      <c r="F274" t="s">
        <v>30</v>
      </c>
      <c r="G274">
        <v>0.92380314223897098</v>
      </c>
      <c r="H274">
        <v>0.15839492833985799</v>
      </c>
      <c r="I274">
        <v>5.8322772826212503</v>
      </c>
      <c r="J274" s="1">
        <v>5.4675958939377603E-9</v>
      </c>
      <c r="K274" s="1">
        <v>2.6976592760958998E-7</v>
      </c>
      <c r="L274" t="s">
        <v>26</v>
      </c>
      <c r="M274" t="s">
        <v>27</v>
      </c>
      <c r="N274">
        <v>178.39205030670701</v>
      </c>
      <c r="O274">
        <v>116.129594491528</v>
      </c>
      <c r="P274">
        <v>225.08889216809101</v>
      </c>
      <c r="Q274">
        <v>109.688131563128</v>
      </c>
      <c r="R274">
        <v>104.674356855563</v>
      </c>
      <c r="S274">
        <v>134.026295055894</v>
      </c>
      <c r="T274">
        <v>201.650007485576</v>
      </c>
      <c r="U274">
        <v>265.51583648980602</v>
      </c>
      <c r="V274">
        <v>228.05262340411099</v>
      </c>
      <c r="W274">
        <v>205.13710129287301</v>
      </c>
    </row>
    <row r="275" spans="1:23" x14ac:dyDescent="0.2">
      <c r="A275" t="s">
        <v>570</v>
      </c>
      <c r="B275" s="3" t="str">
        <f>HYPERLINK("http://www.ncbi.nlm.nih.gov/gene/245880","Wasf3")</f>
        <v>Wasf3</v>
      </c>
      <c r="C275">
        <v>245880</v>
      </c>
      <c r="D275" t="s">
        <v>571</v>
      </c>
      <c r="E275" s="3" t="str">
        <f>HYPERLINK("http://genome.ucsc.edu/cgi-bin/hgTracks?db=mm10&amp;lastVirtModeType=default&amp;lastVirtModeExtraState=&amp;virtModeType=default&amp;virtMode=0&amp;nonVirtPosition=&amp;position=chr5:146385005-146471125","chr5:146385005-146471125")</f>
        <v>chr5:146385005-146471125</v>
      </c>
      <c r="F275" t="s">
        <v>30</v>
      </c>
      <c r="G275">
        <v>0.75419848001288803</v>
      </c>
      <c r="H275">
        <v>0.129335272934959</v>
      </c>
      <c r="I275">
        <v>5.8313440942917696</v>
      </c>
      <c r="J275" s="1">
        <v>5.4982669522587504E-9</v>
      </c>
      <c r="K275" s="1">
        <v>2.6976592760958998E-7</v>
      </c>
      <c r="L275" t="s">
        <v>26</v>
      </c>
      <c r="M275" t="s">
        <v>27</v>
      </c>
      <c r="N275">
        <v>520.71354435766602</v>
      </c>
      <c r="O275">
        <v>369.68784446886599</v>
      </c>
      <c r="P275">
        <v>633.98281927426603</v>
      </c>
      <c r="Q275">
        <v>379.17572382989903</v>
      </c>
      <c r="R275">
        <v>394.04585787293502</v>
      </c>
      <c r="S275">
        <v>335.84195170376398</v>
      </c>
      <c r="T275">
        <v>614.11593188788902</v>
      </c>
      <c r="U275">
        <v>680.91964519160001</v>
      </c>
      <c r="V275">
        <v>544.38368167432998</v>
      </c>
      <c r="W275">
        <v>696.51201834324399</v>
      </c>
    </row>
    <row r="276" spans="1:23" x14ac:dyDescent="0.2">
      <c r="A276" t="s">
        <v>572</v>
      </c>
      <c r="B276" s="3" t="str">
        <f>HYPERLINK("http://www.ncbi.nlm.nih.gov/gene/68943","Pink1")</f>
        <v>Pink1</v>
      </c>
      <c r="C276">
        <v>68943</v>
      </c>
      <c r="D276" t="s">
        <v>573</v>
      </c>
      <c r="E276" s="3" t="str">
        <f>HYPERLINK("http://genome.ucsc.edu/cgi-bin/hgTracks?db=mm10&amp;lastVirtModeType=default&amp;lastVirtModeExtraState=&amp;virtModeType=default&amp;virtMode=0&amp;nonVirtPosition=&amp;position=chr4:138313409-138326296","chr4:138313409-138326296")</f>
        <v>chr4:138313409-138326296</v>
      </c>
      <c r="F276" t="s">
        <v>25</v>
      </c>
      <c r="G276">
        <v>-0.91304922002940603</v>
      </c>
      <c r="H276">
        <v>0.156577261860918</v>
      </c>
      <c r="I276">
        <v>-5.8313014876990001</v>
      </c>
      <c r="J276" s="1">
        <v>5.4996712894793602E-9</v>
      </c>
      <c r="K276" s="1">
        <v>2.6976592760958998E-7</v>
      </c>
      <c r="L276" t="s">
        <v>26</v>
      </c>
      <c r="M276" t="s">
        <v>27</v>
      </c>
      <c r="N276">
        <v>459.92878075062902</v>
      </c>
      <c r="O276">
        <v>634.261893541517</v>
      </c>
      <c r="P276">
        <v>329.17894615746297</v>
      </c>
      <c r="Q276">
        <v>764.47616566585998</v>
      </c>
      <c r="R276">
        <v>632.21794521095501</v>
      </c>
      <c r="S276">
        <v>506.09156974773703</v>
      </c>
      <c r="T276">
        <v>334.55569423743202</v>
      </c>
      <c r="U276">
        <v>334.03605235814302</v>
      </c>
      <c r="V276">
        <v>298.67537129699701</v>
      </c>
      <c r="W276">
        <v>349.44866673727802</v>
      </c>
    </row>
    <row r="277" spans="1:23" x14ac:dyDescent="0.2">
      <c r="A277" t="s">
        <v>574</v>
      </c>
      <c r="B277" s="3" t="str">
        <f>HYPERLINK("http://www.ncbi.nlm.nih.gov/gene/71718","Telo2")</f>
        <v>Telo2</v>
      </c>
      <c r="C277">
        <v>71718</v>
      </c>
      <c r="D277" t="s">
        <v>575</v>
      </c>
      <c r="E277" s="3" t="str">
        <f>HYPERLINK("http://genome.ucsc.edu/cgi-bin/hgTracks?db=mm10&amp;lastVirtModeType=default&amp;lastVirtModeExtraState=&amp;virtModeType=default&amp;virtMode=0&amp;nonVirtPosition=&amp;position=chr17:25099568-25115905","chr17:25099568-25115905")</f>
        <v>chr17:25099568-25115905</v>
      </c>
      <c r="F277" t="s">
        <v>25</v>
      </c>
      <c r="G277">
        <v>1.05580918718133</v>
      </c>
      <c r="H277">
        <v>0.18114672081910799</v>
      </c>
      <c r="I277">
        <v>5.8284752956453003</v>
      </c>
      <c r="J277" s="1">
        <v>5.5936075407845E-9</v>
      </c>
      <c r="K277" s="1">
        <v>2.7337225758629699E-7</v>
      </c>
      <c r="L277" t="s">
        <v>26</v>
      </c>
      <c r="M277" t="s">
        <v>27</v>
      </c>
      <c r="N277">
        <v>206.23514478888799</v>
      </c>
      <c r="O277">
        <v>122.223818654331</v>
      </c>
      <c r="P277">
        <v>269.24363938980599</v>
      </c>
      <c r="Q277">
        <v>91.870770090944603</v>
      </c>
      <c r="R277">
        <v>137.66953456003401</v>
      </c>
      <c r="S277">
        <v>137.13115131201499</v>
      </c>
      <c r="T277">
        <v>288.72614708162001</v>
      </c>
      <c r="U277">
        <v>314.76474164517401</v>
      </c>
      <c r="V277">
        <v>236.14481326683801</v>
      </c>
      <c r="W277">
        <v>237.33885556559201</v>
      </c>
    </row>
    <row r="278" spans="1:23" x14ac:dyDescent="0.2">
      <c r="A278" t="s">
        <v>576</v>
      </c>
      <c r="B278" s="3" t="str">
        <f>HYPERLINK("http://www.ncbi.nlm.nih.gov/gene/242362","Manea")</f>
        <v>Manea</v>
      </c>
      <c r="C278">
        <v>242362</v>
      </c>
      <c r="D278" t="s">
        <v>577</v>
      </c>
      <c r="E278" s="3" t="str">
        <f>HYPERLINK("http://genome.ucsc.edu/cgi-bin/hgTracks?db=mm10&amp;lastVirtModeType=default&amp;lastVirtModeExtraState=&amp;virtModeType=default&amp;virtMode=0&amp;nonVirtPosition=&amp;position=chr4:26324505-26346652","chr4:26324505-26346652")</f>
        <v>chr4:26324505-26346652</v>
      </c>
      <c r="F278" t="s">
        <v>25</v>
      </c>
      <c r="G278">
        <v>-0.81906446496969598</v>
      </c>
      <c r="H278">
        <v>0.140802185040938</v>
      </c>
      <c r="I278">
        <v>-5.8171289368240497</v>
      </c>
      <c r="J278" s="1">
        <v>5.9866963744167803E-9</v>
      </c>
      <c r="K278" s="1">
        <v>2.915194587266E-7</v>
      </c>
      <c r="L278" t="s">
        <v>26</v>
      </c>
      <c r="M278" t="s">
        <v>27</v>
      </c>
      <c r="N278">
        <v>193.86127039225701</v>
      </c>
      <c r="O278">
        <v>261.361817168421</v>
      </c>
      <c r="P278">
        <v>143.23586031013301</v>
      </c>
      <c r="Q278">
        <v>270.60117735878202</v>
      </c>
      <c r="R278">
        <v>270.78801012634801</v>
      </c>
      <c r="S278">
        <v>242.69626402013199</v>
      </c>
      <c r="T278">
        <v>128.322732036275</v>
      </c>
      <c r="U278">
        <v>154.170485703759</v>
      </c>
      <c r="V278">
        <v>154.48726101568801</v>
      </c>
      <c r="W278">
        <v>135.96296248481099</v>
      </c>
    </row>
    <row r="279" spans="1:23" x14ac:dyDescent="0.2">
      <c r="A279" t="s">
        <v>578</v>
      </c>
      <c r="B279" s="3" t="str">
        <f>HYPERLINK("http://www.ncbi.nlm.nih.gov/gene/74206","Sipa1l3")</f>
        <v>Sipa1l3</v>
      </c>
      <c r="C279">
        <v>74206</v>
      </c>
      <c r="D279" t="s">
        <v>579</v>
      </c>
      <c r="E279" s="3" t="str">
        <f>HYPERLINK("http://genome.ucsc.edu/cgi-bin/hgTracks?db=mm10&amp;lastVirtModeType=default&amp;lastVirtModeExtraState=&amp;virtModeType=default&amp;virtMode=0&amp;nonVirtPosition=&amp;position=chr7:29320377-29505460","chr7:29320377-29505460")</f>
        <v>chr7:29320377-29505460</v>
      </c>
      <c r="F279" t="s">
        <v>25</v>
      </c>
      <c r="G279">
        <v>0.86811021031303903</v>
      </c>
      <c r="H279">
        <v>0.14944171993924699</v>
      </c>
      <c r="I279">
        <v>5.8090218090768397</v>
      </c>
      <c r="J279" s="1">
        <v>6.2838904215050697E-9</v>
      </c>
      <c r="K279" s="1">
        <v>3.04882524037588E-7</v>
      </c>
      <c r="L279" t="s">
        <v>26</v>
      </c>
      <c r="M279" t="s">
        <v>27</v>
      </c>
      <c r="N279">
        <v>278.190743341131</v>
      </c>
      <c r="O279">
        <v>185.117359571241</v>
      </c>
      <c r="P279">
        <v>347.995781168549</v>
      </c>
      <c r="Q279">
        <v>163.14021597967701</v>
      </c>
      <c r="R279">
        <v>173.319496677508</v>
      </c>
      <c r="S279">
        <v>218.89236605653701</v>
      </c>
      <c r="T279">
        <v>352.88751309975697</v>
      </c>
      <c r="U279">
        <v>396.13249798882401</v>
      </c>
      <c r="V279">
        <v>328.10151625236699</v>
      </c>
      <c r="W279">
        <v>314.861597333247</v>
      </c>
    </row>
    <row r="280" spans="1:23" x14ac:dyDescent="0.2">
      <c r="A280" t="s">
        <v>580</v>
      </c>
      <c r="B280" s="3" t="str">
        <f>HYPERLINK("http://www.ncbi.nlm.nih.gov/gene/21418","Tfap2a")</f>
        <v>Tfap2a</v>
      </c>
      <c r="C280">
        <v>21418</v>
      </c>
      <c r="D280" t="s">
        <v>581</v>
      </c>
      <c r="E280" s="3" t="str">
        <f>HYPERLINK("http://genome.ucsc.edu/cgi-bin/hgTracks?db=mm10&amp;lastVirtModeType=default&amp;lastVirtModeExtraState=&amp;virtModeType=default&amp;virtMode=0&amp;nonVirtPosition=&amp;position=chr13:40715302-40734920","chr13:40715302-40734920")</f>
        <v>chr13:40715302-40734920</v>
      </c>
      <c r="F280" t="s">
        <v>25</v>
      </c>
      <c r="G280">
        <v>1.70724456582076</v>
      </c>
      <c r="H280">
        <v>0.29394588625883999</v>
      </c>
      <c r="I280">
        <v>5.8080233322857797</v>
      </c>
      <c r="J280" s="1">
        <v>6.32147088197672E-9</v>
      </c>
      <c r="K280" s="1">
        <v>3.0558277383159298E-7</v>
      </c>
      <c r="L280" t="s">
        <v>26</v>
      </c>
      <c r="M280" t="s">
        <v>27</v>
      </c>
      <c r="N280">
        <v>35.160337713195602</v>
      </c>
      <c r="O280">
        <v>12.4493002607192</v>
      </c>
      <c r="P280">
        <v>52.193615802552799</v>
      </c>
      <c r="Q280">
        <v>7.2383030980744296</v>
      </c>
      <c r="R280">
        <v>12.5154122327304</v>
      </c>
      <c r="S280">
        <v>17.5941854513528</v>
      </c>
      <c r="T280">
        <v>64.161366018137699</v>
      </c>
      <c r="U280">
        <v>42.825134917710699</v>
      </c>
      <c r="V280">
        <v>58.852289910738399</v>
      </c>
      <c r="W280">
        <v>42.935672363624597</v>
      </c>
    </row>
    <row r="281" spans="1:23" x14ac:dyDescent="0.2">
      <c r="A281" t="s">
        <v>582</v>
      </c>
      <c r="B281" s="3" t="str">
        <f>HYPERLINK("http://www.ncbi.nlm.nih.gov/gene/71207","Nudt4")</f>
        <v>Nudt4</v>
      </c>
      <c r="C281">
        <v>71207</v>
      </c>
      <c r="D281" t="s">
        <v>583</v>
      </c>
      <c r="E281" s="3" t="str">
        <f>HYPERLINK("http://genome.ucsc.edu/cgi-bin/hgTracks?db=mm10&amp;lastVirtModeType=default&amp;lastVirtModeExtraState=&amp;virtModeType=default&amp;virtMode=0&amp;nonVirtPosition=&amp;position=chr10:95547006-95564167","chr10:95547006-95564167")</f>
        <v>chr10:95547006-95564167</v>
      </c>
      <c r="F281" t="s">
        <v>25</v>
      </c>
      <c r="G281">
        <v>-0.62479814270883405</v>
      </c>
      <c r="H281">
        <v>0.10758602428537201</v>
      </c>
      <c r="I281">
        <v>-5.8074284913768999</v>
      </c>
      <c r="J281" s="1">
        <v>6.3439631935765003E-9</v>
      </c>
      <c r="K281" s="1">
        <v>3.0558277383159298E-7</v>
      </c>
      <c r="L281" t="s">
        <v>26</v>
      </c>
      <c r="M281" t="s">
        <v>27</v>
      </c>
      <c r="N281">
        <v>432.83278238597802</v>
      </c>
      <c r="O281">
        <v>545.82130027320397</v>
      </c>
      <c r="P281">
        <v>348.09139397055702</v>
      </c>
      <c r="Q281">
        <v>529.50971125144497</v>
      </c>
      <c r="R281">
        <v>569.26162913116002</v>
      </c>
      <c r="S281">
        <v>538.69256043700796</v>
      </c>
      <c r="T281">
        <v>334.55569423743202</v>
      </c>
      <c r="U281">
        <v>334.03605235814302</v>
      </c>
      <c r="V281">
        <v>361.20592932715698</v>
      </c>
      <c r="W281">
        <v>362.56789995949703</v>
      </c>
    </row>
    <row r="282" spans="1:23" x14ac:dyDescent="0.2">
      <c r="A282" t="s">
        <v>584</v>
      </c>
      <c r="B282" s="3" t="str">
        <f>HYPERLINK("http://www.ncbi.nlm.nih.gov/gene/105501","Abhd4")</f>
        <v>Abhd4</v>
      </c>
      <c r="C282">
        <v>105501</v>
      </c>
      <c r="D282" t="s">
        <v>585</v>
      </c>
      <c r="E282" s="3" t="str">
        <f>HYPERLINK("http://genome.ucsc.edu/cgi-bin/hgTracks?db=mm10&amp;lastVirtModeType=default&amp;lastVirtModeExtraState=&amp;virtModeType=default&amp;virtMode=0&amp;nonVirtPosition=&amp;position=chr14:54254128-54269169","chr14:54254128-54269169")</f>
        <v>chr14:54254128-54269169</v>
      </c>
      <c r="F282" t="s">
        <v>30</v>
      </c>
      <c r="G282">
        <v>-0.91519756797207397</v>
      </c>
      <c r="H282">
        <v>0.15860220461838101</v>
      </c>
      <c r="I282">
        <v>-5.7703962575688301</v>
      </c>
      <c r="J282" s="1">
        <v>7.9085341032120799E-9</v>
      </c>
      <c r="K282" s="1">
        <v>3.7958129095381001E-7</v>
      </c>
      <c r="L282" t="s">
        <v>26</v>
      </c>
      <c r="M282" t="s">
        <v>27</v>
      </c>
      <c r="N282">
        <v>640.79960996898205</v>
      </c>
      <c r="O282">
        <v>889.89493098448202</v>
      </c>
      <c r="P282">
        <v>453.978119207357</v>
      </c>
      <c r="Q282">
        <v>1094.0973529012499</v>
      </c>
      <c r="R282">
        <v>786.95395099743996</v>
      </c>
      <c r="S282">
        <v>788.63348905475596</v>
      </c>
      <c r="T282">
        <v>398.71706025557</v>
      </c>
      <c r="U282">
        <v>428.25134917710699</v>
      </c>
      <c r="V282">
        <v>533.34887731606705</v>
      </c>
      <c r="W282">
        <v>455.59519008068401</v>
      </c>
    </row>
    <row r="283" spans="1:23" x14ac:dyDescent="0.2">
      <c r="A283" t="s">
        <v>586</v>
      </c>
      <c r="B283" s="3" t="str">
        <f>HYPERLINK("http://www.ncbi.nlm.nih.gov/gene/66293","1810032O08Rik")</f>
        <v>1810032O08Rik</v>
      </c>
      <c r="C283">
        <v>66293</v>
      </c>
      <c r="D283" t="s">
        <v>587</v>
      </c>
      <c r="E283" s="3" t="str">
        <f>HYPERLINK("http://genome.ucsc.edu/cgi-bin/hgTracks?db=mm10&amp;lastVirtModeType=default&amp;lastVirtModeExtraState=&amp;virtModeType=default&amp;virtMode=0&amp;nonVirtPosition=&amp;position=chr11:116671659-116675798","chr11:116671659-116675798")</f>
        <v>chr11:116671659-116675798</v>
      </c>
      <c r="F283" t="s">
        <v>30</v>
      </c>
      <c r="G283">
        <v>1.65952943985749</v>
      </c>
      <c r="H283">
        <v>0.28769001115579301</v>
      </c>
      <c r="I283">
        <v>5.7684638864948496</v>
      </c>
      <c r="J283" s="1">
        <v>7.9997350806169203E-9</v>
      </c>
      <c r="K283" s="1">
        <v>3.8258733023050402E-7</v>
      </c>
      <c r="L283" t="s">
        <v>26</v>
      </c>
      <c r="M283" t="s">
        <v>27</v>
      </c>
      <c r="N283">
        <v>33.475493227128602</v>
      </c>
      <c r="O283">
        <v>12.050182637940599</v>
      </c>
      <c r="P283">
        <v>49.544476169019603</v>
      </c>
      <c r="Q283">
        <v>8.3518881900858695</v>
      </c>
      <c r="R283">
        <v>11.7569024004437</v>
      </c>
      <c r="S283">
        <v>16.041757323292298</v>
      </c>
      <c r="T283">
        <v>64.161366018137699</v>
      </c>
      <c r="U283">
        <v>49.248905155367297</v>
      </c>
      <c r="V283">
        <v>38.253988441979999</v>
      </c>
      <c r="W283">
        <v>46.513645060593397</v>
      </c>
    </row>
    <row r="284" spans="1:23" x14ac:dyDescent="0.2">
      <c r="A284" t="s">
        <v>588</v>
      </c>
      <c r="B284" s="3" t="str">
        <f>HYPERLINK("http://www.ncbi.nlm.nih.gov/gene/74741","C2cd5")</f>
        <v>C2cd5</v>
      </c>
      <c r="C284">
        <v>74741</v>
      </c>
      <c r="D284" t="s">
        <v>589</v>
      </c>
      <c r="E284" s="3" t="str">
        <f>HYPERLINK("http://genome.ucsc.edu/cgi-bin/hgTracks?db=mm10&amp;lastVirtModeType=default&amp;lastVirtModeExtraState=&amp;virtModeType=default&amp;virtMode=0&amp;nonVirtPosition=&amp;position=chr6:143010919-143100152","chr6:143010919-143100152")</f>
        <v>chr6:143010919-143100152</v>
      </c>
      <c r="F284" t="s">
        <v>25</v>
      </c>
      <c r="G284">
        <v>0.66980372502878305</v>
      </c>
      <c r="H284">
        <v>0.116193540556917</v>
      </c>
      <c r="I284">
        <v>5.7645521585658397</v>
      </c>
      <c r="J284" s="1">
        <v>8.1874955145069496E-9</v>
      </c>
      <c r="K284" s="1">
        <v>3.9017349620911998E-7</v>
      </c>
      <c r="L284" t="s">
        <v>26</v>
      </c>
      <c r="M284" t="s">
        <v>27</v>
      </c>
      <c r="N284">
        <v>342.26433016607399</v>
      </c>
      <c r="O284">
        <v>251.34613298931799</v>
      </c>
      <c r="P284">
        <v>410.452978048641</v>
      </c>
      <c r="Q284">
        <v>244.98872024251901</v>
      </c>
      <c r="R284">
        <v>244.619420912457</v>
      </c>
      <c r="S284">
        <v>264.43025781297899</v>
      </c>
      <c r="T284">
        <v>458.295471558126</v>
      </c>
      <c r="U284">
        <v>413.26255195590801</v>
      </c>
      <c r="V284">
        <v>386.21815253922102</v>
      </c>
      <c r="W284">
        <v>384.03573614130897</v>
      </c>
    </row>
    <row r="285" spans="1:23" x14ac:dyDescent="0.2">
      <c r="A285" t="s">
        <v>590</v>
      </c>
      <c r="B285" s="3" t="str">
        <f>HYPERLINK("http://www.ncbi.nlm.nih.gov/gene/66087","Emc3")</f>
        <v>Emc3</v>
      </c>
      <c r="C285">
        <v>66087</v>
      </c>
      <c r="D285" t="s">
        <v>591</v>
      </c>
      <c r="E285" s="3" t="str">
        <f>HYPERLINK("http://genome.ucsc.edu/cgi-bin/hgTracks?db=mm10&amp;lastVirtModeType=default&amp;lastVirtModeExtraState=&amp;virtModeType=default&amp;virtMode=0&amp;nonVirtPosition=&amp;position=chr6:113514886-113531638","chr6:113514886-113531638")</f>
        <v>chr6:113514886-113531638</v>
      </c>
      <c r="F285" t="s">
        <v>25</v>
      </c>
      <c r="G285">
        <v>-0.68823558590781797</v>
      </c>
      <c r="H285">
        <v>0.11946957876969699</v>
      </c>
      <c r="I285">
        <v>-5.7607601281874397</v>
      </c>
      <c r="J285" s="1">
        <v>8.37359705916476E-9</v>
      </c>
      <c r="K285" s="1">
        <v>3.9762708588395502E-7</v>
      </c>
      <c r="L285" t="s">
        <v>26</v>
      </c>
      <c r="M285" t="s">
        <v>27</v>
      </c>
      <c r="N285">
        <v>316.80894163947499</v>
      </c>
      <c r="O285">
        <v>408.11978806666298</v>
      </c>
      <c r="P285">
        <v>248.32580681908499</v>
      </c>
      <c r="Q285">
        <v>380.84610146791601</v>
      </c>
      <c r="R285">
        <v>414.52562334467598</v>
      </c>
      <c r="S285">
        <v>428.987639387397</v>
      </c>
      <c r="T285">
        <v>229.147735779063</v>
      </c>
      <c r="U285">
        <v>263.374579743921</v>
      </c>
      <c r="V285">
        <v>257.47876835948102</v>
      </c>
      <c r="W285">
        <v>243.302143393873</v>
      </c>
    </row>
    <row r="286" spans="1:23" x14ac:dyDescent="0.2">
      <c r="A286" t="s">
        <v>592</v>
      </c>
      <c r="B286" s="3" t="str">
        <f>HYPERLINK("http://www.ncbi.nlm.nih.gov/gene/19989","Rpl7")</f>
        <v>Rpl7</v>
      </c>
      <c r="C286">
        <v>19989</v>
      </c>
      <c r="D286" t="s">
        <v>593</v>
      </c>
      <c r="E286" s="3" t="str">
        <f>HYPERLINK("http://genome.ucsc.edu/cgi-bin/hgTracks?db=mm10&amp;lastVirtModeType=default&amp;lastVirtModeExtraState=&amp;virtModeType=default&amp;virtMode=0&amp;nonVirtPosition=&amp;position=chr1:16101295-16104433","chr1:16101295-16104433")</f>
        <v>chr1:16101295-16104433</v>
      </c>
      <c r="F286" t="s">
        <v>25</v>
      </c>
      <c r="G286">
        <v>-0.75974054403731295</v>
      </c>
      <c r="H286">
        <v>0.131983569998775</v>
      </c>
      <c r="I286">
        <v>-5.7563266703905898</v>
      </c>
      <c r="J286" s="1">
        <v>8.5963959663523707E-9</v>
      </c>
      <c r="K286" s="1">
        <v>4.0676444659160598E-7</v>
      </c>
      <c r="L286" t="s">
        <v>26</v>
      </c>
      <c r="M286" t="s">
        <v>27</v>
      </c>
      <c r="N286">
        <v>570.11242932861296</v>
      </c>
      <c r="O286">
        <v>749.93352189890595</v>
      </c>
      <c r="P286">
        <v>435.24660990089302</v>
      </c>
      <c r="Q286">
        <v>660.91275210879598</v>
      </c>
      <c r="R286">
        <v>871.14854238126304</v>
      </c>
      <c r="S286">
        <v>717.73927120665803</v>
      </c>
      <c r="T286">
        <v>430.797743264639</v>
      </c>
      <c r="U286">
        <v>423.96883568533599</v>
      </c>
      <c r="V286">
        <v>466.404397542602</v>
      </c>
      <c r="W286">
        <v>419.81546311099601</v>
      </c>
    </row>
    <row r="287" spans="1:23" x14ac:dyDescent="0.2">
      <c r="A287" t="s">
        <v>594</v>
      </c>
      <c r="B287" s="3" t="str">
        <f>HYPERLINK("http://www.ncbi.nlm.nih.gov/gene/69219","Ddah1")</f>
        <v>Ddah1</v>
      </c>
      <c r="C287">
        <v>69219</v>
      </c>
      <c r="D287" t="s">
        <v>595</v>
      </c>
      <c r="E287" s="3" t="str">
        <f>HYPERLINK("http://genome.ucsc.edu/cgi-bin/hgTracks?db=mm10&amp;lastVirtModeType=default&amp;lastVirtModeExtraState=&amp;virtModeType=default&amp;virtMode=0&amp;nonVirtPosition=&amp;position=chr3:145758691-145894277","chr3:145758691-145894277")</f>
        <v>chr3:145758691-145894277</v>
      </c>
      <c r="F287" t="s">
        <v>30</v>
      </c>
      <c r="G287">
        <v>-0.67935176097670702</v>
      </c>
      <c r="H287">
        <v>0.11809369372964899</v>
      </c>
      <c r="I287">
        <v>-5.75265062444352</v>
      </c>
      <c r="J287" s="1">
        <v>8.7854930348656502E-9</v>
      </c>
      <c r="K287" s="1">
        <v>4.1424837052776702E-7</v>
      </c>
      <c r="L287" t="s">
        <v>26</v>
      </c>
      <c r="M287" t="s">
        <v>27</v>
      </c>
      <c r="N287">
        <v>1243.1718075891799</v>
      </c>
      <c r="O287">
        <v>1592.83218355035</v>
      </c>
      <c r="P287">
        <v>980.92652561829902</v>
      </c>
      <c r="Q287">
        <v>1780.62256212631</v>
      </c>
      <c r="R287">
        <v>1557.2206856845701</v>
      </c>
      <c r="S287">
        <v>1440.65330284018</v>
      </c>
      <c r="T287">
        <v>902.84207896950898</v>
      </c>
      <c r="U287">
        <v>1072.76962968865</v>
      </c>
      <c r="V287">
        <v>997.54631398701599</v>
      </c>
      <c r="W287">
        <v>950.54807982802299</v>
      </c>
    </row>
    <row r="288" spans="1:23" x14ac:dyDescent="0.2">
      <c r="A288" t="s">
        <v>596</v>
      </c>
      <c r="B288" s="3" t="str">
        <f>HYPERLINK("http://www.ncbi.nlm.nih.gov/gene/67797","Snrnp48")</f>
        <v>Snrnp48</v>
      </c>
      <c r="C288">
        <v>67797</v>
      </c>
      <c r="D288" t="s">
        <v>597</v>
      </c>
      <c r="E288" s="3" t="str">
        <f>HYPERLINK("http://genome.ucsc.edu/cgi-bin/hgTracks?db=mm10&amp;lastVirtModeType=default&amp;lastVirtModeExtraState=&amp;virtModeType=default&amp;virtMode=0&amp;nonVirtPosition=&amp;position=chr13:38204938-38227663","chr13:38204938-38227663")</f>
        <v>chr13:38204938-38227663</v>
      </c>
      <c r="F288" t="s">
        <v>30</v>
      </c>
      <c r="G288">
        <v>0.95176711887368604</v>
      </c>
      <c r="H288">
        <v>0.16552291504760799</v>
      </c>
      <c r="I288">
        <v>5.7500625735109701</v>
      </c>
      <c r="J288" s="1">
        <v>8.9210425676569697E-9</v>
      </c>
      <c r="K288" s="1">
        <v>4.1916379306489299E-7</v>
      </c>
      <c r="L288" t="s">
        <v>26</v>
      </c>
      <c r="M288" t="s">
        <v>27</v>
      </c>
      <c r="N288">
        <v>214.44409888569501</v>
      </c>
      <c r="O288">
        <v>135.99727534236899</v>
      </c>
      <c r="P288">
        <v>273.27921654319101</v>
      </c>
      <c r="Q288">
        <v>122.49436012126</v>
      </c>
      <c r="R288">
        <v>133.87698539860099</v>
      </c>
      <c r="S288">
        <v>151.62048050724599</v>
      </c>
      <c r="T288">
        <v>302.47501122836297</v>
      </c>
      <c r="U288">
        <v>226.973215063867</v>
      </c>
      <c r="V288">
        <v>236.880466890722</v>
      </c>
      <c r="W288">
        <v>326.78817298980999</v>
      </c>
    </row>
    <row r="289" spans="1:23" x14ac:dyDescent="0.2">
      <c r="A289" t="s">
        <v>598</v>
      </c>
      <c r="B289" s="3" t="str">
        <f>HYPERLINK("http://www.ncbi.nlm.nih.gov/gene/14173","Fgf2")</f>
        <v>Fgf2</v>
      </c>
      <c r="C289">
        <v>14173</v>
      </c>
      <c r="D289" t="s">
        <v>599</v>
      </c>
      <c r="E289" s="3" t="str">
        <f>HYPERLINK("http://genome.ucsc.edu/cgi-bin/hgTracks?db=mm10&amp;lastVirtModeType=default&amp;lastVirtModeExtraState=&amp;virtModeType=default&amp;virtMode=0&amp;nonVirtPosition=&amp;position=chr3:37348652-37404830","chr3:37348652-37404830")</f>
        <v>chr3:37348652-37404830</v>
      </c>
      <c r="F289" t="s">
        <v>30</v>
      </c>
      <c r="G289">
        <v>-1.4558856854342901</v>
      </c>
      <c r="H289">
        <v>0.25329412950713698</v>
      </c>
      <c r="I289">
        <v>-5.7478066636095004</v>
      </c>
      <c r="J289" s="1">
        <v>9.0408529147599701E-9</v>
      </c>
      <c r="K289" s="1">
        <v>4.2330790692849901E-7</v>
      </c>
      <c r="L289" t="s">
        <v>26</v>
      </c>
      <c r="M289" t="s">
        <v>27</v>
      </c>
      <c r="N289">
        <v>112.48007310364601</v>
      </c>
      <c r="O289">
        <v>186.96952904277899</v>
      </c>
      <c r="P289">
        <v>56.612981149295599</v>
      </c>
      <c r="Q289">
        <v>131.40304085735099</v>
      </c>
      <c r="R289">
        <v>171.80247701293499</v>
      </c>
      <c r="S289">
        <v>257.70306925804999</v>
      </c>
      <c r="T289">
        <v>27.497728293487601</v>
      </c>
      <c r="U289">
        <v>68.520215868337104</v>
      </c>
      <c r="V289">
        <v>68.415787021233399</v>
      </c>
      <c r="W289">
        <v>62.018193414124497</v>
      </c>
    </row>
    <row r="290" spans="1:23" x14ac:dyDescent="0.2">
      <c r="A290" t="s">
        <v>600</v>
      </c>
      <c r="B290" s="3" t="str">
        <f>HYPERLINK("http://www.ncbi.nlm.nih.gov/gene/74114","Crot")</f>
        <v>Crot</v>
      </c>
      <c r="C290">
        <v>74114</v>
      </c>
      <c r="D290" t="s">
        <v>601</v>
      </c>
      <c r="E290" s="3" t="str">
        <f>HYPERLINK("http://genome.ucsc.edu/cgi-bin/hgTracks?db=mm10&amp;lastVirtModeType=default&amp;lastVirtModeExtraState=&amp;virtModeType=default&amp;virtMode=0&amp;nonVirtPosition=&amp;position=chr5:8966047-8997146","chr5:8966047-8997146")</f>
        <v>chr5:8966047-8997146</v>
      </c>
      <c r="F290" t="s">
        <v>25</v>
      </c>
      <c r="G290">
        <v>-0.85625294260888396</v>
      </c>
      <c r="H290">
        <v>0.14903786975025199</v>
      </c>
      <c r="I290">
        <v>-5.7452038468057696</v>
      </c>
      <c r="J290" s="1">
        <v>9.1810313914263603E-9</v>
      </c>
      <c r="K290" s="1">
        <v>4.2837348906825902E-7</v>
      </c>
      <c r="L290" t="s">
        <v>26</v>
      </c>
      <c r="M290" t="s">
        <v>27</v>
      </c>
      <c r="N290">
        <v>373.38352041101399</v>
      </c>
      <c r="O290">
        <v>504.286909286065</v>
      </c>
      <c r="P290">
        <v>275.205978754726</v>
      </c>
      <c r="Q290">
        <v>472.16007901285502</v>
      </c>
      <c r="R290">
        <v>596.18872817733802</v>
      </c>
      <c r="S290">
        <v>444.51192066800201</v>
      </c>
      <c r="T290">
        <v>311.64092065952599</v>
      </c>
      <c r="U290">
        <v>250.52703926860801</v>
      </c>
      <c r="V290">
        <v>290.58318143427101</v>
      </c>
      <c r="W290">
        <v>248.07277365649799</v>
      </c>
    </row>
    <row r="291" spans="1:23" x14ac:dyDescent="0.2">
      <c r="A291" t="s">
        <v>602</v>
      </c>
      <c r="B291" s="3" t="str">
        <f>HYPERLINK("http://www.ncbi.nlm.nih.gov/gene/72605","Car10")</f>
        <v>Car10</v>
      </c>
      <c r="C291">
        <v>72605</v>
      </c>
      <c r="D291" t="s">
        <v>603</v>
      </c>
      <c r="E291" s="3" t="str">
        <f>HYPERLINK("http://genome.ucsc.edu/cgi-bin/hgTracks?db=mm10&amp;lastVirtModeType=default&amp;lastVirtModeExtraState=&amp;virtModeType=default&amp;virtMode=0&amp;nonVirtPosition=&amp;position=chr11:93099289-93601751","chr11:93099289-93601751")</f>
        <v>chr11:93099289-93601751</v>
      </c>
      <c r="F291" t="s">
        <v>30</v>
      </c>
      <c r="G291">
        <v>-1.3469556237189899</v>
      </c>
      <c r="H291">
        <v>0.23451557816232699</v>
      </c>
      <c r="I291">
        <v>-5.7435656695976798</v>
      </c>
      <c r="J291" s="1">
        <v>9.2703387692017299E-9</v>
      </c>
      <c r="K291" s="1">
        <v>4.3103856409159799E-7</v>
      </c>
      <c r="L291" t="s">
        <v>26</v>
      </c>
      <c r="M291" t="s">
        <v>27</v>
      </c>
      <c r="N291">
        <v>132.622382587982</v>
      </c>
      <c r="O291">
        <v>208.48644527929</v>
      </c>
      <c r="P291">
        <v>75.724335569501804</v>
      </c>
      <c r="Q291">
        <v>257.79494880065101</v>
      </c>
      <c r="R291">
        <v>205.176909633549</v>
      </c>
      <c r="S291">
        <v>162.48747740367</v>
      </c>
      <c r="T291">
        <v>68.744320733718993</v>
      </c>
      <c r="U291">
        <v>107.062837294277</v>
      </c>
      <c r="V291">
        <v>50.7601000480119</v>
      </c>
      <c r="W291">
        <v>76.330084201999398</v>
      </c>
    </row>
    <row r="292" spans="1:23" x14ac:dyDescent="0.2">
      <c r="A292" t="s">
        <v>604</v>
      </c>
      <c r="B292" s="3" t="str">
        <f>HYPERLINK("http://www.ncbi.nlm.nih.gov/gene/14025","Bcl11a")</f>
        <v>Bcl11a</v>
      </c>
      <c r="C292">
        <v>14025</v>
      </c>
      <c r="D292" t="s">
        <v>605</v>
      </c>
      <c r="E292" s="3" t="str">
        <f>HYPERLINK("http://genome.ucsc.edu/cgi-bin/hgTracks?db=mm10&amp;lastVirtModeType=default&amp;lastVirtModeExtraState=&amp;virtModeType=default&amp;virtMode=0&amp;nonVirtPosition=&amp;position=chr11:24078055-24173558","chr11:24078055-24173558")</f>
        <v>chr11:24078055-24173558</v>
      </c>
      <c r="F292" t="s">
        <v>30</v>
      </c>
      <c r="G292">
        <v>1.83177780840168</v>
      </c>
      <c r="H292">
        <v>0.31907596308109798</v>
      </c>
      <c r="I292">
        <v>5.7408831135804004</v>
      </c>
      <c r="J292" s="1">
        <v>9.4184085518688598E-9</v>
      </c>
      <c r="K292" s="1">
        <v>4.3640798933590302E-7</v>
      </c>
      <c r="L292" t="s">
        <v>26</v>
      </c>
      <c r="M292" t="s">
        <v>27</v>
      </c>
      <c r="N292">
        <v>39.312555554979902</v>
      </c>
      <c r="O292">
        <v>11.483783720708701</v>
      </c>
      <c r="P292">
        <v>60.1841344306834</v>
      </c>
      <c r="Q292">
        <v>11.692643466120201</v>
      </c>
      <c r="R292">
        <v>17.066471226450499</v>
      </c>
      <c r="S292">
        <v>5.6922364695553203</v>
      </c>
      <c r="T292">
        <v>91.659094311625296</v>
      </c>
      <c r="U292">
        <v>53.531418647138402</v>
      </c>
      <c r="V292">
        <v>57.380982662969998</v>
      </c>
      <c r="W292">
        <v>38.165042100999699</v>
      </c>
    </row>
    <row r="293" spans="1:23" x14ac:dyDescent="0.2">
      <c r="A293" t="s">
        <v>606</v>
      </c>
      <c r="B293" s="3" t="str">
        <f>HYPERLINK("http://www.ncbi.nlm.nih.gov/gene/51796","Srrm1")</f>
        <v>Srrm1</v>
      </c>
      <c r="C293">
        <v>51796</v>
      </c>
      <c r="D293" t="s">
        <v>607</v>
      </c>
      <c r="E293" s="3" t="str">
        <f>HYPERLINK("http://genome.ucsc.edu/cgi-bin/hgTracks?db=mm10&amp;lastVirtModeType=default&amp;lastVirtModeExtraState=&amp;virtModeType=default&amp;virtMode=0&amp;nonVirtPosition=&amp;position=chr4:135320483-135353214","chr4:135320483-135353214")</f>
        <v>chr4:135320483-135353214</v>
      </c>
      <c r="F293" t="s">
        <v>25</v>
      </c>
      <c r="G293">
        <v>0.94033393311707802</v>
      </c>
      <c r="H293">
        <v>0.16384400373191499</v>
      </c>
      <c r="I293">
        <v>5.7392026055202603</v>
      </c>
      <c r="J293" s="1">
        <v>9.5123365389115893E-9</v>
      </c>
      <c r="K293" s="1">
        <v>4.3924033997436298E-7</v>
      </c>
      <c r="L293" t="s">
        <v>26</v>
      </c>
      <c r="M293" t="s">
        <v>27</v>
      </c>
      <c r="N293">
        <v>617.02412372653703</v>
      </c>
      <c r="O293">
        <v>395.98824156994698</v>
      </c>
      <c r="P293">
        <v>782.80103534397904</v>
      </c>
      <c r="Q293">
        <v>295.65684192904001</v>
      </c>
      <c r="R293">
        <v>391.39107345993199</v>
      </c>
      <c r="S293">
        <v>500.91680932086899</v>
      </c>
      <c r="T293">
        <v>788.26821107997705</v>
      </c>
      <c r="U293">
        <v>747.298604314052</v>
      </c>
      <c r="V293">
        <v>808.48333264876896</v>
      </c>
      <c r="W293">
        <v>787.15399333311802</v>
      </c>
    </row>
    <row r="294" spans="1:23" x14ac:dyDescent="0.2">
      <c r="A294" t="s">
        <v>608</v>
      </c>
      <c r="B294" s="3" t="str">
        <f>HYPERLINK("http://www.ncbi.nlm.nih.gov/gene/74326","Hnrnpr")</f>
        <v>Hnrnpr</v>
      </c>
      <c r="C294">
        <v>74326</v>
      </c>
      <c r="D294" t="s">
        <v>609</v>
      </c>
      <c r="E294" s="3" t="str">
        <f>HYPERLINK("http://genome.ucsc.edu/cgi-bin/hgTracks?db=mm10&amp;lastVirtModeType=default&amp;lastVirtModeExtraState=&amp;virtModeType=default&amp;virtMode=0&amp;nonVirtPosition=&amp;position=chr4:136310941-136345979","chr4:136310941-136345979")</f>
        <v>chr4:136310941-136345979</v>
      </c>
      <c r="F294" t="s">
        <v>30</v>
      </c>
      <c r="G294">
        <v>0.60045051908583802</v>
      </c>
      <c r="H294">
        <v>0.104728068886371</v>
      </c>
      <c r="I294">
        <v>5.7334249114945699</v>
      </c>
      <c r="J294" s="1">
        <v>9.8422649644638095E-9</v>
      </c>
      <c r="K294" s="1">
        <v>4.51362226503887E-7</v>
      </c>
      <c r="L294" t="s">
        <v>26</v>
      </c>
      <c r="M294" t="s">
        <v>27</v>
      </c>
      <c r="N294">
        <v>835.55887561537997</v>
      </c>
      <c r="O294">
        <v>641.88794728120502</v>
      </c>
      <c r="P294">
        <v>980.81207186601</v>
      </c>
      <c r="Q294">
        <v>594.654439134114</v>
      </c>
      <c r="R294">
        <v>645.87112219211599</v>
      </c>
      <c r="S294">
        <v>685.13828051738597</v>
      </c>
      <c r="T294">
        <v>1017.41594685904</v>
      </c>
      <c r="U294">
        <v>905.75160350958095</v>
      </c>
      <c r="V294">
        <v>1023.29419082296</v>
      </c>
      <c r="W294">
        <v>976.78654627245999</v>
      </c>
    </row>
    <row r="295" spans="1:23" x14ac:dyDescent="0.2">
      <c r="A295" t="s">
        <v>610</v>
      </c>
      <c r="B295" s="3" t="str">
        <f>HYPERLINK("http://www.ncbi.nlm.nih.gov/gene/216618","Cfap36")</f>
        <v>Cfap36</v>
      </c>
      <c r="C295">
        <v>216618</v>
      </c>
      <c r="D295" t="s">
        <v>611</v>
      </c>
      <c r="E295" s="3" t="str">
        <f>HYPERLINK("http://genome.ucsc.edu/cgi-bin/hgTracks?db=mm10&amp;lastVirtModeType=default&amp;lastVirtModeExtraState=&amp;virtModeType=default&amp;virtMode=0&amp;nonVirtPosition=&amp;position=chr11:29221535-29247272","chr11:29221535-29247272")</f>
        <v>chr11:29221535-29247272</v>
      </c>
      <c r="F295" t="s">
        <v>25</v>
      </c>
      <c r="G295">
        <v>-0.829611013451514</v>
      </c>
      <c r="H295">
        <v>0.145039484958117</v>
      </c>
      <c r="I295">
        <v>-5.7198976795255296</v>
      </c>
      <c r="J295" s="1">
        <v>1.06588221323718E-8</v>
      </c>
      <c r="K295" s="1">
        <v>4.8700144297058096E-7</v>
      </c>
      <c r="L295" t="s">
        <v>26</v>
      </c>
      <c r="M295" t="s">
        <v>27</v>
      </c>
      <c r="N295">
        <v>261.29555421135098</v>
      </c>
      <c r="O295">
        <v>350.94635614713798</v>
      </c>
      <c r="P295">
        <v>194.05745275951099</v>
      </c>
      <c r="Q295">
        <v>385.85723438196698</v>
      </c>
      <c r="R295">
        <v>362.18844491689401</v>
      </c>
      <c r="S295">
        <v>304.793389142553</v>
      </c>
      <c r="T295">
        <v>183.31818862325099</v>
      </c>
      <c r="U295">
        <v>216.26693133443899</v>
      </c>
      <c r="V295">
        <v>175.085562484447</v>
      </c>
      <c r="W295">
        <v>201.55912859590501</v>
      </c>
    </row>
    <row r="296" spans="1:23" x14ac:dyDescent="0.2">
      <c r="A296" t="s">
        <v>612</v>
      </c>
      <c r="B296" s="3" t="str">
        <f>HYPERLINK("http://www.ncbi.nlm.nih.gov/gene/227580","C1ql3")</f>
        <v>C1ql3</v>
      </c>
      <c r="C296">
        <v>227580</v>
      </c>
      <c r="D296" t="s">
        <v>613</v>
      </c>
      <c r="E296" s="3" t="str">
        <f>HYPERLINK("http://genome.ucsc.edu/cgi-bin/hgTracks?db=mm10&amp;lastVirtModeType=default&amp;lastVirtModeExtraState=&amp;virtModeType=default&amp;virtMode=0&amp;nonVirtPosition=&amp;position=chr2:13001886-13010864","chr2:13001886-13010864")</f>
        <v>chr2:13001886-13010864</v>
      </c>
      <c r="F296" t="s">
        <v>25</v>
      </c>
      <c r="G296">
        <v>-1.1167353062941301</v>
      </c>
      <c r="H296">
        <v>0.19525503959155699</v>
      </c>
      <c r="I296">
        <v>-5.7193673906198104</v>
      </c>
      <c r="J296" s="1">
        <v>1.0692138319270499E-8</v>
      </c>
      <c r="K296" s="1">
        <v>4.8700144297058096E-7</v>
      </c>
      <c r="L296" t="s">
        <v>26</v>
      </c>
      <c r="M296" t="s">
        <v>27</v>
      </c>
      <c r="N296">
        <v>115.481227565363</v>
      </c>
      <c r="O296">
        <v>168.19210778563101</v>
      </c>
      <c r="P296">
        <v>75.948067400162898</v>
      </c>
      <c r="Q296">
        <v>201.558901654072</v>
      </c>
      <c r="R296">
        <v>142.59984846989801</v>
      </c>
      <c r="S296">
        <v>160.41757323292299</v>
      </c>
      <c r="T296">
        <v>87.076139596044001</v>
      </c>
      <c r="U296">
        <v>79.2264995977648</v>
      </c>
      <c r="V296">
        <v>64.737518901812294</v>
      </c>
      <c r="W296">
        <v>72.752111505030598</v>
      </c>
    </row>
    <row r="297" spans="1:23" x14ac:dyDescent="0.2">
      <c r="A297" t="s">
        <v>614</v>
      </c>
      <c r="B297" s="3" t="str">
        <f>HYPERLINK("http://www.ncbi.nlm.nih.gov/gene/67041","Oxct1")</f>
        <v>Oxct1</v>
      </c>
      <c r="C297">
        <v>67041</v>
      </c>
      <c r="D297" t="s">
        <v>615</v>
      </c>
      <c r="E297" s="3" t="str">
        <f>HYPERLINK("http://genome.ucsc.edu/cgi-bin/hgTracks?db=mm10&amp;lastVirtModeType=default&amp;lastVirtModeExtraState=&amp;virtModeType=default&amp;virtMode=0&amp;nonVirtPosition=&amp;position=chr15:4026427-4155344","chr15:4026427-4155344")</f>
        <v>chr15:4026427-4155344</v>
      </c>
      <c r="F297" t="s">
        <v>30</v>
      </c>
      <c r="G297">
        <v>-0.68322315535903</v>
      </c>
      <c r="H297">
        <v>0.119513384793571</v>
      </c>
      <c r="I297">
        <v>-5.7167082711206296</v>
      </c>
      <c r="J297" s="1">
        <v>1.08607335162697E-8</v>
      </c>
      <c r="K297" s="1">
        <v>4.9300366954700896E-7</v>
      </c>
      <c r="L297" t="s">
        <v>26</v>
      </c>
      <c r="M297" t="s">
        <v>27</v>
      </c>
      <c r="N297">
        <v>768.24196321510601</v>
      </c>
      <c r="O297">
        <v>982.48854094372302</v>
      </c>
      <c r="P297">
        <v>607.55702991864496</v>
      </c>
      <c r="Q297">
        <v>1079.0639541590999</v>
      </c>
      <c r="R297">
        <v>973.16811482382195</v>
      </c>
      <c r="S297">
        <v>895.23355384824595</v>
      </c>
      <c r="T297">
        <v>655.36252432812103</v>
      </c>
      <c r="U297">
        <v>543.879213454926</v>
      </c>
      <c r="V297">
        <v>583.37332374019502</v>
      </c>
      <c r="W297">
        <v>647.61305815133801</v>
      </c>
    </row>
    <row r="298" spans="1:23" x14ac:dyDescent="0.2">
      <c r="A298" t="s">
        <v>616</v>
      </c>
      <c r="B298" s="3" t="str">
        <f>HYPERLINK("http://www.ncbi.nlm.nih.gov/gene/17022","Lum")</f>
        <v>Lum</v>
      </c>
      <c r="C298">
        <v>17022</v>
      </c>
      <c r="D298" t="s">
        <v>617</v>
      </c>
      <c r="E298" s="3" t="str">
        <f>HYPERLINK("http://genome.ucsc.edu/cgi-bin/hgTracks?db=mm10&amp;lastVirtModeType=default&amp;lastVirtModeExtraState=&amp;virtModeType=default&amp;virtMode=0&amp;nonVirtPosition=&amp;position=chr10:97565500-97572703","chr10:97565500-97572703")</f>
        <v>chr10:97565500-97572703</v>
      </c>
      <c r="F298" t="s">
        <v>30</v>
      </c>
      <c r="G298">
        <v>-2.0821330496403299</v>
      </c>
      <c r="H298">
        <v>0.36434044971526602</v>
      </c>
      <c r="I298">
        <v>-5.7148006796048101</v>
      </c>
      <c r="J298" s="1">
        <v>1.0983268446571399E-8</v>
      </c>
      <c r="K298" s="1">
        <v>4.9688158029742498E-7</v>
      </c>
      <c r="L298" t="s">
        <v>26</v>
      </c>
      <c r="M298" t="s">
        <v>27</v>
      </c>
      <c r="N298">
        <v>28.811612212009798</v>
      </c>
      <c r="O298">
        <v>56.869577820180901</v>
      </c>
      <c r="P298">
        <v>7.7681380058815401</v>
      </c>
      <c r="Q298">
        <v>96.325110458990395</v>
      </c>
      <c r="R298">
        <v>43.2350604403413</v>
      </c>
      <c r="S298">
        <v>31.0485625612109</v>
      </c>
      <c r="T298">
        <v>13.7488641467438</v>
      </c>
      <c r="U298">
        <v>4.2825134917710699</v>
      </c>
      <c r="V298">
        <v>5.8852289910738396</v>
      </c>
      <c r="W298">
        <v>7.15594539393744</v>
      </c>
    </row>
    <row r="299" spans="1:23" x14ac:dyDescent="0.2">
      <c r="A299" t="s">
        <v>618</v>
      </c>
      <c r="B299" s="3" t="str">
        <f>HYPERLINK("http://www.ncbi.nlm.nih.gov/gene/77407","Rab35")</f>
        <v>Rab35</v>
      </c>
      <c r="C299">
        <v>77407</v>
      </c>
      <c r="D299" t="s">
        <v>619</v>
      </c>
      <c r="E299" s="3" t="str">
        <f>HYPERLINK("http://genome.ucsc.edu/cgi-bin/hgTracks?db=mm10&amp;lastVirtModeType=default&amp;lastVirtModeExtraState=&amp;virtModeType=default&amp;virtMode=0&amp;nonVirtPosition=&amp;position=chr5:115631986-115647158","chr5:115631986-115647158")</f>
        <v>chr5:115631986-115647158</v>
      </c>
      <c r="F299" t="s">
        <v>30</v>
      </c>
      <c r="G299">
        <v>-0.68602562480558804</v>
      </c>
      <c r="H299">
        <v>0.120091075783282</v>
      </c>
      <c r="I299">
        <v>-5.7125445861072901</v>
      </c>
      <c r="J299" s="1">
        <v>1.11299242686041E-8</v>
      </c>
      <c r="K299" s="1">
        <v>5.0182092889184301E-7</v>
      </c>
      <c r="L299" t="s">
        <v>26</v>
      </c>
      <c r="M299" t="s">
        <v>27</v>
      </c>
      <c r="N299">
        <v>316.27452646760202</v>
      </c>
      <c r="O299">
        <v>409.50133341237301</v>
      </c>
      <c r="P299">
        <v>246.35442125902401</v>
      </c>
      <c r="Q299">
        <v>413.14006913624797</v>
      </c>
      <c r="R299">
        <v>412.250093847816</v>
      </c>
      <c r="S299">
        <v>403.11383725305399</v>
      </c>
      <c r="T299">
        <v>201.650007485576</v>
      </c>
      <c r="U299">
        <v>274.08086347334898</v>
      </c>
      <c r="V299">
        <v>260.42138285501699</v>
      </c>
      <c r="W299">
        <v>249.26543122215401</v>
      </c>
    </row>
    <row r="300" spans="1:23" x14ac:dyDescent="0.2">
      <c r="A300" t="s">
        <v>620</v>
      </c>
      <c r="B300" s="3" t="str">
        <f>HYPERLINK("http://www.ncbi.nlm.nih.gov/gene/57764","Ntn4")</f>
        <v>Ntn4</v>
      </c>
      <c r="C300">
        <v>57764</v>
      </c>
      <c r="D300" t="s">
        <v>621</v>
      </c>
      <c r="E300" s="3" t="str">
        <f>HYPERLINK("http://genome.ucsc.edu/cgi-bin/hgTracks?db=mm10&amp;lastVirtModeType=default&amp;lastVirtModeExtraState=&amp;virtModeType=default&amp;virtMode=0&amp;nonVirtPosition=&amp;position=chr10:93641048-93745972","chr10:93641048-93745972")</f>
        <v>chr10:93641048-93745972</v>
      </c>
      <c r="F300" t="s">
        <v>30</v>
      </c>
      <c r="G300">
        <v>-0.985670110865004</v>
      </c>
      <c r="H300">
        <v>0.17260425950857899</v>
      </c>
      <c r="I300">
        <v>-5.7105781379399501</v>
      </c>
      <c r="J300" s="1">
        <v>1.1259302732522699E-8</v>
      </c>
      <c r="K300" s="1">
        <v>5.0595074795708705E-7</v>
      </c>
      <c r="L300" t="s">
        <v>26</v>
      </c>
      <c r="M300" t="s">
        <v>27</v>
      </c>
      <c r="N300">
        <v>153.25008347167599</v>
      </c>
      <c r="O300">
        <v>219.020119520626</v>
      </c>
      <c r="P300">
        <v>103.922556434963</v>
      </c>
      <c r="Q300">
        <v>226.61456622432999</v>
      </c>
      <c r="R300">
        <v>214.658282537133</v>
      </c>
      <c r="S300">
        <v>215.78750980041499</v>
      </c>
      <c r="T300">
        <v>82.493184880462707</v>
      </c>
      <c r="U300">
        <v>124.192891261361</v>
      </c>
      <c r="V300">
        <v>124.325462436435</v>
      </c>
      <c r="W300">
        <v>84.678687161593004</v>
      </c>
    </row>
    <row r="301" spans="1:23" x14ac:dyDescent="0.2">
      <c r="A301" t="s">
        <v>622</v>
      </c>
      <c r="B301" s="3" t="str">
        <f>HYPERLINK("http://www.ncbi.nlm.nih.gov/gene/18087","Nktr")</f>
        <v>Nktr</v>
      </c>
      <c r="C301">
        <v>18087</v>
      </c>
      <c r="D301" t="s">
        <v>623</v>
      </c>
      <c r="E301" s="3" t="str">
        <f>HYPERLINK("http://genome.ucsc.edu/cgi-bin/hgTracks?db=mm10&amp;lastVirtModeType=default&amp;lastVirtModeExtraState=&amp;virtModeType=default&amp;virtMode=0&amp;nonVirtPosition=&amp;position=chr9:121719180-121756841","chr9:121719180-121756841")</f>
        <v>chr9:121719180-121756841</v>
      </c>
      <c r="F301" t="s">
        <v>30</v>
      </c>
      <c r="G301">
        <v>0.89812198010279098</v>
      </c>
      <c r="H301">
        <v>0.15730305924898899</v>
      </c>
      <c r="I301">
        <v>5.7095010382550102</v>
      </c>
      <c r="J301" s="1">
        <v>1.13307866086167E-8</v>
      </c>
      <c r="K301" s="1">
        <v>5.0746007851500602E-7</v>
      </c>
      <c r="L301" t="s">
        <v>26</v>
      </c>
      <c r="M301" t="s">
        <v>27</v>
      </c>
      <c r="N301">
        <v>1209.7330490258801</v>
      </c>
      <c r="O301">
        <v>797.45247310878904</v>
      </c>
      <c r="P301">
        <v>1518.9434809637</v>
      </c>
      <c r="Q301">
        <v>762.24899548183703</v>
      </c>
      <c r="R301">
        <v>706.931163691194</v>
      </c>
      <c r="S301">
        <v>923.17726015333596</v>
      </c>
      <c r="T301">
        <v>1374.8864146743799</v>
      </c>
      <c r="U301">
        <v>1231.22262888418</v>
      </c>
      <c r="V301">
        <v>1714.07294365026</v>
      </c>
      <c r="W301">
        <v>1755.59193664599</v>
      </c>
    </row>
    <row r="302" spans="1:23" x14ac:dyDescent="0.2">
      <c r="A302" t="s">
        <v>624</v>
      </c>
      <c r="B302" s="3" t="str">
        <f>HYPERLINK("http://www.ncbi.nlm.nih.gov/gene/15558","Htr2a")</f>
        <v>Htr2a</v>
      </c>
      <c r="C302">
        <v>15558</v>
      </c>
      <c r="D302" t="s">
        <v>625</v>
      </c>
      <c r="E302" s="3" t="str">
        <f>HYPERLINK("http://genome.ucsc.edu/cgi-bin/hgTracks?db=mm10&amp;lastVirtModeType=default&amp;lastVirtModeExtraState=&amp;virtModeType=default&amp;virtMode=0&amp;nonVirtPosition=&amp;position=chr14:74640839-74706859","chr14:74640839-74706859")</f>
        <v>chr14:74640839-74706859</v>
      </c>
      <c r="F302" t="s">
        <v>30</v>
      </c>
      <c r="G302">
        <v>-1.6584641154775399</v>
      </c>
      <c r="H302">
        <v>0.29079657090564498</v>
      </c>
      <c r="I302">
        <v>-5.7031763143302703</v>
      </c>
      <c r="J302" s="1">
        <v>1.17595232888139E-8</v>
      </c>
      <c r="K302" s="1">
        <v>5.2490592120169202E-7</v>
      </c>
      <c r="L302" t="s">
        <v>26</v>
      </c>
      <c r="M302" t="s">
        <v>27</v>
      </c>
      <c r="N302">
        <v>39.522378971979698</v>
      </c>
      <c r="O302">
        <v>68.642626399498496</v>
      </c>
      <c r="P302">
        <v>17.682193401340601</v>
      </c>
      <c r="Q302">
        <v>46.213781318475199</v>
      </c>
      <c r="R302">
        <v>80.022787306245704</v>
      </c>
      <c r="S302">
        <v>79.691310573774501</v>
      </c>
      <c r="T302">
        <v>18.3318188623251</v>
      </c>
      <c r="U302">
        <v>17.130053967084301</v>
      </c>
      <c r="V302">
        <v>16.184379725453098</v>
      </c>
      <c r="W302">
        <v>19.0825210504998</v>
      </c>
    </row>
    <row r="303" spans="1:23" x14ac:dyDescent="0.2">
      <c r="A303" t="s">
        <v>626</v>
      </c>
      <c r="B303" s="3" t="str">
        <f>HYPERLINK("http://www.ncbi.nlm.nih.gov/gene/108927","Lhfp")</f>
        <v>Lhfp</v>
      </c>
      <c r="C303">
        <v>108927</v>
      </c>
      <c r="D303" t="s">
        <v>627</v>
      </c>
      <c r="E303" s="3" t="str">
        <f>HYPERLINK("http://genome.ucsc.edu/cgi-bin/hgTracks?db=mm10&amp;lastVirtModeType=default&amp;lastVirtModeExtraState=&amp;virtModeType=default&amp;virtMode=0&amp;nonVirtPosition=&amp;position=chr3:53041546-53261679","chr3:53041546-53261679")</f>
        <v>chr3:53041546-53261679</v>
      </c>
      <c r="F303" t="s">
        <v>30</v>
      </c>
      <c r="G303">
        <v>-1.34018227959082</v>
      </c>
      <c r="H303">
        <v>0.235155422027366</v>
      </c>
      <c r="I303">
        <v>-5.6991340792255301</v>
      </c>
      <c r="J303" s="1">
        <v>1.2041749361518799E-8</v>
      </c>
      <c r="K303" s="1">
        <v>5.3571782624617402E-7</v>
      </c>
      <c r="L303" t="s">
        <v>26</v>
      </c>
      <c r="M303" t="s">
        <v>27</v>
      </c>
      <c r="N303">
        <v>116.87322417393899</v>
      </c>
      <c r="O303">
        <v>186.68404892940299</v>
      </c>
      <c r="P303">
        <v>64.515105607341596</v>
      </c>
      <c r="Q303">
        <v>167.594556347723</v>
      </c>
      <c r="R303">
        <v>223.76040052457299</v>
      </c>
      <c r="S303">
        <v>168.69718991591199</v>
      </c>
      <c r="T303">
        <v>27.497728293487601</v>
      </c>
      <c r="U303">
        <v>104.92158054839101</v>
      </c>
      <c r="V303">
        <v>58.852289910738399</v>
      </c>
      <c r="W303">
        <v>66.788823676749402</v>
      </c>
    </row>
    <row r="304" spans="1:23" x14ac:dyDescent="0.2">
      <c r="A304" t="s">
        <v>628</v>
      </c>
      <c r="B304" s="3" t="str">
        <f>HYPERLINK("http://www.ncbi.nlm.nih.gov/gene/16398","Itga2")</f>
        <v>Itga2</v>
      </c>
      <c r="C304">
        <v>16398</v>
      </c>
      <c r="D304" t="s">
        <v>629</v>
      </c>
      <c r="E304" s="3" t="str">
        <f>HYPERLINK("http://genome.ucsc.edu/cgi-bin/hgTracks?db=mm10&amp;lastVirtModeType=default&amp;lastVirtModeExtraState=&amp;virtModeType=default&amp;virtMode=0&amp;nonVirtPosition=&amp;position=chr13:114835911-114932041","chr13:114835911-114932041")</f>
        <v>chr13:114835911-114932041</v>
      </c>
      <c r="F304" t="s">
        <v>25</v>
      </c>
      <c r="G304">
        <v>1.6433419399696301</v>
      </c>
      <c r="H304">
        <v>0.28887688444910897</v>
      </c>
      <c r="I304">
        <v>5.6887277190886998</v>
      </c>
      <c r="J304" s="1">
        <v>1.27989353272224E-8</v>
      </c>
      <c r="K304" s="1">
        <v>5.6751835419481795E-7</v>
      </c>
      <c r="L304" t="s">
        <v>26</v>
      </c>
      <c r="M304" t="s">
        <v>27</v>
      </c>
      <c r="N304">
        <v>35.961099271373698</v>
      </c>
      <c r="O304">
        <v>14.251141819750901</v>
      </c>
      <c r="P304">
        <v>52.2435673600908</v>
      </c>
      <c r="Q304">
        <v>13.9198136501431</v>
      </c>
      <c r="R304">
        <v>11.7569024004437</v>
      </c>
      <c r="S304">
        <v>17.076709408666002</v>
      </c>
      <c r="T304">
        <v>45.829547155812598</v>
      </c>
      <c r="U304">
        <v>34.260107934168602</v>
      </c>
      <c r="V304">
        <v>72.829708764538793</v>
      </c>
      <c r="W304">
        <v>56.054905585843301</v>
      </c>
    </row>
    <row r="305" spans="1:23" x14ac:dyDescent="0.2">
      <c r="A305" t="s">
        <v>630</v>
      </c>
      <c r="B305" s="3" t="str">
        <f>HYPERLINK("http://www.ncbi.nlm.nih.gov/gene/77578","Bcl9")</f>
        <v>Bcl9</v>
      </c>
      <c r="C305">
        <v>77578</v>
      </c>
      <c r="D305" t="s">
        <v>631</v>
      </c>
      <c r="E305" s="3" t="str">
        <f>HYPERLINK("http://genome.ucsc.edu/cgi-bin/hgTracks?db=mm10&amp;lastVirtModeType=default&amp;lastVirtModeExtraState=&amp;virtModeType=default&amp;virtMode=0&amp;nonVirtPosition=&amp;position=chr3:97203661-97227364","chr3:97203661-97227364")</f>
        <v>chr3:97203661-97227364</v>
      </c>
      <c r="F305" t="s">
        <v>25</v>
      </c>
      <c r="G305">
        <v>1.1142655004503399</v>
      </c>
      <c r="H305">
        <v>0.19590980823511001</v>
      </c>
      <c r="I305">
        <v>5.6876453021337401</v>
      </c>
      <c r="J305" s="1">
        <v>1.2880299870125399E-8</v>
      </c>
      <c r="K305" s="1">
        <v>5.6924123947474797E-7</v>
      </c>
      <c r="L305" t="s">
        <v>26</v>
      </c>
      <c r="M305" t="s">
        <v>27</v>
      </c>
      <c r="N305">
        <v>215.83987791672399</v>
      </c>
      <c r="O305">
        <v>124.995153042487</v>
      </c>
      <c r="P305">
        <v>283.97342157240098</v>
      </c>
      <c r="Q305">
        <v>97.438695551001899</v>
      </c>
      <c r="R305">
        <v>103.15733719099001</v>
      </c>
      <c r="S305">
        <v>174.389426385468</v>
      </c>
      <c r="T305">
        <v>270.39432821929501</v>
      </c>
      <c r="U305">
        <v>286.92840394866198</v>
      </c>
      <c r="V305">
        <v>293.525795929808</v>
      </c>
      <c r="W305">
        <v>285.04515819184098</v>
      </c>
    </row>
    <row r="306" spans="1:23" x14ac:dyDescent="0.2">
      <c r="A306" t="s">
        <v>632</v>
      </c>
      <c r="B306" s="3" t="str">
        <f>HYPERLINK("http://www.ncbi.nlm.nih.gov/gene/224697","Adamts10")</f>
        <v>Adamts10</v>
      </c>
      <c r="C306">
        <v>224697</v>
      </c>
      <c r="D306" t="s">
        <v>633</v>
      </c>
      <c r="E306" s="3" t="str">
        <f>HYPERLINK("http://genome.ucsc.edu/cgi-bin/hgTracks?db=mm10&amp;lastVirtModeType=default&amp;lastVirtModeExtraState=&amp;virtModeType=default&amp;virtMode=0&amp;nonVirtPosition=&amp;position=chr17:33524084-33553782","chr17:33524084-33553782")</f>
        <v>chr17:33524084-33553782</v>
      </c>
      <c r="F306" t="s">
        <v>30</v>
      </c>
      <c r="G306">
        <v>0.85548678168196102</v>
      </c>
      <c r="H306">
        <v>0.150580372446001</v>
      </c>
      <c r="I306">
        <v>5.6812635523845696</v>
      </c>
      <c r="J306" s="1">
        <v>1.33703260742531E-8</v>
      </c>
      <c r="K306" s="1">
        <v>5.8895406730369299E-7</v>
      </c>
      <c r="L306" t="s">
        <v>26</v>
      </c>
      <c r="M306" t="s">
        <v>27</v>
      </c>
      <c r="N306">
        <v>324.12471747690398</v>
      </c>
      <c r="O306">
        <v>219.789362847555</v>
      </c>
      <c r="P306">
        <v>402.376233448915</v>
      </c>
      <c r="Q306">
        <v>228.28494386234701</v>
      </c>
      <c r="R306">
        <v>187.35192857481201</v>
      </c>
      <c r="S306">
        <v>243.73121610550501</v>
      </c>
      <c r="T306">
        <v>366.63637724650101</v>
      </c>
      <c r="U306">
        <v>368.29616029231198</v>
      </c>
      <c r="V306">
        <v>389.16076703475801</v>
      </c>
      <c r="W306">
        <v>485.41162922209003</v>
      </c>
    </row>
    <row r="307" spans="1:23" x14ac:dyDescent="0.2">
      <c r="A307" t="s">
        <v>634</v>
      </c>
      <c r="B307" s="3" t="str">
        <f>HYPERLINK("http://www.ncbi.nlm.nih.gov/gene/22249","Unc13b")</f>
        <v>Unc13b</v>
      </c>
      <c r="C307">
        <v>22249</v>
      </c>
      <c r="D307" t="s">
        <v>635</v>
      </c>
      <c r="E307" s="3" t="str">
        <f>HYPERLINK("http://genome.ucsc.edu/cgi-bin/hgTracks?db=mm10&amp;lastVirtModeType=default&amp;lastVirtModeExtraState=&amp;virtModeType=default&amp;virtMode=0&amp;nonVirtPosition=&amp;position=chr4:43058952-43264873","chr4:43058952-43264873")</f>
        <v>chr4:43058952-43264873</v>
      </c>
      <c r="F307" t="s">
        <v>30</v>
      </c>
      <c r="G307">
        <v>0.978647273666294</v>
      </c>
      <c r="H307">
        <v>0.172450490833881</v>
      </c>
      <c r="I307">
        <v>5.6749462928986798</v>
      </c>
      <c r="J307" s="1">
        <v>1.3873217434880901E-8</v>
      </c>
      <c r="K307" s="1">
        <v>6.0910247432947601E-7</v>
      </c>
      <c r="L307" t="s">
        <v>26</v>
      </c>
      <c r="M307" t="s">
        <v>27</v>
      </c>
      <c r="N307">
        <v>161.035910231706</v>
      </c>
      <c r="O307">
        <v>102.060613803357</v>
      </c>
      <c r="P307">
        <v>205.267382552968</v>
      </c>
      <c r="Q307">
        <v>126.948700489305</v>
      </c>
      <c r="R307">
        <v>91.779689706689396</v>
      </c>
      <c r="S307">
        <v>87.453451214077205</v>
      </c>
      <c r="T307">
        <v>178.735233907669</v>
      </c>
      <c r="U307">
        <v>216.26693133443899</v>
      </c>
      <c r="V307">
        <v>203.040400192048</v>
      </c>
      <c r="W307">
        <v>223.02696477771701</v>
      </c>
    </row>
    <row r="308" spans="1:23" x14ac:dyDescent="0.2">
      <c r="A308" t="s">
        <v>636</v>
      </c>
      <c r="B308" s="3" t="str">
        <f>HYPERLINK("http://www.ncbi.nlm.nih.gov/gene/108800","Ston2")</f>
        <v>Ston2</v>
      </c>
      <c r="C308">
        <v>108800</v>
      </c>
      <c r="D308" t="s">
        <v>637</v>
      </c>
      <c r="E308" s="3" t="str">
        <f>HYPERLINK("http://genome.ucsc.edu/cgi-bin/hgTracks?db=mm10&amp;lastVirtModeType=default&amp;lastVirtModeExtraState=&amp;virtModeType=default&amp;virtMode=0&amp;nonVirtPosition=&amp;position=chr12:91633008-91786436","chr12:91633008-91786436")</f>
        <v>chr12:91633008-91786436</v>
      </c>
      <c r="F308" t="s">
        <v>25</v>
      </c>
      <c r="G308">
        <v>1.5713102449516001</v>
      </c>
      <c r="H308">
        <v>0.27747575490248799</v>
      </c>
      <c r="I308">
        <v>5.6628740248091001</v>
      </c>
      <c r="J308" s="1">
        <v>1.4885844498616499E-8</v>
      </c>
      <c r="K308" s="1">
        <v>6.4954913423970198E-7</v>
      </c>
      <c r="L308" t="s">
        <v>26</v>
      </c>
      <c r="M308" t="s">
        <v>27</v>
      </c>
      <c r="N308">
        <v>150.71126484794499</v>
      </c>
      <c r="O308">
        <v>61.449558285596801</v>
      </c>
      <c r="P308">
        <v>217.65754476970699</v>
      </c>
      <c r="Q308">
        <v>45.656988772469397</v>
      </c>
      <c r="R308">
        <v>43.993570272627998</v>
      </c>
      <c r="S308">
        <v>94.6981158116931</v>
      </c>
      <c r="T308">
        <v>242.89659992580701</v>
      </c>
      <c r="U308">
        <v>115.627864277819</v>
      </c>
      <c r="V308">
        <v>235.40915964295399</v>
      </c>
      <c r="W308">
        <v>276.69655523224799</v>
      </c>
    </row>
    <row r="309" spans="1:23" x14ac:dyDescent="0.2">
      <c r="A309" t="s">
        <v>638</v>
      </c>
      <c r="B309" s="3" t="str">
        <f>HYPERLINK("http://www.ncbi.nlm.nih.gov/gene/100043597","Srcap")</f>
        <v>Srcap</v>
      </c>
      <c r="C309">
        <v>100043597</v>
      </c>
      <c r="D309" t="s">
        <v>639</v>
      </c>
      <c r="E309" s="3" t="str">
        <f>HYPERLINK("http://genome.ucsc.edu/cgi-bin/hgTracks?db=mm10&amp;lastVirtModeType=default&amp;lastVirtModeExtraState=&amp;virtModeType=default&amp;virtMode=0&amp;nonVirtPosition=&amp;position=chr7:127511982-127561219","chr7:127511982-127561219")</f>
        <v>chr7:127511982-127561219</v>
      </c>
      <c r="F309" t="s">
        <v>30</v>
      </c>
      <c r="G309">
        <v>1.0307967493349599</v>
      </c>
      <c r="H309">
        <v>0.18202921840957201</v>
      </c>
      <c r="I309">
        <v>5.6628092915041304</v>
      </c>
      <c r="J309" s="1">
        <v>1.48914632373675E-8</v>
      </c>
      <c r="K309" s="1">
        <v>6.4954913423970198E-7</v>
      </c>
      <c r="L309" t="s">
        <v>26</v>
      </c>
      <c r="M309" t="s">
        <v>27</v>
      </c>
      <c r="N309">
        <v>1365.32142170012</v>
      </c>
      <c r="O309">
        <v>829.26655476836004</v>
      </c>
      <c r="P309">
        <v>1767.3625718989399</v>
      </c>
      <c r="Q309">
        <v>704.34257069724197</v>
      </c>
      <c r="R309">
        <v>643.97484761139901</v>
      </c>
      <c r="S309">
        <v>1139.48224599644</v>
      </c>
      <c r="T309">
        <v>1860.67961452599</v>
      </c>
      <c r="U309">
        <v>1807.22069352739</v>
      </c>
      <c r="V309">
        <v>1656.69196098729</v>
      </c>
      <c r="W309">
        <v>1744.85801855508</v>
      </c>
    </row>
    <row r="310" spans="1:23" x14ac:dyDescent="0.2">
      <c r="A310" t="s">
        <v>640</v>
      </c>
      <c r="B310" s="3" t="str">
        <f>HYPERLINK("http://www.ncbi.nlm.nih.gov/gene/104885","Tmem179")</f>
        <v>Tmem179</v>
      </c>
      <c r="C310">
        <v>104885</v>
      </c>
      <c r="D310" t="s">
        <v>641</v>
      </c>
      <c r="E310" s="3" t="str">
        <f>HYPERLINK("http://genome.ucsc.edu/cgi-bin/hgTracks?db=mm10&amp;lastVirtModeType=default&amp;lastVirtModeExtraState=&amp;virtModeType=default&amp;virtMode=0&amp;nonVirtPosition=&amp;position=chr12:112500183-112511160","chr12:112500183-112511160")</f>
        <v>chr12:112500183-112511160</v>
      </c>
      <c r="F310" t="s">
        <v>25</v>
      </c>
      <c r="G310">
        <v>-1.22598341758686</v>
      </c>
      <c r="H310">
        <v>0.21656051502745399</v>
      </c>
      <c r="I310">
        <v>-5.6611585793071901</v>
      </c>
      <c r="J310" s="1">
        <v>1.5035440270884101E-8</v>
      </c>
      <c r="K310" s="1">
        <v>6.5369993723184803E-7</v>
      </c>
      <c r="L310" t="s">
        <v>26</v>
      </c>
      <c r="M310" t="s">
        <v>27</v>
      </c>
      <c r="N310">
        <v>257.02029745370999</v>
      </c>
      <c r="O310">
        <v>390.34120820528898</v>
      </c>
      <c r="P310">
        <v>157.02961439002601</v>
      </c>
      <c r="Q310">
        <v>475.500834288889</v>
      </c>
      <c r="R310">
        <v>286.71671660436903</v>
      </c>
      <c r="S310">
        <v>408.80607372260999</v>
      </c>
      <c r="T310">
        <v>151.237505614182</v>
      </c>
      <c r="U310">
        <v>220.54944482620999</v>
      </c>
      <c r="V310">
        <v>119.17588706924499</v>
      </c>
      <c r="W310">
        <v>137.155620050468</v>
      </c>
    </row>
    <row r="311" spans="1:23" x14ac:dyDescent="0.2">
      <c r="A311" t="s">
        <v>642</v>
      </c>
      <c r="B311" s="3" t="str">
        <f>HYPERLINK("http://www.ncbi.nlm.nih.gov/gene/16801","Arhgef1")</f>
        <v>Arhgef1</v>
      </c>
      <c r="C311">
        <v>16801</v>
      </c>
      <c r="D311" t="s">
        <v>643</v>
      </c>
      <c r="E311" s="3" t="str">
        <f>HYPERLINK("http://genome.ucsc.edu/cgi-bin/hgTracks?db=mm10&amp;lastVirtModeType=default&amp;lastVirtModeExtraState=&amp;virtModeType=default&amp;virtMode=0&amp;nonVirtPosition=&amp;position=chr7:24904345-24926591","chr7:24904345-24926591")</f>
        <v>chr7:24904345-24926591</v>
      </c>
      <c r="F311" t="s">
        <v>30</v>
      </c>
      <c r="G311">
        <v>1.12745910668905</v>
      </c>
      <c r="H311">
        <v>0.199341740114543</v>
      </c>
      <c r="I311">
        <v>5.6559108295192102</v>
      </c>
      <c r="J311" s="1">
        <v>1.5502194082768001E-8</v>
      </c>
      <c r="K311" s="1">
        <v>6.7181191249950399E-7</v>
      </c>
      <c r="L311" t="s">
        <v>26</v>
      </c>
      <c r="M311" t="s">
        <v>27</v>
      </c>
      <c r="N311">
        <v>358.04784390959998</v>
      </c>
      <c r="O311">
        <v>204.671459962418</v>
      </c>
      <c r="P311">
        <v>473.08013186998602</v>
      </c>
      <c r="Q311">
        <v>175.38965199180299</v>
      </c>
      <c r="R311">
        <v>152.46047628962501</v>
      </c>
      <c r="S311">
        <v>286.16425160582702</v>
      </c>
      <c r="T311">
        <v>494.95910928277601</v>
      </c>
      <c r="U311">
        <v>438.95763290653503</v>
      </c>
      <c r="V311">
        <v>419.32256561401101</v>
      </c>
      <c r="W311">
        <v>539.08121967661998</v>
      </c>
    </row>
    <row r="312" spans="1:23" x14ac:dyDescent="0.2">
      <c r="A312" t="s">
        <v>644</v>
      </c>
      <c r="B312" s="3" t="str">
        <f>HYPERLINK("http://www.ncbi.nlm.nih.gov/gene/218543","Srek1")</f>
        <v>Srek1</v>
      </c>
      <c r="C312">
        <v>218543</v>
      </c>
      <c r="D312" t="s">
        <v>645</v>
      </c>
      <c r="E312" s="3" t="str">
        <f>HYPERLINK("http://genome.ucsc.edu/cgi-bin/hgTracks?db=mm10&amp;lastVirtModeType=default&amp;lastVirtModeExtraState=&amp;virtModeType=default&amp;virtMode=0&amp;nonVirtPosition=&amp;position=chr13:103741614-103764582","chr13:103741614-103764582")</f>
        <v>chr13:103741614-103764582</v>
      </c>
      <c r="F312" t="s">
        <v>25</v>
      </c>
      <c r="G312">
        <v>0.69709792583812302</v>
      </c>
      <c r="H312">
        <v>0.123277646932795</v>
      </c>
      <c r="I312">
        <v>5.6546985052216803</v>
      </c>
      <c r="J312" s="1">
        <v>1.5612007241575798E-8</v>
      </c>
      <c r="K312" s="1">
        <v>6.7438835152239205E-7</v>
      </c>
      <c r="L312" t="s">
        <v>26</v>
      </c>
      <c r="M312" t="s">
        <v>27</v>
      </c>
      <c r="N312">
        <v>645.98696155710297</v>
      </c>
      <c r="O312">
        <v>473.86775477594102</v>
      </c>
      <c r="P312">
        <v>775.07636664297399</v>
      </c>
      <c r="Q312">
        <v>489.97744048503802</v>
      </c>
      <c r="R312">
        <v>408.45754468638199</v>
      </c>
      <c r="S312">
        <v>523.16827915640295</v>
      </c>
      <c r="T312">
        <v>779.102301648815</v>
      </c>
      <c r="U312">
        <v>710.89723963399797</v>
      </c>
      <c r="V312">
        <v>804.069410905464</v>
      </c>
      <c r="W312">
        <v>806.23651438361799</v>
      </c>
    </row>
    <row r="313" spans="1:23" x14ac:dyDescent="0.2">
      <c r="A313" t="s">
        <v>646</v>
      </c>
      <c r="B313" s="3" t="str">
        <f>HYPERLINK("http://www.ncbi.nlm.nih.gov/gene/234463","Tmem184c")</f>
        <v>Tmem184c</v>
      </c>
      <c r="C313">
        <v>234463</v>
      </c>
      <c r="D313" t="s">
        <v>647</v>
      </c>
      <c r="E313" s="3" t="str">
        <f>HYPERLINK("http://genome.ucsc.edu/cgi-bin/hgTracks?db=mm10&amp;lastVirtModeType=default&amp;lastVirtModeExtraState=&amp;virtModeType=default&amp;virtMode=0&amp;nonVirtPosition=&amp;position=chr8:77595977-77610653","chr8:77595977-77610653")</f>
        <v>chr8:77595977-77610653</v>
      </c>
      <c r="F313" t="s">
        <v>25</v>
      </c>
      <c r="G313">
        <v>-0.96000517861245604</v>
      </c>
      <c r="H313">
        <v>0.17009369707373501</v>
      </c>
      <c r="I313">
        <v>-5.6439785549272798</v>
      </c>
      <c r="J313" s="1">
        <v>1.6616478039214699E-8</v>
      </c>
      <c r="K313" s="1">
        <v>7.1547028110329403E-7</v>
      </c>
      <c r="L313" t="s">
        <v>26</v>
      </c>
      <c r="M313" t="s">
        <v>27</v>
      </c>
      <c r="N313">
        <v>253.037971617815</v>
      </c>
      <c r="O313">
        <v>356.83595609287698</v>
      </c>
      <c r="P313">
        <v>175.18948326151801</v>
      </c>
      <c r="Q313">
        <v>440.97969643653403</v>
      </c>
      <c r="R313">
        <v>342.84644419358398</v>
      </c>
      <c r="S313">
        <v>286.68172764851403</v>
      </c>
      <c r="T313">
        <v>160.40341504534399</v>
      </c>
      <c r="U313">
        <v>171.30053967084299</v>
      </c>
      <c r="V313">
        <v>185.38471321882599</v>
      </c>
      <c r="W313">
        <v>183.66926511106101</v>
      </c>
    </row>
    <row r="314" spans="1:23" x14ac:dyDescent="0.2">
      <c r="A314" t="s">
        <v>648</v>
      </c>
      <c r="B314" s="3" t="str">
        <f>HYPERLINK("http://www.ncbi.nlm.nih.gov/gene/22158","Tulp3")</f>
        <v>Tulp3</v>
      </c>
      <c r="C314">
        <v>22158</v>
      </c>
      <c r="D314" t="s">
        <v>649</v>
      </c>
      <c r="E314" s="3" t="str">
        <f>HYPERLINK("http://genome.ucsc.edu/cgi-bin/hgTracks?db=mm10&amp;lastVirtModeType=default&amp;lastVirtModeExtraState=&amp;virtModeType=default&amp;virtMode=0&amp;nonVirtPosition=&amp;position=chr6:128321160-128355851","chr6:128321160-128355851")</f>
        <v>chr6:128321160-128355851</v>
      </c>
      <c r="F314" t="s">
        <v>25</v>
      </c>
      <c r="G314">
        <v>1.2575119327028901</v>
      </c>
      <c r="H314">
        <v>0.222868600914473</v>
      </c>
      <c r="I314">
        <v>5.6423916493533604</v>
      </c>
      <c r="J314" s="1">
        <v>1.6770407524899099E-8</v>
      </c>
      <c r="K314" s="1">
        <v>7.1978374091642397E-7</v>
      </c>
      <c r="L314" t="s">
        <v>26</v>
      </c>
      <c r="M314" t="s">
        <v>27</v>
      </c>
      <c r="N314">
        <v>174.842166038367</v>
      </c>
      <c r="O314">
        <v>91.549869354352396</v>
      </c>
      <c r="P314">
        <v>237.31138855137701</v>
      </c>
      <c r="Q314">
        <v>58.463217330601097</v>
      </c>
      <c r="R314">
        <v>82.677571719249102</v>
      </c>
      <c r="S314">
        <v>133.50881901320699</v>
      </c>
      <c r="T314">
        <v>233.73069049464399</v>
      </c>
      <c r="U314">
        <v>246.24452577683701</v>
      </c>
      <c r="V314">
        <v>239.087427762375</v>
      </c>
      <c r="W314">
        <v>230.18291017165399</v>
      </c>
    </row>
    <row r="315" spans="1:23" x14ac:dyDescent="0.2">
      <c r="A315" t="s">
        <v>650</v>
      </c>
      <c r="B315" s="3" t="str">
        <f>HYPERLINK("http://www.ncbi.nlm.nih.gov/gene/15258","Hipk2")</f>
        <v>Hipk2</v>
      </c>
      <c r="C315">
        <v>15258</v>
      </c>
      <c r="D315" t="s">
        <v>651</v>
      </c>
      <c r="E315" s="3" t="str">
        <f>HYPERLINK("http://genome.ucsc.edu/cgi-bin/hgTracks?db=mm10&amp;lastVirtModeType=default&amp;lastVirtModeExtraState=&amp;virtModeType=default&amp;virtMode=0&amp;nonVirtPosition=&amp;position=chr6:38697839-38876190","chr6:38697839-38876190")</f>
        <v>chr6:38697839-38876190</v>
      </c>
      <c r="F315" t="s">
        <v>25</v>
      </c>
      <c r="G315">
        <v>0.85270986367308899</v>
      </c>
      <c r="H315">
        <v>0.151159724807401</v>
      </c>
      <c r="I315">
        <v>5.6411181269320396</v>
      </c>
      <c r="J315" s="1">
        <v>1.68949396953943E-8</v>
      </c>
      <c r="K315" s="1">
        <v>7.2281194077004898E-7</v>
      </c>
      <c r="L315" t="s">
        <v>26</v>
      </c>
      <c r="M315" t="s">
        <v>27</v>
      </c>
      <c r="N315">
        <v>1166.5664841662101</v>
      </c>
      <c r="O315">
        <v>785.686126721493</v>
      </c>
      <c r="P315">
        <v>1452.22675224975</v>
      </c>
      <c r="Q315">
        <v>861.35806867085705</v>
      </c>
      <c r="R315">
        <v>595.80947326119394</v>
      </c>
      <c r="S315">
        <v>899.890838232428</v>
      </c>
      <c r="T315">
        <v>1535.28982971972</v>
      </c>
      <c r="U315">
        <v>1417.51196577622</v>
      </c>
      <c r="V315">
        <v>1484.54901299838</v>
      </c>
      <c r="W315">
        <v>1371.55620050468</v>
      </c>
    </row>
    <row r="316" spans="1:23" x14ac:dyDescent="0.2">
      <c r="A316" t="s">
        <v>652</v>
      </c>
      <c r="B316" s="3" t="str">
        <f>HYPERLINK("http://www.ncbi.nlm.nih.gov/gene/235504","Slc17a5")</f>
        <v>Slc17a5</v>
      </c>
      <c r="C316">
        <v>235504</v>
      </c>
      <c r="D316" t="s">
        <v>653</v>
      </c>
      <c r="E316" s="3" t="str">
        <f>HYPERLINK("http://genome.ucsc.edu/cgi-bin/hgTracks?db=mm10&amp;lastVirtModeType=default&amp;lastVirtModeExtraState=&amp;virtModeType=default&amp;virtMode=0&amp;nonVirtPosition=&amp;position=chr9:78536486-78588045","chr9:78536486-78588045")</f>
        <v>chr9:78536486-78588045</v>
      </c>
      <c r="F316" t="s">
        <v>25</v>
      </c>
      <c r="G316">
        <v>-1.0046904821074201</v>
      </c>
      <c r="H316">
        <v>0.178356559356669</v>
      </c>
      <c r="I316">
        <v>-5.6330447600656397</v>
      </c>
      <c r="J316" s="1">
        <v>1.7705548088808799E-8</v>
      </c>
      <c r="K316" s="1">
        <v>7.5497088076610901E-7</v>
      </c>
      <c r="L316" t="s">
        <v>26</v>
      </c>
      <c r="M316" t="s">
        <v>27</v>
      </c>
      <c r="N316">
        <v>110.71662419910599</v>
      </c>
      <c r="O316">
        <v>155.29756389954599</v>
      </c>
      <c r="P316">
        <v>77.280919423776098</v>
      </c>
      <c r="Q316">
        <v>152.56115760556901</v>
      </c>
      <c r="R316">
        <v>144.11686813447099</v>
      </c>
      <c r="S316">
        <v>169.214665958599</v>
      </c>
      <c r="T316">
        <v>87.076139596044001</v>
      </c>
      <c r="U316">
        <v>85.650269835421398</v>
      </c>
      <c r="V316">
        <v>68.415787021233399</v>
      </c>
      <c r="W316">
        <v>67.981481242405707</v>
      </c>
    </row>
    <row r="317" spans="1:23" x14ac:dyDescent="0.2">
      <c r="A317" t="s">
        <v>654</v>
      </c>
      <c r="B317" s="3" t="str">
        <f>HYPERLINK("http://www.ncbi.nlm.nih.gov/gene/80288","Bcl9l")</f>
        <v>Bcl9l</v>
      </c>
      <c r="C317">
        <v>80288</v>
      </c>
      <c r="D317" t="s">
        <v>655</v>
      </c>
      <c r="E317" s="3" t="str">
        <f>HYPERLINK("http://genome.ucsc.edu/cgi-bin/hgTracks?db=mm10&amp;lastVirtModeType=default&amp;lastVirtModeExtraState=&amp;virtModeType=default&amp;virtMode=0&amp;nonVirtPosition=&amp;position=chr9:44499135-44510412","chr9:44499135-44510412")</f>
        <v>chr9:44499135-44510412</v>
      </c>
      <c r="F317" t="s">
        <v>30</v>
      </c>
      <c r="G317">
        <v>1.2550992705070401</v>
      </c>
      <c r="H317">
        <v>0.22284020278088701</v>
      </c>
      <c r="I317">
        <v>5.6322838287001202</v>
      </c>
      <c r="J317" s="1">
        <v>1.7783868604604501E-8</v>
      </c>
      <c r="K317" s="1">
        <v>7.5497088076610901E-7</v>
      </c>
      <c r="L317" t="s">
        <v>26</v>
      </c>
      <c r="M317" t="s">
        <v>27</v>
      </c>
      <c r="N317">
        <v>246.295728967309</v>
      </c>
      <c r="O317">
        <v>129.79015003682099</v>
      </c>
      <c r="P317">
        <v>333.67491316517601</v>
      </c>
      <c r="Q317">
        <v>119.710397391231</v>
      </c>
      <c r="R317">
        <v>80.781297138532395</v>
      </c>
      <c r="S317">
        <v>188.87875558069899</v>
      </c>
      <c r="T317">
        <v>311.64092065952599</v>
      </c>
      <c r="U317">
        <v>319.04725513694501</v>
      </c>
      <c r="V317">
        <v>345.02154960170401</v>
      </c>
      <c r="W317">
        <v>358.989927262528</v>
      </c>
    </row>
    <row r="318" spans="1:23" x14ac:dyDescent="0.2">
      <c r="A318" t="s">
        <v>656</v>
      </c>
      <c r="B318" s="3" t="str">
        <f>HYPERLINK("http://www.ncbi.nlm.nih.gov/gene/449630","Snord15a")</f>
        <v>Snord15a</v>
      </c>
      <c r="C318">
        <v>449630</v>
      </c>
      <c r="D318" t="s">
        <v>657</v>
      </c>
      <c r="E318" s="3" t="str">
        <f>HYPERLINK("http://genome.ucsc.edu/cgi-bin/hgTracks?db=mm10&amp;lastVirtModeType=default&amp;lastVirtModeExtraState=&amp;virtModeType=default&amp;virtMode=0&amp;nonVirtPosition=&amp;position=chr7:99482784-99482932","chr7:99482784-99482932")</f>
        <v>chr7:99482784-99482932</v>
      </c>
      <c r="F318" t="s">
        <v>25</v>
      </c>
      <c r="G318">
        <v>2.1169292155873101</v>
      </c>
      <c r="H318">
        <v>0.37587688779094502</v>
      </c>
      <c r="I318">
        <v>5.6319749480438803</v>
      </c>
      <c r="J318" s="1">
        <v>1.78157567263155E-8</v>
      </c>
      <c r="K318" s="1">
        <v>7.5497088076610901E-7</v>
      </c>
      <c r="L318" t="s">
        <v>26</v>
      </c>
      <c r="M318" t="s">
        <v>27</v>
      </c>
      <c r="N318">
        <v>25.7546061457269</v>
      </c>
      <c r="O318">
        <v>3.9301962738831402</v>
      </c>
      <c r="P318">
        <v>42.122913549609798</v>
      </c>
      <c r="Q318">
        <v>3.3407552760343502</v>
      </c>
      <c r="R318">
        <v>3.7925491614334499</v>
      </c>
      <c r="S318">
        <v>4.6572843841816303</v>
      </c>
      <c r="T318">
        <v>87.076139596044001</v>
      </c>
      <c r="U318">
        <v>25.695080950626402</v>
      </c>
      <c r="V318">
        <v>13.977418853800399</v>
      </c>
      <c r="W318">
        <v>41.743014797968399</v>
      </c>
    </row>
    <row r="319" spans="1:23" x14ac:dyDescent="0.2">
      <c r="A319" t="s">
        <v>658</v>
      </c>
      <c r="B319" s="3" t="str">
        <f>HYPERLINK("http://www.ncbi.nlm.nih.gov/gene/103551","E130012A19Rik")</f>
        <v>E130012A19Rik</v>
      </c>
      <c r="C319">
        <v>103551</v>
      </c>
      <c r="D319" t="s">
        <v>659</v>
      </c>
      <c r="E319" s="3" t="str">
        <f>HYPERLINK("http://genome.ucsc.edu/cgi-bin/hgTracks?db=mm10&amp;lastVirtModeType=default&amp;lastVirtModeExtraState=&amp;virtModeType=default&amp;virtMode=0&amp;nonVirtPosition=&amp;position=chr11:97627386-97629716","chr11:97627386-97629716")</f>
        <v>chr11:97627386-97629716</v>
      </c>
      <c r="F319" t="s">
        <v>25</v>
      </c>
      <c r="G319">
        <v>1.5896103013541201</v>
      </c>
      <c r="H319">
        <v>0.28257482691528801</v>
      </c>
      <c r="I319">
        <v>5.6254490844319198</v>
      </c>
      <c r="J319" s="1">
        <v>1.8502597672476299E-8</v>
      </c>
      <c r="K319" s="1">
        <v>7.8160342407612199E-7</v>
      </c>
      <c r="L319" t="s">
        <v>26</v>
      </c>
      <c r="M319" t="s">
        <v>27</v>
      </c>
      <c r="N319">
        <v>38.581373117401903</v>
      </c>
      <c r="O319">
        <v>15.2685168024787</v>
      </c>
      <c r="P319">
        <v>56.066015353594402</v>
      </c>
      <c r="Q319">
        <v>8.3518881900858695</v>
      </c>
      <c r="R319">
        <v>19.342000723310601</v>
      </c>
      <c r="S319">
        <v>18.111661494039701</v>
      </c>
      <c r="T319">
        <v>50.4125018713939</v>
      </c>
      <c r="U319">
        <v>66.378959122451604</v>
      </c>
      <c r="V319">
        <v>57.380982662969998</v>
      </c>
      <c r="W319">
        <v>50.091617757562098</v>
      </c>
    </row>
    <row r="320" spans="1:23" x14ac:dyDescent="0.2">
      <c r="A320" t="s">
        <v>660</v>
      </c>
      <c r="B320" s="3" t="str">
        <f>HYPERLINK("http://www.ncbi.nlm.nih.gov/gene/227059","Slc39a10")</f>
        <v>Slc39a10</v>
      </c>
      <c r="C320">
        <v>227059</v>
      </c>
      <c r="D320" t="s">
        <v>661</v>
      </c>
      <c r="E320" s="3" t="str">
        <f>HYPERLINK("http://genome.ucsc.edu/cgi-bin/hgTracks?db=mm10&amp;lastVirtModeType=default&amp;lastVirtModeExtraState=&amp;virtModeType=default&amp;virtMode=0&amp;nonVirtPosition=&amp;position=chr1:46807543-46853509","chr1:46807543-46853509")</f>
        <v>chr1:46807543-46853509</v>
      </c>
      <c r="F320" t="s">
        <v>25</v>
      </c>
      <c r="G320">
        <v>-0.623295992728091</v>
      </c>
      <c r="H320">
        <v>0.11087585169788999</v>
      </c>
      <c r="I320">
        <v>-5.6215666728443301</v>
      </c>
      <c r="J320" s="1">
        <v>1.89233438678786E-8</v>
      </c>
      <c r="K320" s="1">
        <v>7.9686320042378198E-7</v>
      </c>
      <c r="L320" t="s">
        <v>26</v>
      </c>
      <c r="M320" t="s">
        <v>27</v>
      </c>
      <c r="N320">
        <v>545.34009963079097</v>
      </c>
      <c r="O320">
        <v>684.90318889249602</v>
      </c>
      <c r="P320">
        <v>440.66778268451299</v>
      </c>
      <c r="Q320">
        <v>730.51182035951103</v>
      </c>
      <c r="R320">
        <v>671.66045648986301</v>
      </c>
      <c r="S320">
        <v>652.53728982811504</v>
      </c>
      <c r="T320">
        <v>417.04887911789501</v>
      </c>
      <c r="U320">
        <v>483.924024570131</v>
      </c>
      <c r="V320">
        <v>415.64429749458998</v>
      </c>
      <c r="W320">
        <v>446.05392955543402</v>
      </c>
    </row>
    <row r="321" spans="1:23" x14ac:dyDescent="0.2">
      <c r="A321" t="s">
        <v>662</v>
      </c>
      <c r="B321" s="3" t="str">
        <f>HYPERLINK("http://www.ncbi.nlm.nih.gov/gene/225594","Gm4841")</f>
        <v>Gm4841</v>
      </c>
      <c r="C321">
        <v>225594</v>
      </c>
      <c r="D321" t="s">
        <v>663</v>
      </c>
      <c r="E321" s="3" t="str">
        <f>HYPERLINK("http://genome.ucsc.edu/cgi-bin/hgTracks?db=mm10&amp;lastVirtModeType=default&amp;lastVirtModeExtraState=&amp;virtModeType=default&amp;virtMode=0&amp;nonVirtPosition=&amp;position=chr18:60268300-60273267","chr18:60268300-60273267")</f>
        <v>chr18:60268300-60273267</v>
      </c>
      <c r="F321" t="s">
        <v>25</v>
      </c>
      <c r="G321">
        <v>2.0689749516953602</v>
      </c>
      <c r="H321">
        <v>0.36808352269182198</v>
      </c>
      <c r="I321">
        <v>5.6209387928174399</v>
      </c>
      <c r="J321" s="1">
        <v>1.8992255684896102E-8</v>
      </c>
      <c r="K321" s="1">
        <v>7.9725798080389802E-7</v>
      </c>
      <c r="L321" t="s">
        <v>26</v>
      </c>
      <c r="M321" t="s">
        <v>27</v>
      </c>
      <c r="N321">
        <v>20.106261197663301</v>
      </c>
      <c r="O321">
        <v>3.6574969564856601</v>
      </c>
      <c r="P321">
        <v>32.4428343785466</v>
      </c>
      <c r="Q321">
        <v>4.4543403680458002</v>
      </c>
      <c r="R321">
        <v>3.4132942452900998</v>
      </c>
      <c r="S321">
        <v>3.10485625612109</v>
      </c>
      <c r="T321">
        <v>59.578411302556397</v>
      </c>
      <c r="U321">
        <v>8.5650269835421398</v>
      </c>
      <c r="V321">
        <v>29.4261449553692</v>
      </c>
      <c r="W321">
        <v>32.201754272718503</v>
      </c>
    </row>
    <row r="322" spans="1:23" x14ac:dyDescent="0.2">
      <c r="A322" t="s">
        <v>664</v>
      </c>
      <c r="B322" s="3" t="str">
        <f>HYPERLINK("http://www.ncbi.nlm.nih.gov/gene/16526","Kcnk2")</f>
        <v>Kcnk2</v>
      </c>
      <c r="C322">
        <v>16526</v>
      </c>
      <c r="D322" t="s">
        <v>665</v>
      </c>
      <c r="E322" s="3" t="str">
        <f>HYPERLINK("http://genome.ucsc.edu/cgi-bin/hgTracks?db=mm10&amp;lastVirtModeType=default&amp;lastVirtModeExtraState=&amp;virtModeType=default&amp;virtMode=0&amp;nonVirtPosition=&amp;position=chr1:189207929-189343353","chr1:189207929-189343353")</f>
        <v>chr1:189207929-189343353</v>
      </c>
      <c r="F322" t="s">
        <v>25</v>
      </c>
      <c r="G322">
        <v>-1.0957780915942199</v>
      </c>
      <c r="H322">
        <v>0.19496604876276999</v>
      </c>
      <c r="I322">
        <v>-5.6203533822831497</v>
      </c>
      <c r="J322" s="1">
        <v>1.90567258003745E-8</v>
      </c>
      <c r="K322" s="1">
        <v>7.9746442247754796E-7</v>
      </c>
      <c r="L322" t="s">
        <v>26</v>
      </c>
      <c r="M322" t="s">
        <v>27</v>
      </c>
      <c r="N322">
        <v>353.96383131716402</v>
      </c>
      <c r="O322">
        <v>521.73119683588902</v>
      </c>
      <c r="P322">
        <v>228.13830717811999</v>
      </c>
      <c r="Q322">
        <v>482.18234484095802</v>
      </c>
      <c r="R322">
        <v>512.75264662580196</v>
      </c>
      <c r="S322">
        <v>570.25859904090601</v>
      </c>
      <c r="T322">
        <v>142.07159618301901</v>
      </c>
      <c r="U322">
        <v>336.17730910402901</v>
      </c>
      <c r="V322">
        <v>233.93785239518499</v>
      </c>
      <c r="W322">
        <v>200.36647103024799</v>
      </c>
    </row>
    <row r="323" spans="1:23" x14ac:dyDescent="0.2">
      <c r="A323" t="s">
        <v>666</v>
      </c>
      <c r="B323" s="3" t="str">
        <f>HYPERLINK("http://www.ncbi.nlm.nih.gov/gene/110323","Cox6b1")</f>
        <v>Cox6b1</v>
      </c>
      <c r="C323">
        <v>110323</v>
      </c>
      <c r="D323" t="s">
        <v>667</v>
      </c>
      <c r="E323" s="3" t="str">
        <f>HYPERLINK("http://genome.ucsc.edu/cgi-bin/hgTracks?db=mm10&amp;lastVirtModeType=default&amp;lastVirtModeExtraState=&amp;virtModeType=default&amp;virtMode=0&amp;nonVirtPosition=&amp;position=chr7:30616973-30626151","chr7:30616973-30626151")</f>
        <v>chr7:30616973-30626151</v>
      </c>
      <c r="F323" t="s">
        <v>25</v>
      </c>
      <c r="G323">
        <v>-0.88809404178560802</v>
      </c>
      <c r="H323">
        <v>0.158266370960985</v>
      </c>
      <c r="I323">
        <v>-5.6113881704189499</v>
      </c>
      <c r="J323" s="1">
        <v>2.00709976080513E-8</v>
      </c>
      <c r="K323" s="1">
        <v>8.3729199055892302E-7</v>
      </c>
      <c r="L323" t="s">
        <v>26</v>
      </c>
      <c r="M323" t="s">
        <v>27</v>
      </c>
      <c r="N323">
        <v>471.66225853409901</v>
      </c>
      <c r="O323">
        <v>651.10156632265898</v>
      </c>
      <c r="P323">
        <v>337.08277769268</v>
      </c>
      <c r="Q323">
        <v>678.17332103497301</v>
      </c>
      <c r="R323">
        <v>745.23591022167204</v>
      </c>
      <c r="S323">
        <v>529.895467711332</v>
      </c>
      <c r="T323">
        <v>256.64546407255102</v>
      </c>
      <c r="U323">
        <v>379.00244402174002</v>
      </c>
      <c r="V323">
        <v>365.619851070462</v>
      </c>
      <c r="W323">
        <v>347.06335160596598</v>
      </c>
    </row>
    <row r="324" spans="1:23" x14ac:dyDescent="0.2">
      <c r="A324" t="s">
        <v>668</v>
      </c>
      <c r="B324" s="3" t="str">
        <f>HYPERLINK("http://www.ncbi.nlm.nih.gov/gene/55963","Slc1a4")</f>
        <v>Slc1a4</v>
      </c>
      <c r="C324">
        <v>55963</v>
      </c>
      <c r="D324" t="s">
        <v>669</v>
      </c>
      <c r="E324" s="3" t="str">
        <f>HYPERLINK("http://genome.ucsc.edu/cgi-bin/hgTracks?db=mm10&amp;lastVirtModeType=default&amp;lastVirtModeExtraState=&amp;virtModeType=default&amp;virtMode=0&amp;nonVirtPosition=&amp;position=chr11:20302179-20332713","chr11:20302179-20332713")</f>
        <v>chr11:20302179-20332713</v>
      </c>
      <c r="F324" t="s">
        <v>25</v>
      </c>
      <c r="G324">
        <v>-0.78599979614348103</v>
      </c>
      <c r="H324">
        <v>0.140251747640219</v>
      </c>
      <c r="I324">
        <v>-5.6042067879237196</v>
      </c>
      <c r="J324" s="1">
        <v>2.0921081923216102E-8</v>
      </c>
      <c r="K324" s="1">
        <v>8.6917591850017504E-7</v>
      </c>
      <c r="L324" t="s">
        <v>26</v>
      </c>
      <c r="M324" t="s">
        <v>27</v>
      </c>
      <c r="N324">
        <v>337.35562990594298</v>
      </c>
      <c r="O324">
        <v>449.014688057993</v>
      </c>
      <c r="P324">
        <v>253.61133629190601</v>
      </c>
      <c r="Q324">
        <v>441.53648898253999</v>
      </c>
      <c r="R324">
        <v>413.38785859624602</v>
      </c>
      <c r="S324">
        <v>492.11971659519202</v>
      </c>
      <c r="T324">
        <v>215.39887163231899</v>
      </c>
      <c r="U324">
        <v>289.069660694547</v>
      </c>
      <c r="V324">
        <v>227.316969780227</v>
      </c>
      <c r="W324">
        <v>282.659843060529</v>
      </c>
    </row>
    <row r="325" spans="1:23" x14ac:dyDescent="0.2">
      <c r="A325" t="s">
        <v>670</v>
      </c>
      <c r="B325" s="3" t="str">
        <f>HYPERLINK("http://www.ncbi.nlm.nih.gov/gene/58243","Nap1l5")</f>
        <v>Nap1l5</v>
      </c>
      <c r="C325">
        <v>58243</v>
      </c>
      <c r="D325" t="s">
        <v>671</v>
      </c>
      <c r="E325" s="3" t="str">
        <f>HYPERLINK("http://genome.ucsc.edu/cgi-bin/hgTracks?db=mm10&amp;lastVirtModeType=default&amp;lastVirtModeExtraState=&amp;virtModeType=default&amp;virtMode=0&amp;nonVirtPosition=&amp;position=chr6:58905232-58907126","chr6:58905232-58907126")</f>
        <v>chr6:58905232-58907126</v>
      </c>
      <c r="F325" t="s">
        <v>25</v>
      </c>
      <c r="G325">
        <v>-0.86458826249563903</v>
      </c>
      <c r="H325">
        <v>0.15429614697298299</v>
      </c>
      <c r="I325">
        <v>-5.60343391236482</v>
      </c>
      <c r="J325" s="1">
        <v>2.10146263760497E-8</v>
      </c>
      <c r="K325" s="1">
        <v>8.6917591850017504E-7</v>
      </c>
      <c r="L325" t="s">
        <v>26</v>
      </c>
      <c r="M325" t="s">
        <v>27</v>
      </c>
      <c r="N325">
        <v>802.678406743452</v>
      </c>
      <c r="O325">
        <v>1094.0561568743601</v>
      </c>
      <c r="P325">
        <v>584.14509414527504</v>
      </c>
      <c r="Q325">
        <v>1047.3267790367699</v>
      </c>
      <c r="R325">
        <v>1264.0566355057699</v>
      </c>
      <c r="S325">
        <v>970.78505608052603</v>
      </c>
      <c r="T325">
        <v>513.29092814510102</v>
      </c>
      <c r="U325">
        <v>612.39942932326301</v>
      </c>
      <c r="V325">
        <v>502.45142511292897</v>
      </c>
      <c r="W325">
        <v>708.43859399980602</v>
      </c>
    </row>
    <row r="326" spans="1:23" x14ac:dyDescent="0.2">
      <c r="A326" t="s">
        <v>672</v>
      </c>
      <c r="B326" s="3" t="str">
        <f>HYPERLINK("http://www.ncbi.nlm.nih.gov/gene/20667","Sox12")</f>
        <v>Sox12</v>
      </c>
      <c r="C326">
        <v>20667</v>
      </c>
      <c r="D326" t="s">
        <v>673</v>
      </c>
      <c r="E326" s="3" t="str">
        <f>HYPERLINK("http://genome.ucsc.edu/cgi-bin/hgTracks?db=mm10&amp;lastVirtModeType=default&amp;lastVirtModeExtraState=&amp;virtModeType=default&amp;virtMode=0&amp;nonVirtPosition=&amp;position=chr2:152393611-152398046","chr2:152393611-152398046")</f>
        <v>chr2:152393611-152398046</v>
      </c>
      <c r="F326" t="s">
        <v>25</v>
      </c>
      <c r="G326">
        <v>0.87307785477361899</v>
      </c>
      <c r="H326">
        <v>0.15581474425622599</v>
      </c>
      <c r="I326">
        <v>5.6033070486443002</v>
      </c>
      <c r="J326" s="1">
        <v>2.10300199831272E-8</v>
      </c>
      <c r="K326" s="1">
        <v>8.6917591850017504E-7</v>
      </c>
      <c r="L326" t="s">
        <v>26</v>
      </c>
      <c r="M326" t="s">
        <v>27</v>
      </c>
      <c r="N326">
        <v>202.53726975876501</v>
      </c>
      <c r="O326">
        <v>134.94074896046399</v>
      </c>
      <c r="P326">
        <v>253.23466035749101</v>
      </c>
      <c r="Q326">
        <v>126.948700489305</v>
      </c>
      <c r="R326">
        <v>133.497730482457</v>
      </c>
      <c r="S326">
        <v>144.37581590963001</v>
      </c>
      <c r="T326">
        <v>219.98182634790101</v>
      </c>
      <c r="U326">
        <v>323.32976862871601</v>
      </c>
      <c r="V326">
        <v>234.67350601906901</v>
      </c>
      <c r="W326">
        <v>234.95354043427901</v>
      </c>
    </row>
    <row r="327" spans="1:23" x14ac:dyDescent="0.2">
      <c r="A327" t="s">
        <v>674</v>
      </c>
      <c r="B327" s="3" t="str">
        <f>HYPERLINK("http://www.ncbi.nlm.nih.gov/gene/11416","Slc33a1")</f>
        <v>Slc33a1</v>
      </c>
      <c r="C327">
        <v>11416</v>
      </c>
      <c r="D327" t="s">
        <v>675</v>
      </c>
      <c r="E327" s="3" t="str">
        <f>HYPERLINK("http://genome.ucsc.edu/cgi-bin/hgTracks?db=mm10&amp;lastVirtModeType=default&amp;lastVirtModeExtraState=&amp;virtModeType=default&amp;virtMode=0&amp;nonVirtPosition=&amp;position=chr3:63942323-63964733","chr3:63942323-63964733")</f>
        <v>chr3:63942323-63964733</v>
      </c>
      <c r="F327" t="s">
        <v>25</v>
      </c>
      <c r="G327">
        <v>-0.85154038584222802</v>
      </c>
      <c r="H327">
        <v>0.15202874424141499</v>
      </c>
      <c r="I327">
        <v>-5.6011801589969004</v>
      </c>
      <c r="J327" s="1">
        <v>2.1289732201672001E-8</v>
      </c>
      <c r="K327" s="1">
        <v>8.7720247357720003E-7</v>
      </c>
      <c r="L327" t="s">
        <v>26</v>
      </c>
      <c r="M327" t="s">
        <v>27</v>
      </c>
      <c r="N327">
        <v>197.696920394567</v>
      </c>
      <c r="O327">
        <v>270.70615111419397</v>
      </c>
      <c r="P327">
        <v>142.93999735484701</v>
      </c>
      <c r="Q327">
        <v>302.89514502711398</v>
      </c>
      <c r="R327">
        <v>242.72314633174099</v>
      </c>
      <c r="S327">
        <v>266.50016198372703</v>
      </c>
      <c r="T327">
        <v>114.573867889532</v>
      </c>
      <c r="U327">
        <v>160.59425594141501</v>
      </c>
      <c r="V327">
        <v>152.280300144036</v>
      </c>
      <c r="W327">
        <v>144.31156544440501</v>
      </c>
    </row>
    <row r="328" spans="1:23" x14ac:dyDescent="0.2">
      <c r="A328" t="s">
        <v>676</v>
      </c>
      <c r="B328" s="3" t="str">
        <f>HYPERLINK("http://www.ncbi.nlm.nih.gov/gene/16579","Kifap3")</f>
        <v>Kifap3</v>
      </c>
      <c r="C328">
        <v>16579</v>
      </c>
      <c r="D328" t="s">
        <v>677</v>
      </c>
      <c r="E328" s="3" t="str">
        <f>HYPERLINK("http://genome.ucsc.edu/cgi-bin/hgTracks?db=mm10&amp;lastVirtModeType=default&amp;lastVirtModeExtraState=&amp;virtModeType=default&amp;virtMode=0&amp;nonVirtPosition=&amp;position=chr1:163779582-163917107","chr1:163779582-163917107")</f>
        <v>chr1:163779582-163917107</v>
      </c>
      <c r="F328" t="s">
        <v>30</v>
      </c>
      <c r="G328">
        <v>-0.80640244000717598</v>
      </c>
      <c r="H328">
        <v>0.14412775688821999</v>
      </c>
      <c r="I328">
        <v>-5.5950530100360201</v>
      </c>
      <c r="J328" s="1">
        <v>2.2055437096008099E-8</v>
      </c>
      <c r="K328" s="1">
        <v>9.0596428881179504E-7</v>
      </c>
      <c r="L328" t="s">
        <v>26</v>
      </c>
      <c r="M328" t="s">
        <v>27</v>
      </c>
      <c r="N328">
        <v>578.02549727855705</v>
      </c>
      <c r="O328">
        <v>772.98804923609396</v>
      </c>
      <c r="P328">
        <v>431.80358331040401</v>
      </c>
      <c r="Q328">
        <v>942.64978038769198</v>
      </c>
      <c r="R328">
        <v>689.10618263245703</v>
      </c>
      <c r="S328">
        <v>687.208184688134</v>
      </c>
      <c r="T328">
        <v>417.04887911789501</v>
      </c>
      <c r="U328">
        <v>421.82757893945001</v>
      </c>
      <c r="V328">
        <v>430.35736997227502</v>
      </c>
      <c r="W328">
        <v>457.98050521199599</v>
      </c>
    </row>
    <row r="329" spans="1:23" x14ac:dyDescent="0.2">
      <c r="A329" t="s">
        <v>678</v>
      </c>
      <c r="B329" s="3" t="str">
        <f>HYPERLINK("http://www.ncbi.nlm.nih.gov/gene/233904","Setd1a")</f>
        <v>Setd1a</v>
      </c>
      <c r="C329">
        <v>233904</v>
      </c>
      <c r="D329" t="s">
        <v>679</v>
      </c>
      <c r="E329" s="3" t="str">
        <f>HYPERLINK("http://genome.ucsc.edu/cgi-bin/hgTracks?db=mm10&amp;lastVirtModeType=default&amp;lastVirtModeExtraState=&amp;virtModeType=default&amp;virtMode=0&amp;nonVirtPosition=&amp;position=chr7:127777388-127800119","chr7:127777388-127800119")</f>
        <v>chr7:127777388-127800119</v>
      </c>
      <c r="F329" t="s">
        <v>30</v>
      </c>
      <c r="G329">
        <v>0.997218929858528</v>
      </c>
      <c r="H329">
        <v>0.17826865452551</v>
      </c>
      <c r="I329">
        <v>5.5939106766289504</v>
      </c>
      <c r="J329" s="1">
        <v>2.2201120471065499E-8</v>
      </c>
      <c r="K329" s="1">
        <v>9.0769114286483404E-7</v>
      </c>
      <c r="L329" t="s">
        <v>26</v>
      </c>
      <c r="M329" t="s">
        <v>27</v>
      </c>
      <c r="N329">
        <v>305.90364578200303</v>
      </c>
      <c r="O329">
        <v>189.958608582529</v>
      </c>
      <c r="P329">
        <v>392.86242368160703</v>
      </c>
      <c r="Q329">
        <v>162.02663088766599</v>
      </c>
      <c r="R329">
        <v>157.39079019948801</v>
      </c>
      <c r="S329">
        <v>250.45840466043401</v>
      </c>
      <c r="T329">
        <v>357.47046781533902</v>
      </c>
      <c r="U329">
        <v>453.94643012773298</v>
      </c>
      <c r="V329">
        <v>370.033772813768</v>
      </c>
      <c r="W329">
        <v>389.99902396958998</v>
      </c>
    </row>
    <row r="330" spans="1:23" x14ac:dyDescent="0.2">
      <c r="A330" t="s">
        <v>680</v>
      </c>
      <c r="B330" s="3" t="str">
        <f>HYPERLINK("http://www.ncbi.nlm.nih.gov/gene/77569","Limch1")</f>
        <v>Limch1</v>
      </c>
      <c r="C330">
        <v>77569</v>
      </c>
      <c r="D330" t="s">
        <v>681</v>
      </c>
      <c r="E330" s="3" t="str">
        <f>HYPERLINK("http://genome.ucsc.edu/cgi-bin/hgTracks?db=mm10&amp;lastVirtModeType=default&amp;lastVirtModeExtraState=&amp;virtModeType=default&amp;virtMode=0&amp;nonVirtPosition=&amp;position=chr5:66968415-67057159","chr5:66968415-67057159")</f>
        <v>chr5:66968415-67057159</v>
      </c>
      <c r="F330" t="s">
        <v>30</v>
      </c>
      <c r="G330">
        <v>-0.84827281841125501</v>
      </c>
      <c r="H330">
        <v>0.15164894129940801</v>
      </c>
      <c r="I330">
        <v>-5.5936613282150702</v>
      </c>
      <c r="J330" s="1">
        <v>2.2233044198317199E-8</v>
      </c>
      <c r="K330" s="1">
        <v>9.0769114286483404E-7</v>
      </c>
      <c r="L330" t="s">
        <v>26</v>
      </c>
      <c r="M330" t="s">
        <v>27</v>
      </c>
      <c r="N330">
        <v>626.93460017697305</v>
      </c>
      <c r="O330">
        <v>850.87993976765301</v>
      </c>
      <c r="P330">
        <v>458.97559548396299</v>
      </c>
      <c r="Q330">
        <v>918.70770090944598</v>
      </c>
      <c r="R330">
        <v>831.32677618621096</v>
      </c>
      <c r="S330">
        <v>802.60534220730096</v>
      </c>
      <c r="T330">
        <v>453.71251684254503</v>
      </c>
      <c r="U330">
        <v>417.54506544767901</v>
      </c>
      <c r="V330">
        <v>578.22374837300504</v>
      </c>
      <c r="W330">
        <v>386.42105127262198</v>
      </c>
    </row>
    <row r="331" spans="1:23" x14ac:dyDescent="0.2">
      <c r="A331" t="s">
        <v>682</v>
      </c>
      <c r="B331" s="3" t="str">
        <f>HYPERLINK("http://www.ncbi.nlm.nih.gov/gene/58193","Extl2")</f>
        <v>Extl2</v>
      </c>
      <c r="C331">
        <v>58193</v>
      </c>
      <c r="D331" t="s">
        <v>683</v>
      </c>
      <c r="E331" s="3" t="str">
        <f>HYPERLINK("http://genome.ucsc.edu/cgi-bin/hgTracks?db=mm10&amp;lastVirtModeType=default&amp;lastVirtModeExtraState=&amp;virtModeType=default&amp;virtMode=0&amp;nonVirtPosition=&amp;position=chr3:116007448-116029016","chr3:116007448-116029016")</f>
        <v>chr3:116007448-116029016</v>
      </c>
      <c r="F331" t="s">
        <v>30</v>
      </c>
      <c r="G331">
        <v>-0.84155030866052705</v>
      </c>
      <c r="H331">
        <v>0.15075791803288999</v>
      </c>
      <c r="I331">
        <v>-5.58213007741944</v>
      </c>
      <c r="J331" s="1">
        <v>2.37590569246168E-8</v>
      </c>
      <c r="K331" s="1">
        <v>9.670441680168489E-7</v>
      </c>
      <c r="L331" t="s">
        <v>26</v>
      </c>
      <c r="M331" t="s">
        <v>27</v>
      </c>
      <c r="N331">
        <v>312.38505134751898</v>
      </c>
      <c r="O331">
        <v>425.53750744413401</v>
      </c>
      <c r="P331">
        <v>227.52070927505699</v>
      </c>
      <c r="Q331">
        <v>498.88612122113</v>
      </c>
      <c r="R331">
        <v>411.87083893167198</v>
      </c>
      <c r="S331">
        <v>365.85556217960101</v>
      </c>
      <c r="T331">
        <v>192.48409805441301</v>
      </c>
      <c r="U331">
        <v>224.83195831798099</v>
      </c>
      <c r="V331">
        <v>243.50134950568</v>
      </c>
      <c r="W331">
        <v>249.26543122215401</v>
      </c>
    </row>
    <row r="332" spans="1:23" x14ac:dyDescent="0.2">
      <c r="A332" t="s">
        <v>684</v>
      </c>
      <c r="B332" s="3" t="str">
        <f>HYPERLINK("http://www.ncbi.nlm.nih.gov/gene/60322","Chst7")</f>
        <v>Chst7</v>
      </c>
      <c r="C332">
        <v>60322</v>
      </c>
      <c r="D332" t="s">
        <v>685</v>
      </c>
      <c r="E332" s="3" t="str">
        <f>HYPERLINK("http://genome.ucsc.edu/cgi-bin/hgTracks?db=mm10&amp;lastVirtModeType=default&amp;lastVirtModeExtraState=&amp;virtModeType=default&amp;virtMode=0&amp;nonVirtPosition=&amp;position=chrX:20059569-20097520","chrX:20059569-20097520")</f>
        <v>chrX:20059569-20097520</v>
      </c>
      <c r="F332" t="s">
        <v>30</v>
      </c>
      <c r="G332">
        <v>-1.5274846196076599</v>
      </c>
      <c r="H332">
        <v>0.27374624205438702</v>
      </c>
      <c r="I332">
        <v>-5.57992909106013</v>
      </c>
      <c r="J332" s="1">
        <v>2.4061665628475401E-8</v>
      </c>
      <c r="K332" s="1">
        <v>9.7575596000374109E-7</v>
      </c>
      <c r="L332" t="s">
        <v>26</v>
      </c>
      <c r="M332" t="s">
        <v>27</v>
      </c>
      <c r="N332">
        <v>58.168764843397298</v>
      </c>
      <c r="O332">
        <v>98.539550433430605</v>
      </c>
      <c r="P332">
        <v>27.890675650872399</v>
      </c>
      <c r="Q332">
        <v>113.58567938516801</v>
      </c>
      <c r="R332">
        <v>82.677571719249102</v>
      </c>
      <c r="S332">
        <v>99.355400195874793</v>
      </c>
      <c r="T332">
        <v>9.1659094311625307</v>
      </c>
      <c r="U332">
        <v>53.531418647138402</v>
      </c>
      <c r="V332">
        <v>25.012223212063802</v>
      </c>
      <c r="W332">
        <v>23.853151313124801</v>
      </c>
    </row>
    <row r="333" spans="1:23" x14ac:dyDescent="0.2">
      <c r="A333" t="s">
        <v>686</v>
      </c>
      <c r="B333" s="3" t="str">
        <f>HYPERLINK("http://www.ncbi.nlm.nih.gov/gene/109552","Sri")</f>
        <v>Sri</v>
      </c>
      <c r="C333">
        <v>109552</v>
      </c>
      <c r="D333" t="s">
        <v>687</v>
      </c>
      <c r="E333" s="3" t="str">
        <f>HYPERLINK("http://genome.ucsc.edu/cgi-bin/hgTracks?db=mm10&amp;lastVirtModeType=default&amp;lastVirtModeExtraState=&amp;virtModeType=default&amp;virtMode=0&amp;nonVirtPosition=&amp;position=chr5:8056541-8069314","chr5:8056541-8069314")</f>
        <v>chr5:8056541-8069314</v>
      </c>
      <c r="F333" t="s">
        <v>30</v>
      </c>
      <c r="G333">
        <v>-0.76754525569627396</v>
      </c>
      <c r="H333">
        <v>0.137564836775696</v>
      </c>
      <c r="I333">
        <v>-5.5795163479732901</v>
      </c>
      <c r="J333" s="1">
        <v>2.4118827776957501E-8</v>
      </c>
      <c r="K333" s="1">
        <v>9.7575596000374109E-7</v>
      </c>
      <c r="L333" t="s">
        <v>26</v>
      </c>
      <c r="M333" t="s">
        <v>27</v>
      </c>
      <c r="N333">
        <v>338.89619080185298</v>
      </c>
      <c r="O333">
        <v>445.77707015014198</v>
      </c>
      <c r="P333">
        <v>258.73553129063498</v>
      </c>
      <c r="Q333">
        <v>467.14894609880298</v>
      </c>
      <c r="R333">
        <v>469.13833126931701</v>
      </c>
      <c r="S333">
        <v>401.04393308230698</v>
      </c>
      <c r="T333">
        <v>270.39432821929501</v>
      </c>
      <c r="U333">
        <v>267.657093235692</v>
      </c>
      <c r="V333">
        <v>281.019684323776</v>
      </c>
      <c r="W333">
        <v>215.87101938377899</v>
      </c>
    </row>
    <row r="334" spans="1:23" x14ac:dyDescent="0.2">
      <c r="A334" t="s">
        <v>688</v>
      </c>
      <c r="B334" s="3" t="str">
        <f>HYPERLINK("http://www.ncbi.nlm.nih.gov/gene/67210","Gatad1")</f>
        <v>Gatad1</v>
      </c>
      <c r="C334">
        <v>67210</v>
      </c>
      <c r="D334" t="s">
        <v>689</v>
      </c>
      <c r="E334" s="3" t="str">
        <f>HYPERLINK("http://genome.ucsc.edu/cgi-bin/hgTracks?db=mm10&amp;lastVirtModeType=default&amp;lastVirtModeExtraState=&amp;virtModeType=default&amp;virtMode=0&amp;nonVirtPosition=&amp;position=chr5:3639960-3647936","chr5:3639960-3647936")</f>
        <v>chr5:3639960-3647936</v>
      </c>
      <c r="F334" t="s">
        <v>25</v>
      </c>
      <c r="G334">
        <v>-0.86752207360104805</v>
      </c>
      <c r="H334">
        <v>0.155553985086965</v>
      </c>
      <c r="I334">
        <v>-5.57698392050865</v>
      </c>
      <c r="J334" s="1">
        <v>2.4472448016217799E-8</v>
      </c>
      <c r="K334" s="1">
        <v>9.8707997405172495E-7</v>
      </c>
      <c r="L334" t="s">
        <v>26</v>
      </c>
      <c r="M334" t="s">
        <v>27</v>
      </c>
      <c r="N334">
        <v>243.26632488239801</v>
      </c>
      <c r="O334">
        <v>328.345302437778</v>
      </c>
      <c r="P334">
        <v>179.45709171586299</v>
      </c>
      <c r="Q334">
        <v>325.72363941334902</v>
      </c>
      <c r="R334">
        <v>380.392680891775</v>
      </c>
      <c r="S334">
        <v>278.91958700821101</v>
      </c>
      <c r="T334">
        <v>210.81591691673799</v>
      </c>
      <c r="U334">
        <v>164.87676943318601</v>
      </c>
      <c r="V334">
        <v>169.20033349337299</v>
      </c>
      <c r="W334">
        <v>172.93534702015501</v>
      </c>
    </row>
    <row r="335" spans="1:23" x14ac:dyDescent="0.2">
      <c r="A335" t="s">
        <v>690</v>
      </c>
      <c r="B335" s="3" t="str">
        <f>HYPERLINK("http://www.ncbi.nlm.nih.gov/gene/192119","Dicer1")</f>
        <v>Dicer1</v>
      </c>
      <c r="C335">
        <v>192119</v>
      </c>
      <c r="D335" t="s">
        <v>691</v>
      </c>
      <c r="E335" s="3" t="str">
        <f>HYPERLINK("http://genome.ucsc.edu/cgi-bin/hgTracks?db=mm10&amp;lastVirtModeType=default&amp;lastVirtModeExtraState=&amp;virtModeType=default&amp;virtMode=0&amp;nonVirtPosition=&amp;position=chr12:104687741-104751952","chr12:104687741-104751952")</f>
        <v>chr12:104687741-104751952</v>
      </c>
      <c r="F335" t="s">
        <v>25</v>
      </c>
      <c r="G335">
        <v>0.62379378707731203</v>
      </c>
      <c r="H335">
        <v>0.111907791011065</v>
      </c>
      <c r="I335">
        <v>5.5741765737796802</v>
      </c>
      <c r="J335" s="1">
        <v>2.48703384323097E-8</v>
      </c>
      <c r="K335" s="1">
        <v>1.0001162220632401E-6</v>
      </c>
      <c r="L335" t="s">
        <v>26</v>
      </c>
      <c r="M335" t="s">
        <v>27</v>
      </c>
      <c r="N335">
        <v>685.14103516683394</v>
      </c>
      <c r="O335">
        <v>522.26031059559602</v>
      </c>
      <c r="P335">
        <v>807.30157859526298</v>
      </c>
      <c r="Q335">
        <v>481.625552294952</v>
      </c>
      <c r="R335">
        <v>504.029783554505</v>
      </c>
      <c r="S335">
        <v>581.12559593732999</v>
      </c>
      <c r="T335">
        <v>751.60457335532703</v>
      </c>
      <c r="U335">
        <v>822.24259042004599</v>
      </c>
      <c r="V335">
        <v>846.73732109074899</v>
      </c>
      <c r="W335">
        <v>808.62182951493105</v>
      </c>
    </row>
    <row r="336" spans="1:23" x14ac:dyDescent="0.2">
      <c r="A336" t="s">
        <v>692</v>
      </c>
      <c r="B336" s="3" t="str">
        <f>HYPERLINK("http://www.ncbi.nlm.nih.gov/gene/277973","Slc9a5")</f>
        <v>Slc9a5</v>
      </c>
      <c r="C336">
        <v>277973</v>
      </c>
      <c r="D336" t="s">
        <v>693</v>
      </c>
      <c r="E336" s="3" t="str">
        <f>HYPERLINK("http://genome.ucsc.edu/cgi-bin/hgTracks?db=mm10&amp;lastVirtModeType=default&amp;lastVirtModeExtraState=&amp;virtModeType=default&amp;virtMode=0&amp;nonVirtPosition=&amp;position=chr8:105348257-105369881","chr8:105348257-105369881")</f>
        <v>chr8:105348257-105369881</v>
      </c>
      <c r="F336" t="s">
        <v>30</v>
      </c>
      <c r="G336">
        <v>1.29422263464845</v>
      </c>
      <c r="H336">
        <v>0.23233914717488599</v>
      </c>
      <c r="I336">
        <v>5.5704027943007901</v>
      </c>
      <c r="J336" s="1">
        <v>2.5415108149468699E-8</v>
      </c>
      <c r="K336" s="1">
        <v>1.01896321326208E-6</v>
      </c>
      <c r="L336" t="s">
        <v>26</v>
      </c>
      <c r="M336" t="s">
        <v>27</v>
      </c>
      <c r="N336">
        <v>107.669011215035</v>
      </c>
      <c r="O336">
        <v>53.362880789951198</v>
      </c>
      <c r="P336">
        <v>148.39860903384701</v>
      </c>
      <c r="Q336">
        <v>34.521137852354897</v>
      </c>
      <c r="R336">
        <v>68.645139821945406</v>
      </c>
      <c r="S336">
        <v>56.922364695553199</v>
      </c>
      <c r="T336">
        <v>187.90114333883199</v>
      </c>
      <c r="U336">
        <v>145.60545872021601</v>
      </c>
      <c r="V336">
        <v>116.96892619759301</v>
      </c>
      <c r="W336">
        <v>143.11890787874901</v>
      </c>
    </row>
    <row r="337" spans="1:23" x14ac:dyDescent="0.2">
      <c r="A337" t="s">
        <v>694</v>
      </c>
      <c r="B337" s="3" t="str">
        <f>HYPERLINK("http://www.ncbi.nlm.nih.gov/gene/236792","Mmgt1")</f>
        <v>Mmgt1</v>
      </c>
      <c r="C337">
        <v>236792</v>
      </c>
      <c r="D337" t="s">
        <v>695</v>
      </c>
      <c r="E337" s="3" t="str">
        <f>HYPERLINK("http://genome.ucsc.edu/cgi-bin/hgTracks?db=mm10&amp;lastVirtModeType=default&amp;lastVirtModeExtraState=&amp;virtModeType=default&amp;virtMode=0&amp;nonVirtPosition=&amp;position=chrX:56585511-56597919","chrX:56585511-56597919")</f>
        <v>chrX:56585511-56597919</v>
      </c>
      <c r="F337" t="s">
        <v>25</v>
      </c>
      <c r="G337">
        <v>-0.668159894336527</v>
      </c>
      <c r="H337">
        <v>0.12010286568490899</v>
      </c>
      <c r="I337">
        <v>-5.5632302403962104</v>
      </c>
      <c r="J337" s="1">
        <v>2.6482611072157699E-8</v>
      </c>
      <c r="K337" s="1">
        <v>1.05859296975303E-6</v>
      </c>
      <c r="L337" t="s">
        <v>26</v>
      </c>
      <c r="M337" t="s">
        <v>27</v>
      </c>
      <c r="N337">
        <v>478.18711847979603</v>
      </c>
      <c r="O337">
        <v>613.53396279555</v>
      </c>
      <c r="P337">
        <v>376.676985242981</v>
      </c>
      <c r="Q337">
        <v>594.097646588109</v>
      </c>
      <c r="R337">
        <v>619.32327806208195</v>
      </c>
      <c r="S337">
        <v>627.18096373645903</v>
      </c>
      <c r="T337">
        <v>357.47046781533902</v>
      </c>
      <c r="U337">
        <v>344.742336087571</v>
      </c>
      <c r="V337">
        <v>434.77129171557999</v>
      </c>
      <c r="W337">
        <v>369.723845353434</v>
      </c>
    </row>
    <row r="338" spans="1:23" x14ac:dyDescent="0.2">
      <c r="A338" t="s">
        <v>696</v>
      </c>
      <c r="B338" s="3" t="str">
        <f>HYPERLINK("http://www.ncbi.nlm.nih.gov/gene/70393","2210416O15Rik")</f>
        <v>2210416O15Rik</v>
      </c>
      <c r="C338">
        <v>70393</v>
      </c>
      <c r="D338" t="s">
        <v>697</v>
      </c>
      <c r="E338" s="3" t="str">
        <f>HYPERLINK("http://genome.ucsc.edu/cgi-bin/hgTracks?db=mm10&amp;lastVirtModeType=default&amp;lastVirtModeExtraState=&amp;virtModeType=default&amp;virtMode=0&amp;nonVirtPosition=&amp;position=chr11:88098057-88100107","chr11:88098057-88100107")</f>
        <v>chr11:88098057-88100107</v>
      </c>
      <c r="F338" t="s">
        <v>30</v>
      </c>
      <c r="G338">
        <v>0.748037799309476</v>
      </c>
      <c r="H338">
        <v>0.13478351588651</v>
      </c>
      <c r="I338">
        <v>5.5499205106011296</v>
      </c>
      <c r="J338" s="1">
        <v>2.8579951523814601E-8</v>
      </c>
      <c r="K338" s="1">
        <v>1.13903015135536E-6</v>
      </c>
      <c r="L338" t="s">
        <v>26</v>
      </c>
      <c r="M338" t="s">
        <v>27</v>
      </c>
      <c r="N338">
        <v>370.48424574685498</v>
      </c>
      <c r="O338">
        <v>260.65363524864</v>
      </c>
      <c r="P338">
        <v>452.85720362051597</v>
      </c>
      <c r="Q338">
        <v>232.182491684387</v>
      </c>
      <c r="R338">
        <v>267.75397079720102</v>
      </c>
      <c r="S338">
        <v>282.02444326433198</v>
      </c>
      <c r="T338">
        <v>522.45683757626398</v>
      </c>
      <c r="U338">
        <v>475.358997586589</v>
      </c>
      <c r="V338">
        <v>410.4947221274</v>
      </c>
      <c r="W338">
        <v>403.11825719180899</v>
      </c>
    </row>
    <row r="339" spans="1:23" x14ac:dyDescent="0.2">
      <c r="A339" t="s">
        <v>696</v>
      </c>
      <c r="B339" s="3" t="str">
        <f>HYPERLINK("http://www.ncbi.nlm.nih.gov/gene/103841","Cuedc1")</f>
        <v>Cuedc1</v>
      </c>
      <c r="C339">
        <v>103841</v>
      </c>
      <c r="D339" t="s">
        <v>698</v>
      </c>
      <c r="E339" s="3" t="str">
        <f>HYPERLINK("http://genome.ucsc.edu/cgi-bin/hgTracks?db=mm10&amp;lastVirtModeType=default&amp;lastVirtModeExtraState=&amp;virtModeType=default&amp;virtMode=0&amp;nonVirtPosition=&amp;position=chr11:88099145-88194140","chr11:88099145-88194140")</f>
        <v>chr11:88099145-88194140</v>
      </c>
      <c r="F339" t="s">
        <v>30</v>
      </c>
      <c r="G339">
        <v>0.748037799309476</v>
      </c>
      <c r="H339">
        <v>0.13478351588651</v>
      </c>
      <c r="I339">
        <v>5.5499205106011296</v>
      </c>
      <c r="J339" s="1">
        <v>2.8579951523814601E-8</v>
      </c>
      <c r="K339" s="1">
        <v>1.13903015135536E-6</v>
      </c>
      <c r="L339" t="s">
        <v>26</v>
      </c>
      <c r="M339" t="s">
        <v>27</v>
      </c>
      <c r="N339">
        <v>370.48424574685498</v>
      </c>
      <c r="O339">
        <v>260.65363524864</v>
      </c>
      <c r="P339">
        <v>452.85720362051597</v>
      </c>
      <c r="Q339">
        <v>232.182491684387</v>
      </c>
      <c r="R339">
        <v>267.75397079720102</v>
      </c>
      <c r="S339">
        <v>282.02444326433198</v>
      </c>
      <c r="T339">
        <v>522.45683757626398</v>
      </c>
      <c r="U339">
        <v>475.358997586589</v>
      </c>
      <c r="V339">
        <v>410.4947221274</v>
      </c>
      <c r="W339">
        <v>403.11825719180899</v>
      </c>
    </row>
    <row r="340" spans="1:23" x14ac:dyDescent="0.2">
      <c r="A340" t="s">
        <v>699</v>
      </c>
      <c r="B340" s="3" t="str">
        <f>HYPERLINK("http://www.ncbi.nlm.nih.gov/gene/66921","Prpf38b")</f>
        <v>Prpf38b</v>
      </c>
      <c r="C340">
        <v>66921</v>
      </c>
      <c r="D340" t="s">
        <v>700</v>
      </c>
      <c r="E340" s="3" t="str">
        <f>HYPERLINK("http://genome.ucsc.edu/cgi-bin/hgTracks?db=mm10&amp;lastVirtModeType=default&amp;lastVirtModeExtraState=&amp;virtModeType=default&amp;virtMode=0&amp;nonVirtPosition=&amp;position=chr3:108902806-108911704","chr3:108902806-108911704")</f>
        <v>chr3:108902806-108911704</v>
      </c>
      <c r="F340" t="s">
        <v>25</v>
      </c>
      <c r="G340">
        <v>0.65192705599744705</v>
      </c>
      <c r="H340">
        <v>0.11761525110592699</v>
      </c>
      <c r="I340">
        <v>5.54287857966911</v>
      </c>
      <c r="J340" s="1">
        <v>2.97539191616703E-8</v>
      </c>
      <c r="K340" s="1">
        <v>1.18229890651017E-6</v>
      </c>
      <c r="L340" t="s">
        <v>26</v>
      </c>
      <c r="M340" t="s">
        <v>27</v>
      </c>
      <c r="N340">
        <v>323.50003479533802</v>
      </c>
      <c r="O340">
        <v>240.19821178588199</v>
      </c>
      <c r="P340">
        <v>385.97640205242999</v>
      </c>
      <c r="Q340">
        <v>246.659097880536</v>
      </c>
      <c r="R340">
        <v>235.89655784115999</v>
      </c>
      <c r="S340">
        <v>238.03897963595</v>
      </c>
      <c r="T340">
        <v>412.46592440231399</v>
      </c>
      <c r="U340">
        <v>411.12129521002299</v>
      </c>
      <c r="V340">
        <v>374.44769455707302</v>
      </c>
      <c r="W340">
        <v>345.87069404031001</v>
      </c>
    </row>
    <row r="341" spans="1:23" x14ac:dyDescent="0.2">
      <c r="A341" t="s">
        <v>701</v>
      </c>
      <c r="B341" s="3" t="str">
        <f>HYPERLINK("http://www.ncbi.nlm.nih.gov/gene/18129","Notch2")</f>
        <v>Notch2</v>
      </c>
      <c r="C341">
        <v>18129</v>
      </c>
      <c r="D341" t="s">
        <v>702</v>
      </c>
      <c r="E341" s="3" t="str">
        <f>HYPERLINK("http://genome.ucsc.edu/cgi-bin/hgTracks?db=mm10&amp;lastVirtModeType=default&amp;lastVirtModeExtraState=&amp;virtModeType=default&amp;virtMode=0&amp;nonVirtPosition=&amp;position=chr3:98013537-98150367","chr3:98013537-98150367")</f>
        <v>chr3:98013537-98150367</v>
      </c>
      <c r="F341" t="s">
        <v>30</v>
      </c>
      <c r="G341">
        <v>0.90969614281015099</v>
      </c>
      <c r="H341">
        <v>0.164254870109074</v>
      </c>
      <c r="I341">
        <v>5.5383206732687098</v>
      </c>
      <c r="J341" s="1">
        <v>3.0538572078658102E-8</v>
      </c>
      <c r="K341" s="1">
        <v>1.2098876293056499E-6</v>
      </c>
      <c r="L341" t="s">
        <v>26</v>
      </c>
      <c r="M341" t="s">
        <v>27</v>
      </c>
      <c r="N341">
        <v>229.92619350906401</v>
      </c>
      <c r="O341">
        <v>152.250010159341</v>
      </c>
      <c r="P341">
        <v>288.18333102135603</v>
      </c>
      <c r="Q341">
        <v>155.90191288160301</v>
      </c>
      <c r="R341">
        <v>135.773259979317</v>
      </c>
      <c r="S341">
        <v>165.07485761710399</v>
      </c>
      <c r="T341">
        <v>256.64546407255102</v>
      </c>
      <c r="U341">
        <v>231.255728555638</v>
      </c>
      <c r="V341">
        <v>342.81458873005101</v>
      </c>
      <c r="W341">
        <v>322.017542727185</v>
      </c>
    </row>
    <row r="342" spans="1:23" x14ac:dyDescent="0.2">
      <c r="A342" t="s">
        <v>703</v>
      </c>
      <c r="B342" s="3" t="str">
        <f>HYPERLINK("http://www.ncbi.nlm.nih.gov/gene/72701","Zfp618")</f>
        <v>Zfp618</v>
      </c>
      <c r="C342">
        <v>72701</v>
      </c>
      <c r="D342" t="s">
        <v>704</v>
      </c>
      <c r="E342" s="3" t="str">
        <f>HYPERLINK("http://genome.ucsc.edu/cgi-bin/hgTracks?db=mm10&amp;lastVirtModeType=default&amp;lastVirtModeExtraState=&amp;virtModeType=default&amp;virtMode=0&amp;nonVirtPosition=&amp;position=chr4:62965573-63134030","chr4:62965573-63134030")</f>
        <v>chr4:62965573-63134030</v>
      </c>
      <c r="F342" t="s">
        <v>30</v>
      </c>
      <c r="G342">
        <v>0.87318838861352099</v>
      </c>
      <c r="H342">
        <v>0.15780089844700901</v>
      </c>
      <c r="I342">
        <v>5.5334817305032198</v>
      </c>
      <c r="J342" s="1">
        <v>3.1393569633922702E-8</v>
      </c>
      <c r="K342" s="1">
        <v>1.23708200355092E-6</v>
      </c>
      <c r="L342" t="s">
        <v>26</v>
      </c>
      <c r="M342" t="s">
        <v>27</v>
      </c>
      <c r="N342">
        <v>184.19292172877601</v>
      </c>
      <c r="O342">
        <v>121.239299068942</v>
      </c>
      <c r="P342">
        <v>231.408138723652</v>
      </c>
      <c r="Q342">
        <v>139.19813650143101</v>
      </c>
      <c r="R342">
        <v>108.08765110085299</v>
      </c>
      <c r="S342">
        <v>116.432109604541</v>
      </c>
      <c r="T342">
        <v>279.560237650457</v>
      </c>
      <c r="U342">
        <v>203.419390859126</v>
      </c>
      <c r="V342">
        <v>233.93785239518499</v>
      </c>
      <c r="W342">
        <v>208.71507398984201</v>
      </c>
    </row>
    <row r="343" spans="1:23" x14ac:dyDescent="0.2">
      <c r="A343" t="s">
        <v>705</v>
      </c>
      <c r="B343" s="3" t="str">
        <f>HYPERLINK("http://www.ncbi.nlm.nih.gov/gene/13427","Dync1i2")</f>
        <v>Dync1i2</v>
      </c>
      <c r="C343">
        <v>13427</v>
      </c>
      <c r="D343" t="s">
        <v>706</v>
      </c>
      <c r="E343" s="3" t="str">
        <f>HYPERLINK("http://genome.ucsc.edu/cgi-bin/hgTracks?db=mm10&amp;lastVirtModeType=default&amp;lastVirtModeExtraState=&amp;virtModeType=default&amp;virtMode=0&amp;nonVirtPosition=&amp;position=chr2:71211945-71263302","chr2:71211945-71263302")</f>
        <v>chr2:71211945-71263302</v>
      </c>
      <c r="F343" t="s">
        <v>30</v>
      </c>
      <c r="G343">
        <v>-0.67044771052808805</v>
      </c>
      <c r="H343">
        <v>0.12116397678608801</v>
      </c>
      <c r="I343">
        <v>-5.5333914279798497</v>
      </c>
      <c r="J343" s="1">
        <v>3.1409743947973402E-8</v>
      </c>
      <c r="K343" s="1">
        <v>1.23708200355092E-6</v>
      </c>
      <c r="L343" t="s">
        <v>26</v>
      </c>
      <c r="M343" t="s">
        <v>27</v>
      </c>
      <c r="N343">
        <v>646.77798972090898</v>
      </c>
      <c r="O343">
        <v>831.20735271273895</v>
      </c>
      <c r="P343">
        <v>508.45596747703797</v>
      </c>
      <c r="Q343">
        <v>850.22221775074195</v>
      </c>
      <c r="R343">
        <v>863.56344405839604</v>
      </c>
      <c r="S343">
        <v>779.83639632907898</v>
      </c>
      <c r="T343">
        <v>449.129562126964</v>
      </c>
      <c r="U343">
        <v>475.358997586589</v>
      </c>
      <c r="V343">
        <v>583.37332374019502</v>
      </c>
      <c r="W343">
        <v>525.96198645440199</v>
      </c>
    </row>
    <row r="344" spans="1:23" x14ac:dyDescent="0.2">
      <c r="A344" t="s">
        <v>707</v>
      </c>
      <c r="B344" s="3" t="str">
        <f>HYPERLINK("http://www.ncbi.nlm.nih.gov/gene/73467","1700066M21Rik")</f>
        <v>1700066M21Rik</v>
      </c>
      <c r="C344">
        <v>73467</v>
      </c>
      <c r="D344" t="s">
        <v>708</v>
      </c>
      <c r="E344" s="3" t="str">
        <f>HYPERLINK("http://genome.ucsc.edu/cgi-bin/hgTracks?db=mm10&amp;lastVirtModeType=default&amp;lastVirtModeExtraState=&amp;virtModeType=default&amp;virtMode=0&amp;nonVirtPosition=&amp;position=chr1:57377619-57385422","chr1:57377619-57385422")</f>
        <v>chr1:57377619-57385422</v>
      </c>
      <c r="F344" t="s">
        <v>30</v>
      </c>
      <c r="G344">
        <v>-1.05697234967372</v>
      </c>
      <c r="H344">
        <v>0.19115369538383201</v>
      </c>
      <c r="I344">
        <v>-5.5294371764634098</v>
      </c>
      <c r="J344" s="1">
        <v>3.2125982302135501E-8</v>
      </c>
      <c r="K344" s="1">
        <v>1.26158073022844E-6</v>
      </c>
      <c r="L344" t="s">
        <v>26</v>
      </c>
      <c r="M344" t="s">
        <v>27</v>
      </c>
      <c r="N344">
        <v>153.31136758886399</v>
      </c>
      <c r="O344">
        <v>222.36801450421299</v>
      </c>
      <c r="P344">
        <v>101.51888240235201</v>
      </c>
      <c r="Q344">
        <v>278.95306554886798</v>
      </c>
      <c r="R344">
        <v>214.27902762099001</v>
      </c>
      <c r="S344">
        <v>173.87195034278099</v>
      </c>
      <c r="T344">
        <v>100.825003742788</v>
      </c>
      <c r="U344">
        <v>98.497810310734593</v>
      </c>
      <c r="V344">
        <v>102.99150734379199</v>
      </c>
      <c r="W344">
        <v>103.761208212093</v>
      </c>
    </row>
    <row r="345" spans="1:23" x14ac:dyDescent="0.2">
      <c r="A345" t="s">
        <v>709</v>
      </c>
      <c r="B345" s="3" t="str">
        <f>HYPERLINK("http://www.ncbi.nlm.nih.gov/gene/208266","Dot1l")</f>
        <v>Dot1l</v>
      </c>
      <c r="C345">
        <v>208266</v>
      </c>
      <c r="D345" t="s">
        <v>710</v>
      </c>
      <c r="E345" s="3" t="str">
        <f>HYPERLINK("http://genome.ucsc.edu/cgi-bin/hgTracks?db=mm10&amp;lastVirtModeType=default&amp;lastVirtModeExtraState=&amp;virtModeType=default&amp;virtMode=0&amp;nonVirtPosition=&amp;position=chr10:80755205-80794347","chr10:80755205-80794347")</f>
        <v>chr10:80755205-80794347</v>
      </c>
      <c r="F345" t="s">
        <v>30</v>
      </c>
      <c r="G345">
        <v>1.2588934045567299</v>
      </c>
      <c r="H345">
        <v>0.22781601916168001</v>
      </c>
      <c r="I345">
        <v>5.5259213517522499</v>
      </c>
      <c r="J345" s="1">
        <v>3.2776094400466701E-8</v>
      </c>
      <c r="K345" s="1">
        <v>1.28334701788494E-6</v>
      </c>
      <c r="L345" t="s">
        <v>26</v>
      </c>
      <c r="M345" t="s">
        <v>27</v>
      </c>
      <c r="N345">
        <v>639.94490182134598</v>
      </c>
      <c r="O345">
        <v>333.72185170571402</v>
      </c>
      <c r="P345">
        <v>869.61218940806998</v>
      </c>
      <c r="Q345">
        <v>246.10230533453</v>
      </c>
      <c r="R345">
        <v>235.51730292501699</v>
      </c>
      <c r="S345">
        <v>519.54594685759503</v>
      </c>
      <c r="T345">
        <v>834.09775823579002</v>
      </c>
      <c r="U345">
        <v>987.11935985323203</v>
      </c>
      <c r="V345">
        <v>862.92170081620202</v>
      </c>
      <c r="W345">
        <v>794.30993872705596</v>
      </c>
    </row>
    <row r="346" spans="1:23" x14ac:dyDescent="0.2">
      <c r="A346" t="s">
        <v>711</v>
      </c>
      <c r="B346" s="3" t="str">
        <f>HYPERLINK("http://www.ncbi.nlm.nih.gov/gene/216152","Plppr3")</f>
        <v>Plppr3</v>
      </c>
      <c r="C346">
        <v>216152</v>
      </c>
      <c r="D346" t="s">
        <v>712</v>
      </c>
      <c r="E346" s="3" t="str">
        <f>HYPERLINK("http://genome.ucsc.edu/cgi-bin/hgTracks?db=mm10&amp;lastVirtModeType=default&amp;lastVirtModeExtraState=&amp;virtModeType=default&amp;virtMode=0&amp;nonVirtPosition=&amp;position=chr10:79864780-79874634","chr10:79864780-79874634")</f>
        <v>chr10:79864780-79874634</v>
      </c>
      <c r="F346" t="s">
        <v>25</v>
      </c>
      <c r="G346">
        <v>1.39665127343704</v>
      </c>
      <c r="H346">
        <v>0.25282627119392098</v>
      </c>
      <c r="I346">
        <v>5.5241540637435902</v>
      </c>
      <c r="J346" s="1">
        <v>3.3107685858740898E-8</v>
      </c>
      <c r="K346" s="1">
        <v>1.29255108260758E-6</v>
      </c>
      <c r="L346" t="s">
        <v>26</v>
      </c>
      <c r="M346" t="s">
        <v>27</v>
      </c>
      <c r="N346">
        <v>77.086225239193297</v>
      </c>
      <c r="O346">
        <v>36.694234958721303</v>
      </c>
      <c r="P346">
        <v>107.380217949547</v>
      </c>
      <c r="Q346">
        <v>26.169249662269099</v>
      </c>
      <c r="R346">
        <v>35.270707201331</v>
      </c>
      <c r="S346">
        <v>48.6427480125637</v>
      </c>
      <c r="T346">
        <v>87.076139596044001</v>
      </c>
      <c r="U346">
        <v>96.356553564849094</v>
      </c>
      <c r="V346">
        <v>93.428010233297201</v>
      </c>
      <c r="W346">
        <v>152.66016840399899</v>
      </c>
    </row>
    <row r="347" spans="1:23" x14ac:dyDescent="0.2">
      <c r="A347" t="s">
        <v>713</v>
      </c>
      <c r="B347" s="3" t="str">
        <f>HYPERLINK("http://www.ncbi.nlm.nih.gov/gene/228491","Zfp770")</f>
        <v>Zfp770</v>
      </c>
      <c r="C347">
        <v>228491</v>
      </c>
      <c r="D347" t="s">
        <v>714</v>
      </c>
      <c r="E347" s="3" t="str">
        <f>HYPERLINK("http://genome.ucsc.edu/cgi-bin/hgTracks?db=mm10&amp;lastVirtModeType=default&amp;lastVirtModeExtraState=&amp;virtModeType=default&amp;virtMode=0&amp;nonVirtPosition=&amp;position=chr2:114193460-114201432","chr2:114193460-114201432")</f>
        <v>chr2:114193460-114201432</v>
      </c>
      <c r="F347" t="s">
        <v>25</v>
      </c>
      <c r="G347">
        <v>-0.74647530562853803</v>
      </c>
      <c r="H347">
        <v>0.13519742317220401</v>
      </c>
      <c r="I347">
        <v>-5.5213722873825404</v>
      </c>
      <c r="J347" s="1">
        <v>3.3636225152410602E-8</v>
      </c>
      <c r="K347" s="1">
        <v>1.30936828783701E-6</v>
      </c>
      <c r="L347" t="s">
        <v>26</v>
      </c>
      <c r="M347" t="s">
        <v>27</v>
      </c>
      <c r="N347">
        <v>265.43956271155002</v>
      </c>
      <c r="O347">
        <v>350.95621952813798</v>
      </c>
      <c r="P347">
        <v>201.30207009910899</v>
      </c>
      <c r="Q347">
        <v>352.44968162162399</v>
      </c>
      <c r="R347">
        <v>348.535267935734</v>
      </c>
      <c r="S347">
        <v>351.883709027056</v>
      </c>
      <c r="T347">
        <v>183.31818862325099</v>
      </c>
      <c r="U347">
        <v>192.71310712969799</v>
      </c>
      <c r="V347">
        <v>238.35177413849101</v>
      </c>
      <c r="W347">
        <v>190.82521050499801</v>
      </c>
    </row>
    <row r="348" spans="1:23" x14ac:dyDescent="0.2">
      <c r="A348" t="s">
        <v>715</v>
      </c>
      <c r="B348" s="3" t="str">
        <f>HYPERLINK("http://www.ncbi.nlm.nih.gov/gene/243382","Ppm1k")</f>
        <v>Ppm1k</v>
      </c>
      <c r="C348">
        <v>243382</v>
      </c>
      <c r="D348" t="s">
        <v>716</v>
      </c>
      <c r="E348" s="3" t="str">
        <f>HYPERLINK("http://genome.ucsc.edu/cgi-bin/hgTracks?db=mm10&amp;lastVirtModeType=default&amp;lastVirtModeExtraState=&amp;virtModeType=default&amp;virtMode=0&amp;nonVirtPosition=&amp;position=chr6:57506501-57535426","chr6:57506501-57535426")</f>
        <v>chr6:57506501-57535426</v>
      </c>
      <c r="F348" t="s">
        <v>25</v>
      </c>
      <c r="G348">
        <v>-0.69051692870705905</v>
      </c>
      <c r="H348">
        <v>0.12510128926684999</v>
      </c>
      <c r="I348">
        <v>-5.5196627688955102</v>
      </c>
      <c r="J348" s="1">
        <v>3.39650854156209E-8</v>
      </c>
      <c r="K348" s="1">
        <v>1.3183375617408101E-6</v>
      </c>
      <c r="L348" t="s">
        <v>26</v>
      </c>
      <c r="M348" t="s">
        <v>27</v>
      </c>
      <c r="N348">
        <v>249.21595526545599</v>
      </c>
      <c r="O348">
        <v>321.74108040286001</v>
      </c>
      <c r="P348">
        <v>194.82211141240401</v>
      </c>
      <c r="Q348">
        <v>335.189112695446</v>
      </c>
      <c r="R348">
        <v>304.54169766310599</v>
      </c>
      <c r="S348">
        <v>325.49243085002701</v>
      </c>
      <c r="T348">
        <v>178.735233907669</v>
      </c>
      <c r="U348">
        <v>207.701904350897</v>
      </c>
      <c r="V348">
        <v>200.833439320395</v>
      </c>
      <c r="W348">
        <v>192.017868070655</v>
      </c>
    </row>
    <row r="349" spans="1:23" x14ac:dyDescent="0.2">
      <c r="A349" t="s">
        <v>717</v>
      </c>
      <c r="B349" s="3" t="str">
        <f>HYPERLINK("http://www.ncbi.nlm.nih.gov/gene/241694","Ralgapa2")</f>
        <v>Ralgapa2</v>
      </c>
      <c r="C349">
        <v>241694</v>
      </c>
      <c r="D349" t="s">
        <v>718</v>
      </c>
      <c r="E349" s="3" t="str">
        <f>HYPERLINK("http://genome.ucsc.edu/cgi-bin/hgTracks?db=mm10&amp;lastVirtModeType=default&amp;lastVirtModeExtraState=&amp;virtModeType=default&amp;virtMode=0&amp;nonVirtPosition=&amp;position=chr2:146241298-146512004","chr2:146241298-146512004")</f>
        <v>chr2:146241298-146512004</v>
      </c>
      <c r="F349" t="s">
        <v>25</v>
      </c>
      <c r="G349">
        <v>0.67152179116436705</v>
      </c>
      <c r="H349">
        <v>0.121724668645736</v>
      </c>
      <c r="I349">
        <v>5.5167272060419199</v>
      </c>
      <c r="J349" s="1">
        <v>3.45370896000836E-8</v>
      </c>
      <c r="K349" s="1">
        <v>1.33666522206566E-6</v>
      </c>
      <c r="L349" t="s">
        <v>26</v>
      </c>
      <c r="M349" t="s">
        <v>27</v>
      </c>
      <c r="N349">
        <v>326.49896224843098</v>
      </c>
      <c r="O349">
        <v>243.90855286070899</v>
      </c>
      <c r="P349">
        <v>388.44176928922298</v>
      </c>
      <c r="Q349">
        <v>225.500981132319</v>
      </c>
      <c r="R349">
        <v>238.17208733801999</v>
      </c>
      <c r="S349">
        <v>268.05259011178703</v>
      </c>
      <c r="T349">
        <v>352.88751309975697</v>
      </c>
      <c r="U349">
        <v>387.56747100528202</v>
      </c>
      <c r="V349">
        <v>399.45991776913701</v>
      </c>
      <c r="W349">
        <v>413.852175282715</v>
      </c>
    </row>
    <row r="350" spans="1:23" x14ac:dyDescent="0.2">
      <c r="A350" t="s">
        <v>719</v>
      </c>
      <c r="B350" s="3" t="str">
        <f>HYPERLINK("http://www.ncbi.nlm.nih.gov/gene/18029","Nfic")</f>
        <v>Nfic</v>
      </c>
      <c r="C350">
        <v>18029</v>
      </c>
      <c r="D350" t="s">
        <v>720</v>
      </c>
      <c r="E350" s="3" t="str">
        <f>HYPERLINK("http://genome.ucsc.edu/cgi-bin/hgTracks?db=mm10&amp;lastVirtModeType=default&amp;lastVirtModeExtraState=&amp;virtModeType=default&amp;virtMode=0&amp;nonVirtPosition=&amp;position=chr10:81396190-81427173","chr10:81396190-81427173")</f>
        <v>chr10:81396190-81427173</v>
      </c>
      <c r="F350" t="s">
        <v>25</v>
      </c>
      <c r="G350">
        <v>0.91177931022907299</v>
      </c>
      <c r="H350">
        <v>0.16531570490955699</v>
      </c>
      <c r="I350">
        <v>5.5153822846286804</v>
      </c>
      <c r="J350" s="1">
        <v>3.4802262564208203E-8</v>
      </c>
      <c r="K350" s="1">
        <v>1.3430463919230901E-6</v>
      </c>
      <c r="L350" t="s">
        <v>26</v>
      </c>
      <c r="M350" t="s">
        <v>27</v>
      </c>
      <c r="N350">
        <v>398.19563570374999</v>
      </c>
      <c r="O350">
        <v>259.84285036287702</v>
      </c>
      <c r="P350">
        <v>501.96022470940397</v>
      </c>
      <c r="Q350">
        <v>226.61456622432999</v>
      </c>
      <c r="R350">
        <v>216.55455711785001</v>
      </c>
      <c r="S350">
        <v>336.35942774645099</v>
      </c>
      <c r="T350">
        <v>476.627290420451</v>
      </c>
      <c r="U350">
        <v>535.31418647138401</v>
      </c>
      <c r="V350">
        <v>525.99234107722498</v>
      </c>
      <c r="W350">
        <v>469.90708086855801</v>
      </c>
    </row>
    <row r="351" spans="1:23" x14ac:dyDescent="0.2">
      <c r="A351" t="s">
        <v>721</v>
      </c>
      <c r="B351" s="3" t="str">
        <f>HYPERLINK("http://www.ncbi.nlm.nih.gov/gene/15488","Hsd17b4")</f>
        <v>Hsd17b4</v>
      </c>
      <c r="C351">
        <v>15488</v>
      </c>
      <c r="D351" t="s">
        <v>722</v>
      </c>
      <c r="E351" s="3" t="str">
        <f>HYPERLINK("http://genome.ucsc.edu/cgi-bin/hgTracks?db=mm10&amp;lastVirtModeType=default&amp;lastVirtModeExtraState=&amp;virtModeType=default&amp;virtMode=0&amp;nonVirtPosition=&amp;position=chr18:50128200-50196270","chr18:50128200-50196270")</f>
        <v>chr18:50128200-50196270</v>
      </c>
      <c r="F351" t="s">
        <v>30</v>
      </c>
      <c r="G351">
        <v>-0.64789345715620394</v>
      </c>
      <c r="H351">
        <v>0.117592290176564</v>
      </c>
      <c r="I351">
        <v>-5.5096593168089196</v>
      </c>
      <c r="J351" s="1">
        <v>3.5952886146984298E-8</v>
      </c>
      <c r="K351" s="1">
        <v>1.3834629264203E-6</v>
      </c>
      <c r="L351" t="s">
        <v>26</v>
      </c>
      <c r="M351" t="s">
        <v>27</v>
      </c>
      <c r="N351">
        <v>635.95604694052099</v>
      </c>
      <c r="O351">
        <v>807.65834639386003</v>
      </c>
      <c r="P351">
        <v>507.179322350517</v>
      </c>
      <c r="Q351">
        <v>900.33354689125701</v>
      </c>
      <c r="R351">
        <v>771.78375435170597</v>
      </c>
      <c r="S351">
        <v>750.85773793861597</v>
      </c>
      <c r="T351">
        <v>472.04433570486998</v>
      </c>
      <c r="U351">
        <v>537.45544321726902</v>
      </c>
      <c r="V351">
        <v>532.61322369218306</v>
      </c>
      <c r="W351">
        <v>486.60428678774599</v>
      </c>
    </row>
    <row r="352" spans="1:23" x14ac:dyDescent="0.2">
      <c r="A352" t="s">
        <v>723</v>
      </c>
      <c r="B352" s="3" t="str">
        <f>HYPERLINK("http://www.ncbi.nlm.nih.gov/gene/11739","Slc25a4")</f>
        <v>Slc25a4</v>
      </c>
      <c r="C352">
        <v>11739</v>
      </c>
      <c r="D352" t="s">
        <v>724</v>
      </c>
      <c r="E352" s="3" t="str">
        <f>HYPERLINK("http://genome.ucsc.edu/cgi-bin/hgTracks?db=mm10&amp;lastVirtModeType=default&amp;lastVirtModeExtraState=&amp;virtModeType=default&amp;virtMode=0&amp;nonVirtPosition=&amp;position=chr8:46207340-46211009","chr8:46207340-46211009")</f>
        <v>chr8:46207340-46211009</v>
      </c>
      <c r="F352" t="s">
        <v>25</v>
      </c>
      <c r="G352">
        <v>-0.57356877267023998</v>
      </c>
      <c r="H352">
        <v>0.104263850421939</v>
      </c>
      <c r="I352">
        <v>-5.5011278631001996</v>
      </c>
      <c r="J352" s="1">
        <v>3.77369406253521E-8</v>
      </c>
      <c r="K352" s="1">
        <v>1.4479523550546999E-6</v>
      </c>
      <c r="L352" t="s">
        <v>26</v>
      </c>
      <c r="M352" t="s">
        <v>27</v>
      </c>
      <c r="N352">
        <v>1659.1814598761</v>
      </c>
      <c r="O352">
        <v>2053.2984503862099</v>
      </c>
      <c r="P352">
        <v>1363.59371699352</v>
      </c>
      <c r="Q352">
        <v>1986.07901160242</v>
      </c>
      <c r="R352">
        <v>2140.1354917968902</v>
      </c>
      <c r="S352">
        <v>2033.6808477593099</v>
      </c>
      <c r="T352">
        <v>1209.9000449134501</v>
      </c>
      <c r="U352">
        <v>1488.17343839045</v>
      </c>
      <c r="V352">
        <v>1410.98365060995</v>
      </c>
      <c r="W352">
        <v>1345.3177340602399</v>
      </c>
    </row>
    <row r="353" spans="1:23" x14ac:dyDescent="0.2">
      <c r="A353" t="s">
        <v>725</v>
      </c>
      <c r="B353" s="3" t="str">
        <f>HYPERLINK("http://www.ncbi.nlm.nih.gov/gene/223645","Mroh6")</f>
        <v>Mroh6</v>
      </c>
      <c r="C353">
        <v>223645</v>
      </c>
      <c r="D353" t="s">
        <v>726</v>
      </c>
      <c r="E353" s="3" t="str">
        <f>HYPERLINK("http://genome.ucsc.edu/cgi-bin/hgTracks?db=mm10&amp;lastVirtModeType=default&amp;lastVirtModeExtraState=&amp;virtModeType=default&amp;virtMode=0&amp;nonVirtPosition=&amp;position=chr15:75882933-75888723","chr15:75882933-75888723")</f>
        <v>chr15:75882933-75888723</v>
      </c>
      <c r="F353" t="s">
        <v>25</v>
      </c>
      <c r="G353">
        <v>1.9034765857971501</v>
      </c>
      <c r="H353">
        <v>0.346314772593112</v>
      </c>
      <c r="I353">
        <v>5.4963771009374804</v>
      </c>
      <c r="J353" s="1">
        <v>3.8767304823662901E-8</v>
      </c>
      <c r="K353" s="1">
        <v>1.48323708255334E-6</v>
      </c>
      <c r="L353" t="s">
        <v>26</v>
      </c>
      <c r="M353" t="s">
        <v>27</v>
      </c>
      <c r="N353">
        <v>41.168621716087898</v>
      </c>
      <c r="O353">
        <v>10.670975189959099</v>
      </c>
      <c r="P353">
        <v>64.041856610684505</v>
      </c>
      <c r="Q353">
        <v>12.2494360121259</v>
      </c>
      <c r="R353">
        <v>6.8265884905801997</v>
      </c>
      <c r="S353">
        <v>12.936901067171201</v>
      </c>
      <c r="T353">
        <v>96.242049027206505</v>
      </c>
      <c r="U353">
        <v>17.130053967084301</v>
      </c>
      <c r="V353">
        <v>58.116636286854202</v>
      </c>
      <c r="W353">
        <v>84.678687161593004</v>
      </c>
    </row>
    <row r="354" spans="1:23" x14ac:dyDescent="0.2">
      <c r="A354" t="s">
        <v>727</v>
      </c>
      <c r="B354" s="3" t="str">
        <f>HYPERLINK("http://www.ncbi.nlm.nih.gov/gene/171095","Il17rc")</f>
        <v>Il17rc</v>
      </c>
      <c r="C354">
        <v>171095</v>
      </c>
      <c r="D354" t="s">
        <v>728</v>
      </c>
      <c r="E354" s="3" t="str">
        <f>HYPERLINK("http://genome.ucsc.edu/cgi-bin/hgTracks?db=mm10&amp;lastVirtModeType=default&amp;lastVirtModeExtraState=&amp;virtModeType=default&amp;virtMode=0&amp;nonVirtPosition=&amp;position=chr6:113471454-113483140","chr6:113471454-113483140")</f>
        <v>chr6:113471454-113483140</v>
      </c>
      <c r="F354" t="s">
        <v>30</v>
      </c>
      <c r="G354">
        <v>1.4813839089677701</v>
      </c>
      <c r="H354">
        <v>0.269678672985811</v>
      </c>
      <c r="I354">
        <v>5.4931444617636203</v>
      </c>
      <c r="J354" s="1">
        <v>3.9483955168985899E-8</v>
      </c>
      <c r="K354" s="1">
        <v>1.50635226116208E-6</v>
      </c>
      <c r="L354" t="s">
        <v>26</v>
      </c>
      <c r="M354" t="s">
        <v>27</v>
      </c>
      <c r="N354">
        <v>36.013349288225399</v>
      </c>
      <c r="O354">
        <v>14.9928032152418</v>
      </c>
      <c r="P354">
        <v>51.778758842963001</v>
      </c>
      <c r="Q354">
        <v>12.2494360121259</v>
      </c>
      <c r="R354">
        <v>16.6872163103072</v>
      </c>
      <c r="S354">
        <v>16.041757323292298</v>
      </c>
      <c r="T354">
        <v>73.327275449300203</v>
      </c>
      <c r="U354">
        <v>38.5426214259396</v>
      </c>
      <c r="V354">
        <v>46.346178304706498</v>
      </c>
      <c r="W354">
        <v>48.8989601919058</v>
      </c>
    </row>
    <row r="355" spans="1:23" x14ac:dyDescent="0.2">
      <c r="A355" t="s">
        <v>729</v>
      </c>
      <c r="B355" s="3" t="str">
        <f>HYPERLINK("http://www.ncbi.nlm.nih.gov/gene/320790","Chd7")</f>
        <v>Chd7</v>
      </c>
      <c r="C355">
        <v>320790</v>
      </c>
      <c r="D355" t="s">
        <v>730</v>
      </c>
      <c r="E355" s="3" t="str">
        <f>HYPERLINK("http://genome.ucsc.edu/cgi-bin/hgTracks?db=mm10&amp;lastVirtModeType=default&amp;lastVirtModeExtraState=&amp;virtModeType=default&amp;virtMode=0&amp;nonVirtPosition=&amp;position=chr4:8690405-8868449","chr4:8690405-8868449")</f>
        <v>chr4:8690405-8868449</v>
      </c>
      <c r="F355" t="s">
        <v>30</v>
      </c>
      <c r="G355">
        <v>0.71143578579421596</v>
      </c>
      <c r="H355">
        <v>0.12956306611712301</v>
      </c>
      <c r="I355">
        <v>5.4910385120948701</v>
      </c>
      <c r="J355" s="1">
        <v>3.9957720415010903E-8</v>
      </c>
      <c r="K355" s="1">
        <v>1.5200961195381E-6</v>
      </c>
      <c r="L355" t="s">
        <v>26</v>
      </c>
      <c r="M355" t="s">
        <v>27</v>
      </c>
      <c r="N355">
        <v>1667.0945307935201</v>
      </c>
      <c r="O355">
        <v>1210.4239421104801</v>
      </c>
      <c r="P355">
        <v>2009.5974723058</v>
      </c>
      <c r="Q355">
        <v>1216.0349204765</v>
      </c>
      <c r="R355">
        <v>1028.91858749689</v>
      </c>
      <c r="S355">
        <v>1386.31831835806</v>
      </c>
      <c r="T355">
        <v>2094.41030502064</v>
      </c>
      <c r="U355">
        <v>1845.7633149533301</v>
      </c>
      <c r="V355">
        <v>1959.78125402759</v>
      </c>
      <c r="W355">
        <v>2138.4350152216398</v>
      </c>
    </row>
    <row r="356" spans="1:23" x14ac:dyDescent="0.2">
      <c r="A356" t="s">
        <v>731</v>
      </c>
      <c r="B356" s="3" t="str">
        <f>HYPERLINK("http://www.ncbi.nlm.nih.gov/gene/12982","Csf2ra")</f>
        <v>Csf2ra</v>
      </c>
      <c r="C356">
        <v>12982</v>
      </c>
      <c r="D356" t="s">
        <v>732</v>
      </c>
      <c r="E356" s="3" t="str">
        <f>HYPERLINK("http://genome.ucsc.edu/cgi-bin/hgTracks?db=mm10&amp;lastVirtModeType=default&amp;lastVirtModeExtraState=&amp;virtModeType=default&amp;virtMode=0&amp;nonVirtPosition=&amp;position=chr19:61224401-61228418","chr19:61224401-61228418")</f>
        <v>chr19:61224401-61228418</v>
      </c>
      <c r="F356" t="s">
        <v>25</v>
      </c>
      <c r="G356">
        <v>1.0955980261284699</v>
      </c>
      <c r="H356">
        <v>0.19957760414183201</v>
      </c>
      <c r="I356">
        <v>5.4895840184045399</v>
      </c>
      <c r="J356" s="1">
        <v>4.02881441973469E-8</v>
      </c>
      <c r="K356" s="1">
        <v>1.5283244729367499E-6</v>
      </c>
      <c r="L356" t="s">
        <v>26</v>
      </c>
      <c r="M356" t="s">
        <v>27</v>
      </c>
      <c r="N356">
        <v>94.609340284430601</v>
      </c>
      <c r="O356">
        <v>55.868679224611398</v>
      </c>
      <c r="P356">
        <v>123.664836079295</v>
      </c>
      <c r="Q356">
        <v>52.8952918705439</v>
      </c>
      <c r="R356">
        <v>51.578668595494896</v>
      </c>
      <c r="S356">
        <v>63.132077207795398</v>
      </c>
      <c r="T356">
        <v>100.825003742788</v>
      </c>
      <c r="U356">
        <v>126.33414800724699</v>
      </c>
      <c r="V356">
        <v>108.876736334866</v>
      </c>
      <c r="W356">
        <v>158.62345623228001</v>
      </c>
    </row>
    <row r="357" spans="1:23" x14ac:dyDescent="0.2">
      <c r="A357" t="s">
        <v>733</v>
      </c>
      <c r="B357" s="3" t="str">
        <f>HYPERLINK("http://www.ncbi.nlm.nih.gov/gene/66142","Cox7b")</f>
        <v>Cox7b</v>
      </c>
      <c r="C357">
        <v>66142</v>
      </c>
      <c r="D357" t="s">
        <v>734</v>
      </c>
      <c r="E357" s="3" t="str">
        <f>HYPERLINK("http://genome.ucsc.edu/cgi-bin/hgTracks?db=mm10&amp;lastVirtModeType=default&amp;lastVirtModeExtraState=&amp;virtModeType=default&amp;virtMode=0&amp;nonVirtPosition=&amp;position=chrX:106015699-106022450","chrX:106015699-106022450")</f>
        <v>chrX:106015699-106022450</v>
      </c>
      <c r="F357" t="s">
        <v>30</v>
      </c>
      <c r="G357">
        <v>-0.92633251924320104</v>
      </c>
      <c r="H357">
        <v>0.16896446394046899</v>
      </c>
      <c r="I357">
        <v>-5.4824103106649398</v>
      </c>
      <c r="J357" s="1">
        <v>4.1956972539601102E-8</v>
      </c>
      <c r="K357" s="1">
        <v>1.5871350827056401E-6</v>
      </c>
      <c r="L357" t="s">
        <v>26</v>
      </c>
      <c r="M357" t="s">
        <v>27</v>
      </c>
      <c r="N357">
        <v>196.60909352409701</v>
      </c>
      <c r="O357">
        <v>274.24640353841301</v>
      </c>
      <c r="P357">
        <v>138.38111101336</v>
      </c>
      <c r="Q357">
        <v>260.57891153067902</v>
      </c>
      <c r="R357">
        <v>330.33103196085301</v>
      </c>
      <c r="S357">
        <v>231.82926712370801</v>
      </c>
      <c r="T357">
        <v>132.90568675185699</v>
      </c>
      <c r="U357">
        <v>126.33414800724699</v>
      </c>
      <c r="V357">
        <v>146.395071152962</v>
      </c>
      <c r="W357">
        <v>147.889538141374</v>
      </c>
    </row>
    <row r="358" spans="1:23" x14ac:dyDescent="0.2">
      <c r="A358" t="s">
        <v>735</v>
      </c>
      <c r="B358" s="3" t="str">
        <f>HYPERLINK("http://www.ncbi.nlm.nih.gov/gene/53609","Clasrp")</f>
        <v>Clasrp</v>
      </c>
      <c r="C358">
        <v>53609</v>
      </c>
      <c r="D358" t="s">
        <v>736</v>
      </c>
      <c r="E358" s="3" t="str">
        <f>HYPERLINK("http://genome.ucsc.edu/cgi-bin/hgTracks?db=mm10&amp;lastVirtModeType=default&amp;lastVirtModeExtraState=&amp;virtModeType=default&amp;virtMode=0&amp;nonVirtPosition=&amp;position=chr7:19581037-19604486","chr7:19581037-19604486")</f>
        <v>chr7:19581037-19604486</v>
      </c>
      <c r="F358" t="s">
        <v>25</v>
      </c>
      <c r="G358">
        <v>0.95315708339496397</v>
      </c>
      <c r="H358">
        <v>0.17393879315411201</v>
      </c>
      <c r="I358">
        <v>5.4798418806462301</v>
      </c>
      <c r="J358" s="1">
        <v>4.2570610831578599E-8</v>
      </c>
      <c r="K358" s="1">
        <v>1.6028888834115201E-6</v>
      </c>
      <c r="L358" t="s">
        <v>26</v>
      </c>
      <c r="M358" t="s">
        <v>27</v>
      </c>
      <c r="N358">
        <v>374.18753051226599</v>
      </c>
      <c r="O358">
        <v>237.908046257705</v>
      </c>
      <c r="P358">
        <v>476.397143703187</v>
      </c>
      <c r="Q358">
        <v>208.797204752147</v>
      </c>
      <c r="R358">
        <v>216.17530220170599</v>
      </c>
      <c r="S358">
        <v>288.75163181926098</v>
      </c>
      <c r="T358">
        <v>467.46138098928901</v>
      </c>
      <c r="U358">
        <v>445.38140314419098</v>
      </c>
      <c r="V358">
        <v>392.83903515417899</v>
      </c>
      <c r="W358">
        <v>599.90675552508901</v>
      </c>
    </row>
    <row r="359" spans="1:23" x14ac:dyDescent="0.2">
      <c r="A359" t="s">
        <v>737</v>
      </c>
      <c r="B359" s="3" t="str">
        <f>HYPERLINK("http://www.ncbi.nlm.nih.gov/gene/16783","Lamp1")</f>
        <v>Lamp1</v>
      </c>
      <c r="C359">
        <v>16783</v>
      </c>
      <c r="D359" t="s">
        <v>738</v>
      </c>
      <c r="E359" s="3" t="str">
        <f>HYPERLINK("http://genome.ucsc.edu/cgi-bin/hgTracks?db=mm10&amp;lastVirtModeType=default&amp;lastVirtModeExtraState=&amp;virtModeType=default&amp;virtMode=0&amp;nonVirtPosition=&amp;position=chr8:13159160-13175338","chr8:13159160-13175338")</f>
        <v>chr8:13159160-13175338</v>
      </c>
      <c r="F359" t="s">
        <v>30</v>
      </c>
      <c r="G359">
        <v>-0.93775314533631704</v>
      </c>
      <c r="H359">
        <v>0.171137579114575</v>
      </c>
      <c r="I359">
        <v>-5.4795279341219203</v>
      </c>
      <c r="J359" s="1">
        <v>4.2646211766446102E-8</v>
      </c>
      <c r="K359" s="1">
        <v>1.6028888834115201E-6</v>
      </c>
      <c r="L359" t="s">
        <v>26</v>
      </c>
      <c r="M359" t="s">
        <v>27</v>
      </c>
      <c r="N359">
        <v>1417.4916656620201</v>
      </c>
      <c r="O359">
        <v>1980.48918456506</v>
      </c>
      <c r="P359">
        <v>995.24352648474905</v>
      </c>
      <c r="Q359">
        <v>2554.5642010742699</v>
      </c>
      <c r="R359">
        <v>1744.95186917553</v>
      </c>
      <c r="S359">
        <v>1641.9514834453701</v>
      </c>
      <c r="T359">
        <v>820.34889408904598</v>
      </c>
      <c r="U359">
        <v>1027.80323802506</v>
      </c>
      <c r="V359">
        <v>1097.5952068352699</v>
      </c>
      <c r="W359">
        <v>1035.22676698962</v>
      </c>
    </row>
    <row r="360" spans="1:23" x14ac:dyDescent="0.2">
      <c r="A360" t="s">
        <v>739</v>
      </c>
      <c r="B360" s="3" t="str">
        <f>HYPERLINK("http://www.ncbi.nlm.nih.gov/gene/209966","Pgbd5")</f>
        <v>Pgbd5</v>
      </c>
      <c r="C360">
        <v>209966</v>
      </c>
      <c r="D360" t="s">
        <v>740</v>
      </c>
      <c r="E360" s="3" t="str">
        <f>HYPERLINK("http://genome.ucsc.edu/cgi-bin/hgTracks?db=mm10&amp;lastVirtModeType=default&amp;lastVirtModeExtraState=&amp;virtModeType=default&amp;virtMode=0&amp;nonVirtPosition=&amp;position=chr8:124369048-124433936","chr8:124369048-124433936")</f>
        <v>chr8:124369048-124433936</v>
      </c>
      <c r="F360" t="s">
        <v>25</v>
      </c>
      <c r="G360">
        <v>-1.33602236216064</v>
      </c>
      <c r="H360">
        <v>0.243836626606761</v>
      </c>
      <c r="I360">
        <v>-5.4791701343345203</v>
      </c>
      <c r="J360" s="1">
        <v>4.2732531653940103E-8</v>
      </c>
      <c r="K360" s="1">
        <v>1.6028888834115201E-6</v>
      </c>
      <c r="L360" t="s">
        <v>26</v>
      </c>
      <c r="M360" t="s">
        <v>27</v>
      </c>
      <c r="N360">
        <v>103.66024644818999</v>
      </c>
      <c r="O360">
        <v>165.11816745487599</v>
      </c>
      <c r="P360">
        <v>57.566805693175901</v>
      </c>
      <c r="Q360">
        <v>133.630211041374</v>
      </c>
      <c r="R360">
        <v>215.79604728556299</v>
      </c>
      <c r="S360">
        <v>145.928244037691</v>
      </c>
      <c r="T360">
        <v>41.246592440231403</v>
      </c>
      <c r="U360">
        <v>64.237702376566105</v>
      </c>
      <c r="V360">
        <v>44.874871056937998</v>
      </c>
      <c r="W360">
        <v>79.908056898968098</v>
      </c>
    </row>
    <row r="361" spans="1:23" x14ac:dyDescent="0.2">
      <c r="A361" t="s">
        <v>741</v>
      </c>
      <c r="B361" s="3" t="str">
        <f>HYPERLINK("http://www.ncbi.nlm.nih.gov/gene/14401","Gabrb2")</f>
        <v>Gabrb2</v>
      </c>
      <c r="C361">
        <v>14401</v>
      </c>
      <c r="D361" t="s">
        <v>742</v>
      </c>
      <c r="E361" s="3" t="str">
        <f>HYPERLINK("http://genome.ucsc.edu/cgi-bin/hgTracks?db=mm10&amp;lastVirtModeType=default&amp;lastVirtModeExtraState=&amp;virtModeType=default&amp;virtMode=0&amp;nonVirtPosition=&amp;position=chr11:42419756-42632591","chr11:42419756-42632591")</f>
        <v>chr11:42419756-42632591</v>
      </c>
      <c r="F361" t="s">
        <v>30</v>
      </c>
      <c r="G361">
        <v>-1.44036884244625</v>
      </c>
      <c r="H361">
        <v>0.26299280240960599</v>
      </c>
      <c r="I361">
        <v>-5.4768374999210101</v>
      </c>
      <c r="J361" s="1">
        <v>4.3299450649870697E-8</v>
      </c>
      <c r="K361" s="1">
        <v>1.61825171195086E-6</v>
      </c>
      <c r="L361" t="s">
        <v>26</v>
      </c>
      <c r="M361" t="s">
        <v>27</v>
      </c>
      <c r="N361">
        <v>195.18372969958</v>
      </c>
      <c r="O361">
        <v>319.43618091245997</v>
      </c>
      <c r="P361">
        <v>101.99439128992</v>
      </c>
      <c r="Q361">
        <v>461.581020638746</v>
      </c>
      <c r="R361">
        <v>312.50605090211599</v>
      </c>
      <c r="S361">
        <v>184.221471196518</v>
      </c>
      <c r="T361">
        <v>96.242049027206505</v>
      </c>
      <c r="U361">
        <v>94.215296818963594</v>
      </c>
      <c r="V361">
        <v>77.979284131728406</v>
      </c>
      <c r="W361">
        <v>139.54093518177999</v>
      </c>
    </row>
    <row r="362" spans="1:23" x14ac:dyDescent="0.2">
      <c r="A362" t="s">
        <v>743</v>
      </c>
      <c r="B362" s="3" t="str">
        <f>HYPERLINK("http://www.ncbi.nlm.nih.gov/gene/240057","Syngap1")</f>
        <v>Syngap1</v>
      </c>
      <c r="C362">
        <v>240057</v>
      </c>
      <c r="D362" t="s">
        <v>744</v>
      </c>
      <c r="E362" s="3" t="str">
        <f>HYPERLINK("http://genome.ucsc.edu/cgi-bin/hgTracks?db=mm10&amp;lastVirtModeType=default&amp;lastVirtModeExtraState=&amp;virtModeType=default&amp;virtMode=0&amp;nonVirtPosition=&amp;position=chr17:26941451-26970645","chr17:26941451-26970645")</f>
        <v>chr17:26941451-26970645</v>
      </c>
      <c r="F362" t="s">
        <v>30</v>
      </c>
      <c r="G362">
        <v>0.93266302309381599</v>
      </c>
      <c r="H362">
        <v>0.1703029699527</v>
      </c>
      <c r="I362">
        <v>5.47649300157744</v>
      </c>
      <c r="J362" s="1">
        <v>4.3383792441965301E-8</v>
      </c>
      <c r="K362" s="1">
        <v>1.61825171195086E-6</v>
      </c>
      <c r="L362" t="s">
        <v>26</v>
      </c>
      <c r="M362" t="s">
        <v>27</v>
      </c>
      <c r="N362">
        <v>368.85419415813402</v>
      </c>
      <c r="O362">
        <v>237.41765408245101</v>
      </c>
      <c r="P362">
        <v>467.43159921489701</v>
      </c>
      <c r="Q362">
        <v>227.72815131634201</v>
      </c>
      <c r="R362">
        <v>181.28384991651899</v>
      </c>
      <c r="S362">
        <v>303.240961014493</v>
      </c>
      <c r="T362">
        <v>467.46138098928901</v>
      </c>
      <c r="U362">
        <v>458.228943619505</v>
      </c>
      <c r="V362">
        <v>434.77129171557999</v>
      </c>
      <c r="W362">
        <v>509.26478053521402</v>
      </c>
    </row>
    <row r="363" spans="1:23" x14ac:dyDescent="0.2">
      <c r="A363" t="s">
        <v>745</v>
      </c>
      <c r="B363" s="3" t="str">
        <f>HYPERLINK("http://www.ncbi.nlm.nih.gov/gene/320129","Grk3")</f>
        <v>Grk3</v>
      </c>
      <c r="C363">
        <v>320129</v>
      </c>
      <c r="D363" t="s">
        <v>746</v>
      </c>
      <c r="E363" s="3" t="str">
        <f>HYPERLINK("http://genome.ucsc.edu/cgi-bin/hgTracks?db=mm10&amp;lastVirtModeType=default&amp;lastVirtModeExtraState=&amp;virtModeType=default&amp;virtMode=0&amp;nonVirtPosition=&amp;position=chr5:112910477-113015538","chr5:112910477-113015538")</f>
        <v>chr5:112910477-113015538</v>
      </c>
      <c r="F363" t="s">
        <v>25</v>
      </c>
      <c r="G363">
        <v>1.4860745396994499</v>
      </c>
      <c r="H363">
        <v>0.271386826684689</v>
      </c>
      <c r="I363">
        <v>5.4758536287616</v>
      </c>
      <c r="J363" s="1">
        <v>4.3540749198419303E-8</v>
      </c>
      <c r="K363" s="1">
        <v>1.6195949236556499E-6</v>
      </c>
      <c r="L363" t="s">
        <v>26</v>
      </c>
      <c r="M363" t="s">
        <v>27</v>
      </c>
      <c r="N363">
        <v>189.218673385069</v>
      </c>
      <c r="O363">
        <v>82.526502133182305</v>
      </c>
      <c r="P363">
        <v>269.237801823984</v>
      </c>
      <c r="Q363">
        <v>47.327366410486597</v>
      </c>
      <c r="R363">
        <v>133.497730482457</v>
      </c>
      <c r="S363">
        <v>66.754409506603395</v>
      </c>
      <c r="T363">
        <v>187.90114333883199</v>
      </c>
      <c r="U363">
        <v>263.374579743921</v>
      </c>
      <c r="V363">
        <v>271.456187213281</v>
      </c>
      <c r="W363">
        <v>354.21929699990301</v>
      </c>
    </row>
    <row r="364" spans="1:23" x14ac:dyDescent="0.2">
      <c r="A364" t="s">
        <v>747</v>
      </c>
      <c r="B364" s="3" t="str">
        <f>HYPERLINK("http://www.ncbi.nlm.nih.gov/gene/100019","Mdn1")</f>
        <v>Mdn1</v>
      </c>
      <c r="C364">
        <v>100019</v>
      </c>
      <c r="D364" t="s">
        <v>748</v>
      </c>
      <c r="E364" s="3" t="str">
        <f>HYPERLINK("http://genome.ucsc.edu/cgi-bin/hgTracks?db=mm10&amp;lastVirtModeType=default&amp;lastVirtModeExtraState=&amp;virtModeType=default&amp;virtMode=0&amp;nonVirtPosition=&amp;position=chr4:32657118-32775217","chr4:32657118-32775217")</f>
        <v>chr4:32657118-32775217</v>
      </c>
      <c r="F364" t="s">
        <v>30</v>
      </c>
      <c r="G364">
        <v>0.67869681321589304</v>
      </c>
      <c r="H364">
        <v>0.12399432766410801</v>
      </c>
      <c r="I364">
        <v>5.4736117853264803</v>
      </c>
      <c r="J364" s="1">
        <v>4.40954505891488E-8</v>
      </c>
      <c r="K364" s="1">
        <v>1.63568470592601E-6</v>
      </c>
      <c r="L364" t="s">
        <v>26</v>
      </c>
      <c r="M364" t="s">
        <v>27</v>
      </c>
      <c r="N364">
        <v>1082.6678376904799</v>
      </c>
      <c r="O364">
        <v>798.58821693200196</v>
      </c>
      <c r="P364">
        <v>1295.7275532593401</v>
      </c>
      <c r="Q364">
        <v>674.83256575893904</v>
      </c>
      <c r="R364">
        <v>839.67038434136498</v>
      </c>
      <c r="S364">
        <v>881.26170069570196</v>
      </c>
      <c r="T364">
        <v>1301.5591392250799</v>
      </c>
      <c r="U364">
        <v>1344.7092364161199</v>
      </c>
      <c r="V364">
        <v>1202.05802142683</v>
      </c>
      <c r="W364">
        <v>1334.5838159693301</v>
      </c>
    </row>
    <row r="365" spans="1:23" x14ac:dyDescent="0.2">
      <c r="A365" t="s">
        <v>749</v>
      </c>
      <c r="B365" s="3" t="str">
        <f>HYPERLINK("http://www.ncbi.nlm.nih.gov/gene/11784","Apba2")</f>
        <v>Apba2</v>
      </c>
      <c r="C365">
        <v>11784</v>
      </c>
      <c r="D365" t="s">
        <v>750</v>
      </c>
      <c r="E365" s="3" t="str">
        <f>HYPERLINK("http://genome.ucsc.edu/cgi-bin/hgTracks?db=mm10&amp;lastVirtModeType=default&amp;lastVirtModeExtraState=&amp;virtModeType=default&amp;virtMode=0&amp;nonVirtPosition=&amp;position=chr7:64502137-64753876","chr7:64502137-64753876")</f>
        <v>chr7:64502137-64753876</v>
      </c>
      <c r="F365" t="s">
        <v>30</v>
      </c>
      <c r="G365">
        <v>-0.58574202044704904</v>
      </c>
      <c r="H365">
        <v>0.107029536558988</v>
      </c>
      <c r="I365">
        <v>-5.4727137879759198</v>
      </c>
      <c r="J365" s="1">
        <v>4.4319559434715901E-8</v>
      </c>
      <c r="K365" s="1">
        <v>1.6394564099179001E-6</v>
      </c>
      <c r="L365" t="s">
        <v>26</v>
      </c>
      <c r="M365" t="s">
        <v>27</v>
      </c>
      <c r="N365">
        <v>585.63082252834295</v>
      </c>
      <c r="O365">
        <v>729.96099431944594</v>
      </c>
      <c r="P365">
        <v>477.38319368501698</v>
      </c>
      <c r="Q365">
        <v>737.19333091158001</v>
      </c>
      <c r="R365">
        <v>753.57951837682594</v>
      </c>
      <c r="S365">
        <v>699.11013366993097</v>
      </c>
      <c r="T365">
        <v>435.38069798022002</v>
      </c>
      <c r="U365">
        <v>466.793970603047</v>
      </c>
      <c r="V365">
        <v>482.58877726805503</v>
      </c>
      <c r="W365">
        <v>524.76932888874603</v>
      </c>
    </row>
    <row r="366" spans="1:23" x14ac:dyDescent="0.2">
      <c r="A366" t="s">
        <v>751</v>
      </c>
      <c r="B366" s="3" t="str">
        <f>HYPERLINK("http://www.ncbi.nlm.nih.gov/gene/209378","Itih5")</f>
        <v>Itih5</v>
      </c>
      <c r="C366">
        <v>209378</v>
      </c>
      <c r="D366" t="s">
        <v>752</v>
      </c>
      <c r="E366" s="3" t="str">
        <f>HYPERLINK("http://genome.ucsc.edu/cgi-bin/hgTracks?db=mm10&amp;lastVirtModeType=default&amp;lastVirtModeExtraState=&amp;virtModeType=default&amp;virtMode=0&amp;nonVirtPosition=&amp;position=chr2:10153542-10256529","chr2:10153542-10256529")</f>
        <v>chr2:10153542-10256529</v>
      </c>
      <c r="F366" t="s">
        <v>30</v>
      </c>
      <c r="G366">
        <v>-1.8287901016683601</v>
      </c>
      <c r="H366">
        <v>0.33449530834908198</v>
      </c>
      <c r="I366">
        <v>-5.4673116663263404</v>
      </c>
      <c r="J366" s="1">
        <v>4.5691226078227597E-8</v>
      </c>
      <c r="K366" s="1">
        <v>1.68554051904558E-6</v>
      </c>
      <c r="L366" t="s">
        <v>26</v>
      </c>
      <c r="M366" t="s">
        <v>27</v>
      </c>
      <c r="N366">
        <v>495.90088684634799</v>
      </c>
      <c r="O366">
        <v>920.04198342096402</v>
      </c>
      <c r="P366">
        <v>177.795064415387</v>
      </c>
      <c r="Q366">
        <v>1410.9123115785101</v>
      </c>
      <c r="R366">
        <v>664.07535816699601</v>
      </c>
      <c r="S366">
        <v>685.13828051738597</v>
      </c>
      <c r="T366">
        <v>91.659094311625296</v>
      </c>
      <c r="U366">
        <v>222.690701572096</v>
      </c>
      <c r="V366">
        <v>215.546511798079</v>
      </c>
      <c r="W366">
        <v>181.283949979748</v>
      </c>
    </row>
    <row r="367" spans="1:23" x14ac:dyDescent="0.2">
      <c r="A367" t="s">
        <v>753</v>
      </c>
      <c r="B367" s="3" t="str">
        <f>HYPERLINK("http://www.ncbi.nlm.nih.gov/gene/18145","Npc1")</f>
        <v>Npc1</v>
      </c>
      <c r="C367">
        <v>18145</v>
      </c>
      <c r="D367" t="s">
        <v>754</v>
      </c>
      <c r="E367" s="3" t="str">
        <f>HYPERLINK("http://genome.ucsc.edu/cgi-bin/hgTracks?db=mm10&amp;lastVirtModeType=default&amp;lastVirtModeExtraState=&amp;virtModeType=default&amp;virtMode=0&amp;nonVirtPosition=&amp;position=chr18:12189693-12236386","chr18:12189693-12236386")</f>
        <v>chr18:12189693-12236386</v>
      </c>
      <c r="F367" t="s">
        <v>25</v>
      </c>
      <c r="G367">
        <v>-1.08372691442765</v>
      </c>
      <c r="H367">
        <v>0.198296817124859</v>
      </c>
      <c r="I367">
        <v>-5.4651755390772303</v>
      </c>
      <c r="J367" s="1">
        <v>4.62448938992945E-8</v>
      </c>
      <c r="K367" s="1">
        <v>1.70127850056443E-6</v>
      </c>
      <c r="L367" t="s">
        <v>26</v>
      </c>
      <c r="M367" t="s">
        <v>27</v>
      </c>
      <c r="N367">
        <v>937.84299995119295</v>
      </c>
      <c r="O367">
        <v>1372.04791830913</v>
      </c>
      <c r="P367">
        <v>612.18931118273497</v>
      </c>
      <c r="Q367">
        <v>1953.22825138808</v>
      </c>
      <c r="R367">
        <v>1086.56533475068</v>
      </c>
      <c r="S367">
        <v>1076.3501687886401</v>
      </c>
      <c r="T367">
        <v>577.452294163239</v>
      </c>
      <c r="U367">
        <v>567.43303765966698</v>
      </c>
      <c r="V367">
        <v>640.75430640316404</v>
      </c>
      <c r="W367">
        <v>663.11760650486895</v>
      </c>
    </row>
    <row r="368" spans="1:23" x14ac:dyDescent="0.2">
      <c r="A368" t="s">
        <v>755</v>
      </c>
      <c r="B368" s="3" t="str">
        <f>HYPERLINK("http://www.ncbi.nlm.nih.gov/gene/268936","Brpf3")</f>
        <v>Brpf3</v>
      </c>
      <c r="C368">
        <v>268936</v>
      </c>
      <c r="D368" t="s">
        <v>756</v>
      </c>
      <c r="E368" s="3" t="str">
        <f>HYPERLINK("http://genome.ucsc.edu/cgi-bin/hgTracks?db=mm10&amp;lastVirtModeType=default&amp;lastVirtModeExtraState=&amp;virtModeType=default&amp;virtMode=0&amp;nonVirtPosition=&amp;position=chr17:28801125-28838789","chr17:28801125-28838789")</f>
        <v>chr17:28801125-28838789</v>
      </c>
      <c r="F368" t="s">
        <v>30</v>
      </c>
      <c r="G368">
        <v>1.0248392119951999</v>
      </c>
      <c r="H368">
        <v>0.187799754124652</v>
      </c>
      <c r="I368">
        <v>5.4570849507873396</v>
      </c>
      <c r="J368" s="1">
        <v>4.8401482213420697E-8</v>
      </c>
      <c r="K368" s="1">
        <v>1.7757376666299101E-6</v>
      </c>
      <c r="L368" t="s">
        <v>26</v>
      </c>
      <c r="M368" t="s">
        <v>27</v>
      </c>
      <c r="N368">
        <v>191.89552898173699</v>
      </c>
      <c r="O368">
        <v>115.436216458785</v>
      </c>
      <c r="P368">
        <v>249.24001337395001</v>
      </c>
      <c r="Q368">
        <v>92.427562636950398</v>
      </c>
      <c r="R368">
        <v>102.778082274846</v>
      </c>
      <c r="S368">
        <v>151.10300446456</v>
      </c>
      <c r="T368">
        <v>284.14319236603802</v>
      </c>
      <c r="U368">
        <v>265.51583648980602</v>
      </c>
      <c r="V368">
        <v>220.69608716526901</v>
      </c>
      <c r="W368">
        <v>226.60493747468601</v>
      </c>
    </row>
    <row r="369" spans="1:23" x14ac:dyDescent="0.2">
      <c r="A369" t="s">
        <v>757</v>
      </c>
      <c r="B369" s="3" t="str">
        <f>HYPERLINK("http://www.ncbi.nlm.nih.gov/gene/226169","Pprc1")</f>
        <v>Pprc1</v>
      </c>
      <c r="C369">
        <v>226169</v>
      </c>
      <c r="D369" t="s">
        <v>758</v>
      </c>
      <c r="E369" s="3" t="str">
        <f>HYPERLINK("http://genome.ucsc.edu/cgi-bin/hgTracks?db=mm10&amp;lastVirtModeType=default&amp;lastVirtModeExtraState=&amp;virtModeType=default&amp;virtMode=0&amp;nonVirtPosition=&amp;position=chr19:46056538-46072909","chr19:46056538-46072909")</f>
        <v>chr19:46056538-46072909</v>
      </c>
      <c r="F369" t="s">
        <v>30</v>
      </c>
      <c r="G369">
        <v>1.2704710533472601</v>
      </c>
      <c r="H369">
        <v>0.23284316085825399</v>
      </c>
      <c r="I369">
        <v>5.4563382865287302</v>
      </c>
      <c r="J369" s="1">
        <v>4.8605352646534502E-8</v>
      </c>
      <c r="K369" s="1">
        <v>1.77834501991733E-6</v>
      </c>
      <c r="L369" t="s">
        <v>26</v>
      </c>
      <c r="M369" t="s">
        <v>27</v>
      </c>
      <c r="N369">
        <v>292.63829091403397</v>
      </c>
      <c r="O369">
        <v>150.356136744596</v>
      </c>
      <c r="P369">
        <v>399.34990654111198</v>
      </c>
      <c r="Q369">
        <v>89.643599906921693</v>
      </c>
      <c r="R369">
        <v>139.94506405689401</v>
      </c>
      <c r="S369">
        <v>221.479746269971</v>
      </c>
      <c r="T369">
        <v>421.63183383347598</v>
      </c>
      <c r="U369">
        <v>471.076484094818</v>
      </c>
      <c r="V369">
        <v>361.20592932715698</v>
      </c>
      <c r="W369">
        <v>343.48537890899701</v>
      </c>
    </row>
    <row r="370" spans="1:23" x14ac:dyDescent="0.2">
      <c r="A370" t="s">
        <v>759</v>
      </c>
      <c r="B370" s="3" t="str">
        <f>HYPERLINK("http://www.ncbi.nlm.nih.gov/gene/19262","Ptpra")</f>
        <v>Ptpra</v>
      </c>
      <c r="C370">
        <v>19262</v>
      </c>
      <c r="D370" t="s">
        <v>760</v>
      </c>
      <c r="E370" s="3" t="str">
        <f>HYPERLINK("http://genome.ucsc.edu/cgi-bin/hgTracks?db=mm10&amp;lastVirtModeType=default&amp;lastVirtModeExtraState=&amp;virtModeType=default&amp;virtMode=0&amp;nonVirtPosition=&amp;position=chr2:130450277-130554300","chr2:130450277-130554300")</f>
        <v>chr2:130450277-130554300</v>
      </c>
      <c r="F370" t="s">
        <v>30</v>
      </c>
      <c r="G370">
        <v>-0.71206403347167002</v>
      </c>
      <c r="H370">
        <v>0.13054975911109601</v>
      </c>
      <c r="I370">
        <v>-5.4543496542625798</v>
      </c>
      <c r="J370" s="1">
        <v>4.9152401114154301E-8</v>
      </c>
      <c r="K370" s="1">
        <v>1.7934599545494301E-6</v>
      </c>
      <c r="L370" t="s">
        <v>26</v>
      </c>
      <c r="M370" t="s">
        <v>27</v>
      </c>
      <c r="N370">
        <v>745.86755741908405</v>
      </c>
      <c r="O370">
        <v>967.57805587391101</v>
      </c>
      <c r="P370">
        <v>579.58468357796301</v>
      </c>
      <c r="Q370">
        <v>1062.9169703249299</v>
      </c>
      <c r="R370">
        <v>1006.16329252829</v>
      </c>
      <c r="S370">
        <v>833.65390476851201</v>
      </c>
      <c r="T370">
        <v>545.37161115416995</v>
      </c>
      <c r="U370">
        <v>599.55188884794995</v>
      </c>
      <c r="V370">
        <v>641.48996002704905</v>
      </c>
      <c r="W370">
        <v>531.92527428268295</v>
      </c>
    </row>
    <row r="371" spans="1:23" x14ac:dyDescent="0.2">
      <c r="A371" t="s">
        <v>761</v>
      </c>
      <c r="B371" s="3" t="str">
        <f>HYPERLINK("http://www.ncbi.nlm.nih.gov/gene/192196","Luc7l2")</f>
        <v>Luc7l2</v>
      </c>
      <c r="C371">
        <v>192196</v>
      </c>
      <c r="D371" t="s">
        <v>762</v>
      </c>
      <c r="E371" s="3" t="str">
        <f>HYPERLINK("http://genome.ucsc.edu/cgi-bin/hgTracks?db=mm10&amp;lastVirtModeType=default&amp;lastVirtModeExtraState=&amp;virtModeType=default&amp;virtMode=0&amp;nonVirtPosition=&amp;position=chr6:38551333-38609470","chr6:38551333-38609470")</f>
        <v>chr6:38551333-38609470</v>
      </c>
      <c r="F371" t="s">
        <v>30</v>
      </c>
      <c r="G371">
        <v>0.59978597361518704</v>
      </c>
      <c r="H371">
        <v>0.110010743538821</v>
      </c>
      <c r="I371">
        <v>5.4520672647170398</v>
      </c>
      <c r="J371" s="1">
        <v>4.9787615406992702E-8</v>
      </c>
      <c r="K371" s="1">
        <v>1.8117009725952099E-6</v>
      </c>
      <c r="L371" t="s">
        <v>26</v>
      </c>
      <c r="M371" t="s">
        <v>27</v>
      </c>
      <c r="N371">
        <v>1013.4341528467399</v>
      </c>
      <c r="O371">
        <v>778.78997935914094</v>
      </c>
      <c r="P371">
        <v>1189.4172829624299</v>
      </c>
      <c r="Q371">
        <v>753.34031474574601</v>
      </c>
      <c r="R371">
        <v>745.23591022167204</v>
      </c>
      <c r="S371">
        <v>837.79371311000602</v>
      </c>
      <c r="T371">
        <v>1237.39777320694</v>
      </c>
      <c r="U371">
        <v>1047.07454873803</v>
      </c>
      <c r="V371">
        <v>1219.7137084000501</v>
      </c>
      <c r="W371">
        <v>1253.48310150471</v>
      </c>
    </row>
    <row r="372" spans="1:23" x14ac:dyDescent="0.2">
      <c r="A372" t="s">
        <v>763</v>
      </c>
      <c r="B372" s="3" t="str">
        <f>HYPERLINK("http://www.ncbi.nlm.nih.gov/gene/106489","Sft2d1")</f>
        <v>Sft2d1</v>
      </c>
      <c r="C372">
        <v>106489</v>
      </c>
      <c r="D372" t="s">
        <v>764</v>
      </c>
      <c r="E372" s="3" t="str">
        <f>HYPERLINK("http://genome.ucsc.edu/cgi-bin/hgTracks?db=mm10&amp;lastVirtModeType=default&amp;lastVirtModeExtraState=&amp;virtModeType=default&amp;virtMode=0&amp;nonVirtPosition=&amp;position=chr17:8311102-8327442","chr17:8311102-8327442")</f>
        <v>chr17:8311102-8327442</v>
      </c>
      <c r="F372" t="s">
        <v>30</v>
      </c>
      <c r="G372">
        <v>1.28920884807905</v>
      </c>
      <c r="H372">
        <v>0.23653609399827899</v>
      </c>
      <c r="I372">
        <v>5.4503683826301499</v>
      </c>
      <c r="J372" s="1">
        <v>5.0265591394479701E-8</v>
      </c>
      <c r="K372" s="1">
        <v>1.82413694949452E-6</v>
      </c>
      <c r="L372" t="s">
        <v>26</v>
      </c>
      <c r="M372" t="s">
        <v>27</v>
      </c>
      <c r="N372">
        <v>57.530680716669501</v>
      </c>
      <c r="O372">
        <v>28.342168460529098</v>
      </c>
      <c r="P372">
        <v>79.4220649087749</v>
      </c>
      <c r="Q372">
        <v>24.498872024251899</v>
      </c>
      <c r="R372">
        <v>28.4441187107508</v>
      </c>
      <c r="S372">
        <v>32.083514646584597</v>
      </c>
      <c r="T372">
        <v>91.659094311625296</v>
      </c>
      <c r="U372">
        <v>89.932783327192496</v>
      </c>
      <c r="V372">
        <v>57.380982662969998</v>
      </c>
      <c r="W372">
        <v>78.715399333311794</v>
      </c>
    </row>
    <row r="373" spans="1:23" x14ac:dyDescent="0.2">
      <c r="A373" t="s">
        <v>765</v>
      </c>
      <c r="B373" s="3" t="str">
        <f>HYPERLINK("http://www.ncbi.nlm.nih.gov/gene/72729","Cdc42se2")</f>
        <v>Cdc42se2</v>
      </c>
      <c r="C373">
        <v>72729</v>
      </c>
      <c r="D373" t="s">
        <v>766</v>
      </c>
      <c r="E373" s="3" t="str">
        <f>HYPERLINK("http://genome.ucsc.edu/cgi-bin/hgTracks?db=mm10&amp;lastVirtModeType=default&amp;lastVirtModeExtraState=&amp;virtModeType=default&amp;virtMode=0&amp;nonVirtPosition=&amp;position=chr11:54717414-54787703","chr11:54717414-54787703")</f>
        <v>chr11:54717414-54787703</v>
      </c>
      <c r="F373" t="s">
        <v>25</v>
      </c>
      <c r="G373">
        <v>-0.55941047616995798</v>
      </c>
      <c r="H373">
        <v>0.102673724067009</v>
      </c>
      <c r="I373">
        <v>-5.4484288093501103</v>
      </c>
      <c r="J373" s="1">
        <v>5.0816723448806798E-8</v>
      </c>
      <c r="K373" s="1">
        <v>1.83915336135938E-6</v>
      </c>
      <c r="L373" t="s">
        <v>26</v>
      </c>
      <c r="M373" t="s">
        <v>27</v>
      </c>
      <c r="N373">
        <v>784.52941032421995</v>
      </c>
      <c r="O373">
        <v>965.38371300376605</v>
      </c>
      <c r="P373">
        <v>648.88868331456194</v>
      </c>
      <c r="Q373">
        <v>962.13751949789298</v>
      </c>
      <c r="R373">
        <v>922.34795606061402</v>
      </c>
      <c r="S373">
        <v>1011.66566345279</v>
      </c>
      <c r="T373">
        <v>655.36252432812103</v>
      </c>
      <c r="U373">
        <v>614.54068606914905</v>
      </c>
      <c r="V373">
        <v>695.92832819448199</v>
      </c>
      <c r="W373">
        <v>629.72319466649503</v>
      </c>
    </row>
    <row r="374" spans="1:23" x14ac:dyDescent="0.2">
      <c r="A374" t="s">
        <v>767</v>
      </c>
      <c r="B374" s="3" t="str">
        <f>HYPERLINK("http://www.ncbi.nlm.nih.gov/gene/17751","Mt3")</f>
        <v>Mt3</v>
      </c>
      <c r="C374">
        <v>17751</v>
      </c>
      <c r="D374" t="s">
        <v>768</v>
      </c>
      <c r="E374" s="3" t="str">
        <f>HYPERLINK("http://genome.ucsc.edu/cgi-bin/hgTracks?db=mm10&amp;lastVirtModeType=default&amp;lastVirtModeExtraState=&amp;virtModeType=default&amp;virtMode=0&amp;nonVirtPosition=&amp;position=chr8:94152606-94154148","chr8:94152606-94154148")</f>
        <v>chr8:94152606-94154148</v>
      </c>
      <c r="F374" t="s">
        <v>30</v>
      </c>
      <c r="G374">
        <v>-0.77000631305971901</v>
      </c>
      <c r="H374">
        <v>0.14146432433342401</v>
      </c>
      <c r="I374">
        <v>-5.4431130724157404</v>
      </c>
      <c r="J374" s="1">
        <v>5.2357388274368697E-8</v>
      </c>
      <c r="K374" s="1">
        <v>1.88980535412957E-6</v>
      </c>
      <c r="L374" t="s">
        <v>26</v>
      </c>
      <c r="M374" t="s">
        <v>27</v>
      </c>
      <c r="N374">
        <v>272.03090736830899</v>
      </c>
      <c r="O374">
        <v>361.705560262576</v>
      </c>
      <c r="P374">
        <v>204.77491769760999</v>
      </c>
      <c r="Q374">
        <v>403.11780330814503</v>
      </c>
      <c r="R374">
        <v>345.12197369044401</v>
      </c>
      <c r="S374">
        <v>336.876903789138</v>
      </c>
      <c r="T374">
        <v>178.735233907669</v>
      </c>
      <c r="U374">
        <v>201.27813411323999</v>
      </c>
      <c r="V374">
        <v>199.362132072626</v>
      </c>
      <c r="W374">
        <v>239.724170696904</v>
      </c>
    </row>
    <row r="375" spans="1:23" x14ac:dyDescent="0.2">
      <c r="A375" t="s">
        <v>769</v>
      </c>
      <c r="B375" s="3" t="str">
        <f>HYPERLINK("http://www.ncbi.nlm.nih.gov/gene/15902","Id2")</f>
        <v>Id2</v>
      </c>
      <c r="C375">
        <v>15902</v>
      </c>
      <c r="D375" t="s">
        <v>770</v>
      </c>
      <c r="E375" s="3" t="str">
        <f>HYPERLINK("http://genome.ucsc.edu/cgi-bin/hgTracks?db=mm10&amp;lastVirtModeType=default&amp;lastVirtModeExtraState=&amp;virtModeType=default&amp;virtMode=0&amp;nonVirtPosition=&amp;position=chr12:25093798-25096092","chr12:25093798-25096092")</f>
        <v>chr12:25093798-25096092</v>
      </c>
      <c r="F375" t="s">
        <v>25</v>
      </c>
      <c r="G375">
        <v>-0.79444343423863395</v>
      </c>
      <c r="H375">
        <v>0.14605732418138101</v>
      </c>
      <c r="I375">
        <v>-5.4392577619185696</v>
      </c>
      <c r="J375" s="1">
        <v>5.3503000394965097E-8</v>
      </c>
      <c r="K375" s="1">
        <v>1.92596418894887E-6</v>
      </c>
      <c r="L375" t="s">
        <v>26</v>
      </c>
      <c r="M375" t="s">
        <v>27</v>
      </c>
      <c r="N375">
        <v>369.610633716373</v>
      </c>
      <c r="O375">
        <v>491.29669519605397</v>
      </c>
      <c r="P375">
        <v>278.346087606612</v>
      </c>
      <c r="Q375">
        <v>448.21799953460902</v>
      </c>
      <c r="R375">
        <v>574.95045287331004</v>
      </c>
      <c r="S375">
        <v>450.721633180244</v>
      </c>
      <c r="T375">
        <v>261.22841878813199</v>
      </c>
      <c r="U375">
        <v>325.47102537460103</v>
      </c>
      <c r="V375">
        <v>271.456187213281</v>
      </c>
      <c r="W375">
        <v>255.22871905043499</v>
      </c>
    </row>
    <row r="376" spans="1:23" x14ac:dyDescent="0.2">
      <c r="A376" t="s">
        <v>771</v>
      </c>
      <c r="B376" s="3" t="str">
        <f>HYPERLINK("http://www.ncbi.nlm.nih.gov/gene/230837","Asap3")</f>
        <v>Asap3</v>
      </c>
      <c r="C376">
        <v>230837</v>
      </c>
      <c r="D376" t="s">
        <v>772</v>
      </c>
      <c r="E376" s="3" t="str">
        <f>HYPERLINK("http://genome.ucsc.edu/cgi-bin/hgTracks?db=mm10&amp;lastVirtModeType=default&amp;lastVirtModeExtraState=&amp;virtModeType=default&amp;virtMode=0&amp;nonVirtPosition=&amp;position=chr4:136206364-136246573","chr4:136206364-136246573")</f>
        <v>chr4:136206364-136246573</v>
      </c>
      <c r="F376" t="s">
        <v>30</v>
      </c>
      <c r="G376">
        <v>1.31845521945069</v>
      </c>
      <c r="H376">
        <v>0.24253989459546901</v>
      </c>
      <c r="I376">
        <v>5.4360344373437304</v>
      </c>
      <c r="J376" s="1">
        <v>5.4479429945430801E-8</v>
      </c>
      <c r="K376" s="1">
        <v>1.9558553522768502E-6</v>
      </c>
      <c r="L376" t="s">
        <v>26</v>
      </c>
      <c r="M376" t="s">
        <v>27</v>
      </c>
      <c r="N376">
        <v>158.60870182141699</v>
      </c>
      <c r="O376">
        <v>79.279448493214403</v>
      </c>
      <c r="P376">
        <v>218.10564181756999</v>
      </c>
      <c r="Q376">
        <v>120.26718993723701</v>
      </c>
      <c r="R376">
        <v>56.508982505358297</v>
      </c>
      <c r="S376">
        <v>61.062173037047998</v>
      </c>
      <c r="T376">
        <v>229.147735779063</v>
      </c>
      <c r="U376">
        <v>162.735512687301</v>
      </c>
      <c r="V376">
        <v>232.46654514741701</v>
      </c>
      <c r="W376">
        <v>248.07277365649799</v>
      </c>
    </row>
    <row r="377" spans="1:23" x14ac:dyDescent="0.2">
      <c r="A377" t="s">
        <v>773</v>
      </c>
      <c r="B377" s="3" t="str">
        <f>HYPERLINK("http://www.ncbi.nlm.nih.gov/gene/226412","R3hdm1")</f>
        <v>R3hdm1</v>
      </c>
      <c r="C377">
        <v>226412</v>
      </c>
      <c r="D377" t="s">
        <v>774</v>
      </c>
      <c r="E377" s="3" t="str">
        <f>HYPERLINK("http://genome.ucsc.edu/cgi-bin/hgTracks?db=mm10&amp;lastVirtModeType=default&amp;lastVirtModeExtraState=&amp;virtModeType=default&amp;virtMode=0&amp;nonVirtPosition=&amp;position=chr1:128103305-128237735","chr1:128103305-128237735")</f>
        <v>chr1:128103305-128237735</v>
      </c>
      <c r="F377" t="s">
        <v>30</v>
      </c>
      <c r="G377">
        <v>0.682031024554972</v>
      </c>
      <c r="H377">
        <v>0.12548252523202899</v>
      </c>
      <c r="I377">
        <v>5.43526696879771</v>
      </c>
      <c r="J377" s="1">
        <v>5.4714449358431802E-8</v>
      </c>
      <c r="K377" s="1">
        <v>1.95904061860631E-6</v>
      </c>
      <c r="L377" t="s">
        <v>26</v>
      </c>
      <c r="M377" t="s">
        <v>27</v>
      </c>
      <c r="N377">
        <v>625.46194454185104</v>
      </c>
      <c r="O377">
        <v>461.58928225225497</v>
      </c>
      <c r="P377">
        <v>748.36644125904797</v>
      </c>
      <c r="Q377">
        <v>424.83271260236802</v>
      </c>
      <c r="R377">
        <v>431.59209457112598</v>
      </c>
      <c r="S377">
        <v>528.34303958327098</v>
      </c>
      <c r="T377">
        <v>751.60457335532703</v>
      </c>
      <c r="U377">
        <v>685.20215868337095</v>
      </c>
      <c r="V377">
        <v>734.91797026034601</v>
      </c>
      <c r="W377">
        <v>821.74106273714904</v>
      </c>
    </row>
    <row r="378" spans="1:23" x14ac:dyDescent="0.2">
      <c r="A378" t="s">
        <v>775</v>
      </c>
      <c r="B378" s="3" t="str">
        <f>HYPERLINK("http://www.ncbi.nlm.nih.gov/gene/11306","Abcb7")</f>
        <v>Abcb7</v>
      </c>
      <c r="C378">
        <v>11306</v>
      </c>
      <c r="D378" t="s">
        <v>776</v>
      </c>
      <c r="E378" s="3" t="str">
        <f>HYPERLINK("http://genome.ucsc.edu/cgi-bin/hgTracks?db=mm10&amp;lastVirtModeType=default&amp;lastVirtModeExtraState=&amp;virtModeType=default&amp;virtMode=0&amp;nonVirtPosition=&amp;position=chrX:104280564-104413846","chrX:104280564-104413846")</f>
        <v>chrX:104280564-104413846</v>
      </c>
      <c r="F378" t="s">
        <v>25</v>
      </c>
      <c r="G378">
        <v>-0.74641789137585002</v>
      </c>
      <c r="H378">
        <v>0.13743169756591</v>
      </c>
      <c r="I378">
        <v>-5.4311916726334601</v>
      </c>
      <c r="J378" s="1">
        <v>5.5978968516540501E-8</v>
      </c>
      <c r="K378" s="1">
        <v>1.99897164641332E-6</v>
      </c>
      <c r="L378" t="s">
        <v>26</v>
      </c>
      <c r="M378" t="s">
        <v>27</v>
      </c>
      <c r="N378">
        <v>376.07550965954698</v>
      </c>
      <c r="O378">
        <v>496.39421173051397</v>
      </c>
      <c r="P378">
        <v>285.83648310632202</v>
      </c>
      <c r="Q378">
        <v>527.28254106742202</v>
      </c>
      <c r="R378">
        <v>491.514371321775</v>
      </c>
      <c r="S378">
        <v>470.38572280234501</v>
      </c>
      <c r="T378">
        <v>270.39432821929501</v>
      </c>
      <c r="U378">
        <v>237.67949879329399</v>
      </c>
      <c r="V378">
        <v>334.72239886732501</v>
      </c>
      <c r="W378">
        <v>300.54970654537198</v>
      </c>
    </row>
    <row r="379" spans="1:23" x14ac:dyDescent="0.2">
      <c r="A379" t="s">
        <v>777</v>
      </c>
      <c r="B379" s="3" t="str">
        <f>HYPERLINK("http://www.ncbi.nlm.nih.gov/gene/20377","Sfrp1")</f>
        <v>Sfrp1</v>
      </c>
      <c r="C379">
        <v>20377</v>
      </c>
      <c r="D379" t="s">
        <v>778</v>
      </c>
      <c r="E379" s="3" t="str">
        <f>HYPERLINK("http://genome.ucsc.edu/cgi-bin/hgTracks?db=mm10&amp;lastVirtModeType=default&amp;lastVirtModeExtraState=&amp;virtModeType=default&amp;virtMode=0&amp;nonVirtPosition=&amp;position=chr8:23411501-23449632","chr8:23411501-23449632")</f>
        <v>chr8:23411501-23449632</v>
      </c>
      <c r="F379" t="s">
        <v>30</v>
      </c>
      <c r="G379">
        <v>1.50216835726416</v>
      </c>
      <c r="H379">
        <v>0.276645497730796</v>
      </c>
      <c r="I379">
        <v>5.4299396505123001</v>
      </c>
      <c r="J379" s="1">
        <v>5.6373111830448099E-8</v>
      </c>
      <c r="K379" s="1">
        <v>2.0042718037730399E-6</v>
      </c>
      <c r="L379" t="s">
        <v>26</v>
      </c>
      <c r="M379" t="s">
        <v>27</v>
      </c>
      <c r="N379">
        <v>43.140213747774197</v>
      </c>
      <c r="O379">
        <v>18.0883728560351</v>
      </c>
      <c r="P379">
        <v>61.9290944165786</v>
      </c>
      <c r="Q379">
        <v>25.055664570257601</v>
      </c>
      <c r="R379">
        <v>17.824981058737201</v>
      </c>
      <c r="S379">
        <v>11.3844729391106</v>
      </c>
      <c r="T379">
        <v>77.910230164881497</v>
      </c>
      <c r="U379">
        <v>47.107648409481797</v>
      </c>
      <c r="V379">
        <v>55.909675415201498</v>
      </c>
      <c r="W379">
        <v>66.788823676749402</v>
      </c>
    </row>
    <row r="380" spans="1:23" x14ac:dyDescent="0.2">
      <c r="A380" t="s">
        <v>779</v>
      </c>
      <c r="B380" s="3" t="str">
        <f>HYPERLINK("http://www.ncbi.nlm.nih.gov/gene/100503538","Gm15941")</f>
        <v>Gm15941</v>
      </c>
      <c r="C380">
        <v>100503538</v>
      </c>
      <c r="D380" t="s">
        <v>780</v>
      </c>
      <c r="E380" s="3" t="str">
        <f>HYPERLINK("http://genome.ucsc.edu/cgi-bin/hgTracks?db=mm10&amp;lastVirtModeType=default&amp;lastVirtModeExtraState=&amp;virtModeType=default&amp;virtMode=0&amp;nonVirtPosition=&amp;position=chr15:37421132-37432664","chr15:37421132-37432664")</f>
        <v>chr15:37421132-37432664</v>
      </c>
      <c r="F380" t="s">
        <v>25</v>
      </c>
      <c r="G380">
        <v>1.48808325371932</v>
      </c>
      <c r="H380">
        <v>0.274060092089353</v>
      </c>
      <c r="I380">
        <v>5.4297699543724702</v>
      </c>
      <c r="J380" s="1">
        <v>5.6426739602900098E-8</v>
      </c>
      <c r="K380" s="1">
        <v>2.0042718037730399E-6</v>
      </c>
      <c r="L380" t="s">
        <v>26</v>
      </c>
      <c r="M380" t="s">
        <v>27</v>
      </c>
      <c r="N380">
        <v>68.276253568697797</v>
      </c>
      <c r="O380">
        <v>29.408940725456699</v>
      </c>
      <c r="P380">
        <v>97.426738201128501</v>
      </c>
      <c r="Q380">
        <v>30.623590030314901</v>
      </c>
      <c r="R380">
        <v>15.1701966457338</v>
      </c>
      <c r="S380">
        <v>42.433035500321502</v>
      </c>
      <c r="T380">
        <v>105.407958458369</v>
      </c>
      <c r="U380">
        <v>104.92158054839101</v>
      </c>
      <c r="V380">
        <v>87.542781242223398</v>
      </c>
      <c r="W380">
        <v>91.834632555530504</v>
      </c>
    </row>
    <row r="381" spans="1:23" x14ac:dyDescent="0.2">
      <c r="A381" t="s">
        <v>781</v>
      </c>
      <c r="B381" s="3" t="str">
        <f>HYPERLINK("http://www.ncbi.nlm.nih.gov/gene/19242","Ptn")</f>
        <v>Ptn</v>
      </c>
      <c r="C381">
        <v>19242</v>
      </c>
      <c r="D381" t="s">
        <v>782</v>
      </c>
      <c r="E381" s="3" t="str">
        <f>HYPERLINK("http://genome.ucsc.edu/cgi-bin/hgTracks?db=mm10&amp;lastVirtModeType=default&amp;lastVirtModeExtraState=&amp;virtModeType=default&amp;virtMode=0&amp;nonVirtPosition=&amp;position=chr6:36715662-36811361","chr6:36715662-36811361")</f>
        <v>chr6:36715662-36811361</v>
      </c>
      <c r="F381" t="s">
        <v>25</v>
      </c>
      <c r="G381">
        <v>-0.72929149328071396</v>
      </c>
      <c r="H381">
        <v>0.13434100403747501</v>
      </c>
      <c r="I381">
        <v>-5.42865894524114</v>
      </c>
      <c r="J381" s="1">
        <v>5.67790666683903E-8</v>
      </c>
      <c r="K381" s="1">
        <v>2.0066170016879099E-6</v>
      </c>
      <c r="L381" t="s">
        <v>26</v>
      </c>
      <c r="M381" t="s">
        <v>27</v>
      </c>
      <c r="N381">
        <v>2021.2121868148499</v>
      </c>
      <c r="O381">
        <v>2628.2718830075301</v>
      </c>
      <c r="P381">
        <v>1565.9174146703399</v>
      </c>
      <c r="Q381">
        <v>2938.19426527221</v>
      </c>
      <c r="R381">
        <v>2474.6383278353201</v>
      </c>
      <c r="S381">
        <v>2471.9830559150701</v>
      </c>
      <c r="T381">
        <v>1617.78301460019</v>
      </c>
      <c r="U381">
        <v>1815.7857205109301</v>
      </c>
      <c r="V381">
        <v>1466.8933260251499</v>
      </c>
      <c r="W381">
        <v>1363.20759754508</v>
      </c>
    </row>
    <row r="382" spans="1:23" x14ac:dyDescent="0.2">
      <c r="A382" t="s">
        <v>783</v>
      </c>
      <c r="B382" s="3" t="str">
        <f>HYPERLINK("http://www.ncbi.nlm.nih.gov/gene/68298","Ncapd2")</f>
        <v>Ncapd2</v>
      </c>
      <c r="C382">
        <v>68298</v>
      </c>
      <c r="D382" t="s">
        <v>784</v>
      </c>
      <c r="E382" s="3" t="str">
        <f>HYPERLINK("http://genome.ucsc.edu/cgi-bin/hgTracks?db=mm10&amp;lastVirtModeType=default&amp;lastVirtModeExtraState=&amp;virtModeType=default&amp;virtMode=0&amp;nonVirtPosition=&amp;position=chr6:125168006-125191586","chr6:125168006-125191586")</f>
        <v>chr6:125168006-125191586</v>
      </c>
      <c r="F382" t="s">
        <v>25</v>
      </c>
      <c r="G382">
        <v>0.84806908112901802</v>
      </c>
      <c r="H382">
        <v>0.15622194493212699</v>
      </c>
      <c r="I382">
        <v>5.4286168405948096</v>
      </c>
      <c r="J382" s="1">
        <v>5.6792460879674299E-8</v>
      </c>
      <c r="K382" s="1">
        <v>2.0066170016879099E-6</v>
      </c>
      <c r="L382" t="s">
        <v>26</v>
      </c>
      <c r="M382" t="s">
        <v>27</v>
      </c>
      <c r="N382">
        <v>2157.16522596389</v>
      </c>
      <c r="O382">
        <v>1451.28292797477</v>
      </c>
      <c r="P382">
        <v>2686.5769494557198</v>
      </c>
      <c r="Q382">
        <v>1291.75870673328</v>
      </c>
      <c r="R382">
        <v>1532.9483710514</v>
      </c>
      <c r="S382">
        <v>1529.1417061396301</v>
      </c>
      <c r="T382">
        <v>3194.31943676014</v>
      </c>
      <c r="U382">
        <v>2967.7818497973499</v>
      </c>
      <c r="V382">
        <v>2129.71724114485</v>
      </c>
      <c r="W382">
        <v>2454.4892701205399</v>
      </c>
    </row>
    <row r="383" spans="1:23" x14ac:dyDescent="0.2">
      <c r="A383" t="s">
        <v>785</v>
      </c>
      <c r="B383" s="3" t="str">
        <f>HYPERLINK("http://www.ncbi.nlm.nih.gov/gene/12265","Ciita")</f>
        <v>Ciita</v>
      </c>
      <c r="C383">
        <v>12265</v>
      </c>
      <c r="D383" t="s">
        <v>786</v>
      </c>
      <c r="E383" s="3" t="str">
        <f>HYPERLINK("http://genome.ucsc.edu/cgi-bin/hgTracks?db=mm10&amp;lastVirtModeType=default&amp;lastVirtModeExtraState=&amp;virtModeType=default&amp;virtMode=0&amp;nonVirtPosition=&amp;position=chr16:10480071-10527640","chr16:10480071-10527640")</f>
        <v>chr16:10480071-10527640</v>
      </c>
      <c r="F383" t="s">
        <v>30</v>
      </c>
      <c r="G383">
        <v>2.0772078531730802</v>
      </c>
      <c r="H383">
        <v>0.38273306529814499</v>
      </c>
      <c r="I383">
        <v>5.4273017972851703</v>
      </c>
      <c r="J383" s="1">
        <v>5.7212343396938701E-8</v>
      </c>
      <c r="K383" s="1">
        <v>2.01613286954844E-6</v>
      </c>
      <c r="L383" t="s">
        <v>26</v>
      </c>
      <c r="M383" t="s">
        <v>27</v>
      </c>
      <c r="N383">
        <v>113.375386502659</v>
      </c>
      <c r="O383">
        <v>17.781811560903801</v>
      </c>
      <c r="P383">
        <v>185.07056770897501</v>
      </c>
      <c r="Q383">
        <v>22.271701840228999</v>
      </c>
      <c r="R383">
        <v>15.549451561877101</v>
      </c>
      <c r="S383">
        <v>15.5242812806054</v>
      </c>
      <c r="T383">
        <v>329.972739521851</v>
      </c>
      <c r="U383">
        <v>66.378959122451604</v>
      </c>
      <c r="V383">
        <v>112.555004454287</v>
      </c>
      <c r="W383">
        <v>231.375567737311</v>
      </c>
    </row>
    <row r="384" spans="1:23" x14ac:dyDescent="0.2">
      <c r="A384" t="s">
        <v>787</v>
      </c>
      <c r="B384" s="3" t="str">
        <f>HYPERLINK("http://www.ncbi.nlm.nih.gov/gene/15284","Hlx")</f>
        <v>Hlx</v>
      </c>
      <c r="C384">
        <v>15284</v>
      </c>
      <c r="D384" t="s">
        <v>788</v>
      </c>
      <c r="E384" s="3" t="str">
        <f>HYPERLINK("http://genome.ucsc.edu/cgi-bin/hgTracks?db=mm10&amp;lastVirtModeType=default&amp;lastVirtModeExtraState=&amp;virtModeType=default&amp;virtMode=0&amp;nonVirtPosition=&amp;position=chr1:184727144-184732493","chr1:184727144-184732493")</f>
        <v>chr1:184727144-184732493</v>
      </c>
      <c r="F384" t="s">
        <v>25</v>
      </c>
      <c r="G384">
        <v>1.60037926471794</v>
      </c>
      <c r="H384">
        <v>0.29496441519731798</v>
      </c>
      <c r="I384">
        <v>5.42566893585236</v>
      </c>
      <c r="J384" s="1">
        <v>5.7737890532956798E-8</v>
      </c>
      <c r="K384" s="1">
        <v>2.0242922283637401E-6</v>
      </c>
      <c r="L384" t="s">
        <v>26</v>
      </c>
      <c r="M384" t="s">
        <v>27</v>
      </c>
      <c r="N384">
        <v>43.232846047583998</v>
      </c>
      <c r="O384">
        <v>16.665301353106099</v>
      </c>
      <c r="P384">
        <v>63.158504568442297</v>
      </c>
      <c r="Q384">
        <v>10.0222658281031</v>
      </c>
      <c r="R384">
        <v>16.6872163103072</v>
      </c>
      <c r="S384">
        <v>23.286421920908101</v>
      </c>
      <c r="T384">
        <v>59.578411302556397</v>
      </c>
      <c r="U384">
        <v>64.237702376566105</v>
      </c>
      <c r="V384">
        <v>44.139217433053801</v>
      </c>
      <c r="W384">
        <v>84.678687161593004</v>
      </c>
    </row>
    <row r="385" spans="1:23" x14ac:dyDescent="0.2">
      <c r="A385" t="s">
        <v>789</v>
      </c>
      <c r="B385" s="3" t="str">
        <f>HYPERLINK("http://www.ncbi.nlm.nih.gov/gene/57436","Gabarapl1")</f>
        <v>Gabarapl1</v>
      </c>
      <c r="C385">
        <v>57436</v>
      </c>
      <c r="D385" t="s">
        <v>790</v>
      </c>
      <c r="E385" s="3" t="str">
        <f>HYPERLINK("http://genome.ucsc.edu/cgi-bin/hgTracks?db=mm10&amp;lastVirtModeType=default&amp;lastVirtModeExtraState=&amp;virtModeType=default&amp;virtMode=0&amp;nonVirtPosition=&amp;position=chr6:129533191-129542331","chr6:129533191-129542331")</f>
        <v>chr6:129533191-129542331</v>
      </c>
      <c r="F385" t="s">
        <v>30</v>
      </c>
      <c r="G385">
        <v>-0.94350592148630197</v>
      </c>
      <c r="H385">
        <v>0.173904573959971</v>
      </c>
      <c r="I385">
        <v>-5.4254232651952803</v>
      </c>
      <c r="J385" s="1">
        <v>5.7817365006211698E-8</v>
      </c>
      <c r="K385" s="1">
        <v>2.0242922283637401E-6</v>
      </c>
      <c r="L385" t="s">
        <v>26</v>
      </c>
      <c r="M385" t="s">
        <v>27</v>
      </c>
      <c r="N385">
        <v>443.13005606100398</v>
      </c>
      <c r="O385">
        <v>621.40741300960497</v>
      </c>
      <c r="P385">
        <v>309.42203834955399</v>
      </c>
      <c r="Q385">
        <v>801.22447370223801</v>
      </c>
      <c r="R385">
        <v>577.60523728631404</v>
      </c>
      <c r="S385">
        <v>485.39252804026302</v>
      </c>
      <c r="T385">
        <v>270.39432821929501</v>
      </c>
      <c r="U385">
        <v>319.04725513694501</v>
      </c>
      <c r="V385">
        <v>311.91713652691402</v>
      </c>
      <c r="W385">
        <v>336.32943351505997</v>
      </c>
    </row>
    <row r="386" spans="1:23" x14ac:dyDescent="0.2">
      <c r="A386" t="s">
        <v>791</v>
      </c>
      <c r="B386" s="3" t="str">
        <f>HYPERLINK("http://www.ncbi.nlm.nih.gov/gene/19276","Ptprn2")</f>
        <v>Ptprn2</v>
      </c>
      <c r="C386">
        <v>19276</v>
      </c>
      <c r="D386" t="s">
        <v>792</v>
      </c>
      <c r="E386" s="3" t="str">
        <f>HYPERLINK("http://genome.ucsc.edu/cgi-bin/hgTracks?db=mm10&amp;lastVirtModeType=default&amp;lastVirtModeExtraState=&amp;virtModeType=default&amp;virtMode=0&amp;nonVirtPosition=&amp;position=chr12:116485719-117278167","chr12:116485719-117278167")</f>
        <v>chr12:116485719-117278167</v>
      </c>
      <c r="F386" t="s">
        <v>30</v>
      </c>
      <c r="G386">
        <v>-1.0302195396903</v>
      </c>
      <c r="H386">
        <v>0.189909528400626</v>
      </c>
      <c r="I386">
        <v>-5.42479120645796</v>
      </c>
      <c r="J386" s="1">
        <v>5.80223235528378E-8</v>
      </c>
      <c r="K386" s="1">
        <v>2.0242922283637401E-6</v>
      </c>
      <c r="L386" t="s">
        <v>26</v>
      </c>
      <c r="M386" t="s">
        <v>27</v>
      </c>
      <c r="N386">
        <v>293.37871725734601</v>
      </c>
      <c r="O386">
        <v>421.80372583112501</v>
      </c>
      <c r="P386">
        <v>197.059960827011</v>
      </c>
      <c r="Q386">
        <v>520.60103051535305</v>
      </c>
      <c r="R386">
        <v>419.83519217068198</v>
      </c>
      <c r="S386">
        <v>324.97495480734</v>
      </c>
      <c r="T386">
        <v>183.31818862325099</v>
      </c>
      <c r="U386">
        <v>205.56064760501101</v>
      </c>
      <c r="V386">
        <v>159.63683638287799</v>
      </c>
      <c r="W386">
        <v>239.724170696904</v>
      </c>
    </row>
    <row r="387" spans="1:23" x14ac:dyDescent="0.2">
      <c r="A387" t="s">
        <v>793</v>
      </c>
      <c r="B387" s="3" t="str">
        <f>HYPERLINK("http://www.ncbi.nlm.nih.gov/gene/268747","Carmil3")</f>
        <v>Carmil3</v>
      </c>
      <c r="C387">
        <v>268747</v>
      </c>
      <c r="D387" t="s">
        <v>794</v>
      </c>
      <c r="E387" s="3" t="str">
        <f>HYPERLINK("http://genome.ucsc.edu/cgi-bin/hgTracks?db=mm10&amp;lastVirtModeType=default&amp;lastVirtModeExtraState=&amp;virtModeType=default&amp;virtMode=0&amp;nonVirtPosition=&amp;position=chr14:55491092-55508264","chr14:55491092-55508264")</f>
        <v>chr14:55491092-55508264</v>
      </c>
      <c r="F387" t="s">
        <v>30</v>
      </c>
      <c r="G387">
        <v>0.992265659214699</v>
      </c>
      <c r="H387">
        <v>0.18291587459167399</v>
      </c>
      <c r="I387">
        <v>5.4247104655610201</v>
      </c>
      <c r="J387" s="1">
        <v>5.8048556171434198E-8</v>
      </c>
      <c r="K387" s="1">
        <v>2.0242922283637401E-6</v>
      </c>
      <c r="L387" t="s">
        <v>26</v>
      </c>
      <c r="M387" t="s">
        <v>27</v>
      </c>
      <c r="N387">
        <v>181.22825560254799</v>
      </c>
      <c r="O387">
        <v>111.794328005276</v>
      </c>
      <c r="P387">
        <v>233.30370130050099</v>
      </c>
      <c r="Q387">
        <v>125.278322851288</v>
      </c>
      <c r="R387">
        <v>99.364788029556294</v>
      </c>
      <c r="S387">
        <v>110.739873134985</v>
      </c>
      <c r="T387">
        <v>224.564781063482</v>
      </c>
      <c r="U387">
        <v>289.069660694547</v>
      </c>
      <c r="V387">
        <v>175.085562484447</v>
      </c>
      <c r="W387">
        <v>244.49480095952899</v>
      </c>
    </row>
    <row r="388" spans="1:23" x14ac:dyDescent="0.2">
      <c r="A388" t="s">
        <v>795</v>
      </c>
      <c r="B388" s="3" t="str">
        <f>HYPERLINK("http://www.ncbi.nlm.nih.gov/gene/108071","Grm5")</f>
        <v>Grm5</v>
      </c>
      <c r="C388">
        <v>108071</v>
      </c>
      <c r="D388" t="s">
        <v>796</v>
      </c>
      <c r="E388" s="3" t="str">
        <f>HYPERLINK("http://genome.ucsc.edu/cgi-bin/hgTracks?db=mm10&amp;lastVirtModeType=default&amp;lastVirtModeExtraState=&amp;virtModeType=default&amp;virtMode=0&amp;nonVirtPosition=&amp;position=chr7:87584167-88135063","chr7:87584167-88135063")</f>
        <v>chr7:87584167-88135063</v>
      </c>
      <c r="F388" t="s">
        <v>30</v>
      </c>
      <c r="G388">
        <v>-0.88705176631403504</v>
      </c>
      <c r="H388">
        <v>0.16357870551665399</v>
      </c>
      <c r="I388">
        <v>-5.4227826507877799</v>
      </c>
      <c r="J388" s="1">
        <v>5.86783248913255E-8</v>
      </c>
      <c r="K388" s="1">
        <v>2.0409388275837401E-6</v>
      </c>
      <c r="L388" t="s">
        <v>26</v>
      </c>
      <c r="M388" t="s">
        <v>27</v>
      </c>
      <c r="N388">
        <v>1592.2062583229099</v>
      </c>
      <c r="O388">
        <v>2185.5665744329099</v>
      </c>
      <c r="P388">
        <v>1147.1860212404199</v>
      </c>
      <c r="Q388">
        <v>2829.0629262550901</v>
      </c>
      <c r="R388">
        <v>1757.08802649212</v>
      </c>
      <c r="S388">
        <v>1970.54877055152</v>
      </c>
      <c r="T388">
        <v>1072.4114034460199</v>
      </c>
      <c r="U388">
        <v>1203.3862911876699</v>
      </c>
      <c r="V388">
        <v>1151.2979213788201</v>
      </c>
      <c r="W388">
        <v>1161.6484689491799</v>
      </c>
    </row>
    <row r="389" spans="1:23" x14ac:dyDescent="0.2">
      <c r="A389" t="s">
        <v>797</v>
      </c>
      <c r="B389" s="3" t="str">
        <f>HYPERLINK("http://www.ncbi.nlm.nih.gov/gene/244954","Prss35")</f>
        <v>Prss35</v>
      </c>
      <c r="C389">
        <v>244954</v>
      </c>
      <c r="D389" t="s">
        <v>798</v>
      </c>
      <c r="E389" s="3" t="str">
        <f>HYPERLINK("http://genome.ucsc.edu/cgi-bin/hgTracks?db=mm10&amp;lastVirtModeType=default&amp;lastVirtModeExtraState=&amp;virtModeType=default&amp;virtMode=0&amp;nonVirtPosition=&amp;position=chr9:86743632-86757506","chr9:86743632-86757506")</f>
        <v>chr9:86743632-86757506</v>
      </c>
      <c r="F389" t="s">
        <v>30</v>
      </c>
      <c r="G389">
        <v>-1.22553279695623</v>
      </c>
      <c r="H389">
        <v>0.226753746530028</v>
      </c>
      <c r="I389">
        <v>-5.4046859895827204</v>
      </c>
      <c r="J389" s="1">
        <v>6.4922026807377094E-8</v>
      </c>
      <c r="K389" s="1">
        <v>2.2522561165222399E-6</v>
      </c>
      <c r="L389" t="s">
        <v>26</v>
      </c>
      <c r="M389" t="s">
        <v>27</v>
      </c>
      <c r="N389">
        <v>131.42848794455301</v>
      </c>
      <c r="O389">
        <v>205.202992519172</v>
      </c>
      <c r="P389">
        <v>76.097609513589006</v>
      </c>
      <c r="Q389">
        <v>251.11343824858201</v>
      </c>
      <c r="R389">
        <v>196.83330147839601</v>
      </c>
      <c r="S389">
        <v>167.662237830539</v>
      </c>
      <c r="T389">
        <v>41.246592440231403</v>
      </c>
      <c r="U389">
        <v>85.650269835421398</v>
      </c>
      <c r="V389">
        <v>105.93412183932899</v>
      </c>
      <c r="W389">
        <v>71.559453939374393</v>
      </c>
    </row>
    <row r="390" spans="1:23" x14ac:dyDescent="0.2">
      <c r="A390" t="s">
        <v>799</v>
      </c>
      <c r="B390" s="3" t="str">
        <f>HYPERLINK("http://www.ncbi.nlm.nih.gov/gene/75956","Srrm2")</f>
        <v>Srrm2</v>
      </c>
      <c r="C390">
        <v>75956</v>
      </c>
      <c r="D390" t="s">
        <v>800</v>
      </c>
      <c r="E390" s="3" t="str">
        <f>HYPERLINK("http://genome.ucsc.edu/cgi-bin/hgTracks?db=mm10&amp;lastVirtModeType=default&amp;lastVirtModeExtraState=&amp;virtModeType=default&amp;virtMode=0&amp;nonVirtPosition=&amp;position=chr17:23803186-23824743","chr17:23803186-23824743")</f>
        <v>chr17:23803186-23824743</v>
      </c>
      <c r="F390" t="s">
        <v>30</v>
      </c>
      <c r="G390">
        <v>0.89090785835180897</v>
      </c>
      <c r="H390">
        <v>0.16490743029694999</v>
      </c>
      <c r="I390">
        <v>5.4024725068333304</v>
      </c>
      <c r="J390" s="1">
        <v>6.5728534208936396E-8</v>
      </c>
      <c r="K390" s="1">
        <v>2.2743431565681298E-6</v>
      </c>
      <c r="L390" t="s">
        <v>26</v>
      </c>
      <c r="M390" t="s">
        <v>27</v>
      </c>
      <c r="N390">
        <v>4241.5044136503902</v>
      </c>
      <c r="O390">
        <v>2793.0850598495599</v>
      </c>
      <c r="P390">
        <v>5327.8189290010196</v>
      </c>
      <c r="Q390">
        <v>2601.3347749387499</v>
      </c>
      <c r="R390">
        <v>2259.60079038205</v>
      </c>
      <c r="S390">
        <v>3518.3196142278798</v>
      </c>
      <c r="T390">
        <v>5146.6581455977603</v>
      </c>
      <c r="U390">
        <v>4879.9241238731302</v>
      </c>
      <c r="V390">
        <v>5423.9741688984304</v>
      </c>
      <c r="W390">
        <v>5860.7192776347601</v>
      </c>
    </row>
    <row r="391" spans="1:23" x14ac:dyDescent="0.2">
      <c r="A391" t="s">
        <v>801</v>
      </c>
      <c r="B391" s="3" t="str">
        <f>HYPERLINK("http://www.ncbi.nlm.nih.gov/gene/329324","Syt14")</f>
        <v>Syt14</v>
      </c>
      <c r="C391">
        <v>329324</v>
      </c>
      <c r="D391" t="s">
        <v>802</v>
      </c>
      <c r="E391" s="3" t="str">
        <f>HYPERLINK("http://genome.ucsc.edu/cgi-bin/hgTracks?db=mm10&amp;lastVirtModeType=default&amp;lastVirtModeExtraState=&amp;virtModeType=default&amp;virtMode=0&amp;nonVirtPosition=&amp;position=chr1:192891233-193035775","chr1:192891233-193035775")</f>
        <v>chr1:192891233-193035775</v>
      </c>
      <c r="F391" t="s">
        <v>25</v>
      </c>
      <c r="G391">
        <v>0.84181795555375805</v>
      </c>
      <c r="H391">
        <v>0.155919548027801</v>
      </c>
      <c r="I391">
        <v>5.3990533336054902</v>
      </c>
      <c r="J391" s="1">
        <v>6.6993457703601205E-8</v>
      </c>
      <c r="K391" s="1">
        <v>2.3121376085281499E-6</v>
      </c>
      <c r="L391" t="s">
        <v>26</v>
      </c>
      <c r="M391" t="s">
        <v>27</v>
      </c>
      <c r="N391">
        <v>146.445151107415</v>
      </c>
      <c r="O391">
        <v>97.297361038487693</v>
      </c>
      <c r="P391">
        <v>183.30599365910999</v>
      </c>
      <c r="Q391">
        <v>98.552280643013304</v>
      </c>
      <c r="R391">
        <v>97.089258532696206</v>
      </c>
      <c r="S391">
        <v>96.250543939753697</v>
      </c>
      <c r="T391">
        <v>229.147735779063</v>
      </c>
      <c r="U391">
        <v>156.31174244964399</v>
      </c>
      <c r="V391">
        <v>183.177752347173</v>
      </c>
      <c r="W391">
        <v>164.58674406056099</v>
      </c>
    </row>
    <row r="392" spans="1:23" x14ac:dyDescent="0.2">
      <c r="A392" t="s">
        <v>803</v>
      </c>
      <c r="B392" s="3" t="str">
        <f>HYPERLINK("http://www.ncbi.nlm.nih.gov/gene/16842","Lef1")</f>
        <v>Lef1</v>
      </c>
      <c r="C392">
        <v>16842</v>
      </c>
      <c r="D392" t="s">
        <v>804</v>
      </c>
      <c r="E392" s="3" t="str">
        <f>HYPERLINK("http://genome.ucsc.edu/cgi-bin/hgTracks?db=mm10&amp;lastVirtModeType=default&amp;lastVirtModeExtraState=&amp;virtModeType=default&amp;virtMode=0&amp;nonVirtPosition=&amp;position=chr3:131112790-131224357","chr3:131112790-131224357")</f>
        <v>chr3:131112790-131224357</v>
      </c>
      <c r="F392" t="s">
        <v>30</v>
      </c>
      <c r="G392">
        <v>1.3062416298958901</v>
      </c>
      <c r="H392">
        <v>0.24218054659306901</v>
      </c>
      <c r="I392">
        <v>5.39366868343369</v>
      </c>
      <c r="J392" s="1">
        <v>6.9033456985092905E-8</v>
      </c>
      <c r="K392" s="1">
        <v>2.3764190809444201E-6</v>
      </c>
      <c r="L392" t="s">
        <v>26</v>
      </c>
      <c r="M392" t="s">
        <v>27</v>
      </c>
      <c r="N392">
        <v>56.331581033935997</v>
      </c>
      <c r="O392">
        <v>28.9097809036518</v>
      </c>
      <c r="P392">
        <v>76.897931131649102</v>
      </c>
      <c r="Q392">
        <v>33.407552760343499</v>
      </c>
      <c r="R392">
        <v>21.238275304027301</v>
      </c>
      <c r="S392">
        <v>32.083514646584597</v>
      </c>
      <c r="T392">
        <v>64.161366018137699</v>
      </c>
      <c r="U392">
        <v>72.802729360108202</v>
      </c>
      <c r="V392">
        <v>72.829708764538793</v>
      </c>
      <c r="W392">
        <v>97.7979203838117</v>
      </c>
    </row>
    <row r="393" spans="1:23" x14ac:dyDescent="0.2">
      <c r="A393" t="s">
        <v>805</v>
      </c>
      <c r="B393" s="3" t="str">
        <f>HYPERLINK("http://www.ncbi.nlm.nih.gov/gene/22658","Pcgf2")</f>
        <v>Pcgf2</v>
      </c>
      <c r="C393">
        <v>22658</v>
      </c>
      <c r="D393" t="s">
        <v>806</v>
      </c>
      <c r="E393" s="3" t="str">
        <f>HYPERLINK("http://genome.ucsc.edu/cgi-bin/hgTracks?db=mm10&amp;lastVirtModeType=default&amp;lastVirtModeExtraState=&amp;virtModeType=default&amp;virtMode=0&amp;nonVirtPosition=&amp;position=chr11:97688822-97700497","chr11:97688822-97700497")</f>
        <v>chr11:97688822-97700497</v>
      </c>
      <c r="F393" t="s">
        <v>25</v>
      </c>
      <c r="G393">
        <v>1.1281855855224801</v>
      </c>
      <c r="H393">
        <v>0.20919462137916101</v>
      </c>
      <c r="I393">
        <v>5.3929951835504601</v>
      </c>
      <c r="J393" s="1">
        <v>6.9292810715988794E-8</v>
      </c>
      <c r="K393" s="1">
        <v>2.37923084178925E-6</v>
      </c>
      <c r="L393" t="s">
        <v>26</v>
      </c>
      <c r="M393" t="s">
        <v>27</v>
      </c>
      <c r="N393">
        <v>107.874704564396</v>
      </c>
      <c r="O393">
        <v>60.870627881352398</v>
      </c>
      <c r="P393">
        <v>143.12776207667901</v>
      </c>
      <c r="Q393">
        <v>45.100196226463702</v>
      </c>
      <c r="R393">
        <v>55.750472673071698</v>
      </c>
      <c r="S393">
        <v>81.761214744521894</v>
      </c>
      <c r="T393">
        <v>160.40341504534399</v>
      </c>
      <c r="U393">
        <v>134.89917499078899</v>
      </c>
      <c r="V393">
        <v>141.24549578577199</v>
      </c>
      <c r="W393">
        <v>135.96296248481099</v>
      </c>
    </row>
    <row r="394" spans="1:23" x14ac:dyDescent="0.2">
      <c r="A394" t="s">
        <v>807</v>
      </c>
      <c r="B394" s="3" t="str">
        <f>HYPERLINK("http://www.ncbi.nlm.nih.gov/gene/53869","Rab11a")</f>
        <v>Rab11a</v>
      </c>
      <c r="C394">
        <v>53869</v>
      </c>
      <c r="D394" t="s">
        <v>808</v>
      </c>
      <c r="E394" s="3" t="str">
        <f>HYPERLINK("http://genome.ucsc.edu/cgi-bin/hgTracks?db=mm10&amp;lastVirtModeType=default&amp;lastVirtModeExtraState=&amp;virtModeType=default&amp;virtMode=0&amp;nonVirtPosition=&amp;position=chr9:64715299-64737756","chr9:64715299-64737756")</f>
        <v>chr9:64715299-64737756</v>
      </c>
      <c r="F394" t="s">
        <v>25</v>
      </c>
      <c r="G394">
        <v>-0.57516722858108005</v>
      </c>
      <c r="H394">
        <v>0.106739970276384</v>
      </c>
      <c r="I394">
        <v>-5.38848968284129</v>
      </c>
      <c r="J394" s="1">
        <v>7.1052240866274006E-8</v>
      </c>
      <c r="K394" s="1">
        <v>2.4334029602053102E-6</v>
      </c>
      <c r="L394" t="s">
        <v>26</v>
      </c>
      <c r="M394" t="s">
        <v>27</v>
      </c>
      <c r="N394">
        <v>634.097624053191</v>
      </c>
      <c r="O394">
        <v>781.87743901837405</v>
      </c>
      <c r="P394">
        <v>523.26276282930303</v>
      </c>
      <c r="Q394">
        <v>769.48729857991202</v>
      </c>
      <c r="R394">
        <v>835.11932534764503</v>
      </c>
      <c r="S394">
        <v>741.025693127566</v>
      </c>
      <c r="T394">
        <v>531.62274700742705</v>
      </c>
      <c r="U394">
        <v>550.30298369258298</v>
      </c>
      <c r="V394">
        <v>524.52103382945597</v>
      </c>
      <c r="W394">
        <v>486.60428678774599</v>
      </c>
    </row>
    <row r="395" spans="1:23" x14ac:dyDescent="0.2">
      <c r="A395" t="s">
        <v>809</v>
      </c>
      <c r="B395" s="3" t="str">
        <f>HYPERLINK("http://www.ncbi.nlm.nih.gov/gene/15227","Foxf1")</f>
        <v>Foxf1</v>
      </c>
      <c r="C395">
        <v>15227</v>
      </c>
      <c r="D395" t="s">
        <v>810</v>
      </c>
      <c r="E395" s="3" t="str">
        <f>HYPERLINK("http://genome.ucsc.edu/cgi-bin/hgTracks?db=mm10&amp;lastVirtModeType=default&amp;lastVirtModeExtraState=&amp;virtModeType=default&amp;virtMode=0&amp;nonVirtPosition=&amp;position=chr8:121084385-121088154","chr8:121084385-121088154")</f>
        <v>chr8:121084385-121088154</v>
      </c>
      <c r="F395" t="s">
        <v>30</v>
      </c>
      <c r="G395">
        <v>1.2213739310648599</v>
      </c>
      <c r="H395">
        <v>0.227057282552277</v>
      </c>
      <c r="I395">
        <v>5.3791444931243397</v>
      </c>
      <c r="J395" s="1">
        <v>7.4840624937309005E-8</v>
      </c>
      <c r="K395" s="1">
        <v>2.5566092054477201E-6</v>
      </c>
      <c r="L395" t="s">
        <v>26</v>
      </c>
      <c r="M395" t="s">
        <v>27</v>
      </c>
      <c r="N395">
        <v>67.080589103303097</v>
      </c>
      <c r="O395">
        <v>35.832170593564001</v>
      </c>
      <c r="P395">
        <v>90.516902985607501</v>
      </c>
      <c r="Q395">
        <v>46.213781318475199</v>
      </c>
      <c r="R395">
        <v>34.891452285187697</v>
      </c>
      <c r="S395">
        <v>26.3912781770292</v>
      </c>
      <c r="T395">
        <v>96.242049027206505</v>
      </c>
      <c r="U395">
        <v>77.0852428518793</v>
      </c>
      <c r="V395">
        <v>89.749742113876096</v>
      </c>
      <c r="W395">
        <v>98.990577949467905</v>
      </c>
    </row>
    <row r="396" spans="1:23" x14ac:dyDescent="0.2">
      <c r="A396" t="s">
        <v>811</v>
      </c>
      <c r="B396" s="3" t="str">
        <f>HYPERLINK("http://www.ncbi.nlm.nih.gov/gene/11979","Atp7b")</f>
        <v>Atp7b</v>
      </c>
      <c r="C396">
        <v>11979</v>
      </c>
      <c r="D396" t="s">
        <v>812</v>
      </c>
      <c r="E396" s="3" t="str">
        <f>HYPERLINK("http://genome.ucsc.edu/cgi-bin/hgTracks?db=mm10&amp;lastVirtModeType=default&amp;lastVirtModeExtraState=&amp;virtModeType=default&amp;virtMode=0&amp;nonVirtPosition=&amp;position=chr8:21994347-22060074","chr8:21994347-22060074")</f>
        <v>chr8:21994347-22060074</v>
      </c>
      <c r="F396" t="s">
        <v>25</v>
      </c>
      <c r="G396">
        <v>1.2505996016879699</v>
      </c>
      <c r="H396">
        <v>0.232618351874183</v>
      </c>
      <c r="I396">
        <v>5.3761863224118596</v>
      </c>
      <c r="J396" s="1">
        <v>7.6080062676811105E-8</v>
      </c>
      <c r="K396" s="1">
        <v>2.59233618143811E-6</v>
      </c>
      <c r="L396" t="s">
        <v>26</v>
      </c>
      <c r="M396" t="s">
        <v>27</v>
      </c>
      <c r="N396">
        <v>83.691549990296906</v>
      </c>
      <c r="O396">
        <v>43.207085586303698</v>
      </c>
      <c r="P396">
        <v>114.054898293292</v>
      </c>
      <c r="Q396">
        <v>35.634722944366402</v>
      </c>
      <c r="R396">
        <v>36.029217033617698</v>
      </c>
      <c r="S396">
        <v>57.957316780926902</v>
      </c>
      <c r="T396">
        <v>137.48864146743799</v>
      </c>
      <c r="U396">
        <v>107.062837294277</v>
      </c>
      <c r="V396">
        <v>125.796769684203</v>
      </c>
      <c r="W396">
        <v>85.871344727249294</v>
      </c>
    </row>
    <row r="397" spans="1:23" x14ac:dyDescent="0.2">
      <c r="A397" t="s">
        <v>813</v>
      </c>
      <c r="B397" s="3" t="str">
        <f>HYPERLINK("http://www.ncbi.nlm.nih.gov/gene/232791","Cnot3")</f>
        <v>Cnot3</v>
      </c>
      <c r="C397">
        <v>232791</v>
      </c>
      <c r="D397" t="s">
        <v>814</v>
      </c>
      <c r="E397" s="3" t="str">
        <f>HYPERLINK("http://genome.ucsc.edu/cgi-bin/hgTracks?db=mm10&amp;lastVirtModeType=default&amp;lastVirtModeExtraState=&amp;virtModeType=default&amp;virtMode=0&amp;nonVirtPosition=&amp;position=chr7:3645268-3661109","chr7:3645268-3661109")</f>
        <v>chr7:3645268-3661109</v>
      </c>
      <c r="F397" t="s">
        <v>30</v>
      </c>
      <c r="G397">
        <v>0.858538488229318</v>
      </c>
      <c r="H397">
        <v>0.159811695416294</v>
      </c>
      <c r="I397">
        <v>5.3721880992058102</v>
      </c>
      <c r="J397" s="1">
        <v>7.7786902752702205E-8</v>
      </c>
      <c r="K397" s="1">
        <v>2.6437675501559301E-6</v>
      </c>
      <c r="L397" t="s">
        <v>26</v>
      </c>
      <c r="M397" t="s">
        <v>27</v>
      </c>
      <c r="N397">
        <v>237.806299437029</v>
      </c>
      <c r="O397">
        <v>159.44608484227501</v>
      </c>
      <c r="P397">
        <v>296.57646038309503</v>
      </c>
      <c r="Q397">
        <v>143.095684323471</v>
      </c>
      <c r="R397">
        <v>136.53176981160399</v>
      </c>
      <c r="S397">
        <v>198.71080039175001</v>
      </c>
      <c r="T397">
        <v>293.30910179720098</v>
      </c>
      <c r="U397">
        <v>306.19971466163202</v>
      </c>
      <c r="V397">
        <v>280.28403069989201</v>
      </c>
      <c r="W397">
        <v>306.51299437365401</v>
      </c>
    </row>
    <row r="398" spans="1:23" x14ac:dyDescent="0.2">
      <c r="A398" t="s">
        <v>815</v>
      </c>
      <c r="B398" s="3" t="str">
        <f>HYPERLINK("http://www.ncbi.nlm.nih.gov/gene/380912","Zfp395")</f>
        <v>Zfp395</v>
      </c>
      <c r="C398">
        <v>380912</v>
      </c>
      <c r="D398" t="s">
        <v>816</v>
      </c>
      <c r="E398" s="3" t="str">
        <f>HYPERLINK("http://genome.ucsc.edu/cgi-bin/hgTracks?db=mm10&amp;lastVirtModeType=default&amp;lastVirtModeExtraState=&amp;virtModeType=default&amp;virtMode=0&amp;nonVirtPosition=&amp;position=chr14:65358675-65398930","chr14:65358675-65398930")</f>
        <v>chr14:65358675-65398930</v>
      </c>
      <c r="F398" t="s">
        <v>30</v>
      </c>
      <c r="G398">
        <v>1.4096404993056</v>
      </c>
      <c r="H398">
        <v>0.262512392868682</v>
      </c>
      <c r="I398">
        <v>5.3698055314697397</v>
      </c>
      <c r="J398" s="1">
        <v>7.8821592047747398E-8</v>
      </c>
      <c r="K398" s="1">
        <v>2.6721517445857901E-6</v>
      </c>
      <c r="L398" t="s">
        <v>26</v>
      </c>
      <c r="M398" t="s">
        <v>27</v>
      </c>
      <c r="N398">
        <v>67.747023871897596</v>
      </c>
      <c r="O398">
        <v>31.164643077937502</v>
      </c>
      <c r="P398">
        <v>95.183809467367695</v>
      </c>
      <c r="Q398">
        <v>18.3741540181889</v>
      </c>
      <c r="R398">
        <v>29.581883459180901</v>
      </c>
      <c r="S398">
        <v>45.537891756442598</v>
      </c>
      <c r="T398">
        <v>100.825003742788</v>
      </c>
      <c r="U398">
        <v>89.932783327192496</v>
      </c>
      <c r="V398">
        <v>108.876736334866</v>
      </c>
      <c r="W398">
        <v>81.100714464624303</v>
      </c>
    </row>
    <row r="399" spans="1:23" x14ac:dyDescent="0.2">
      <c r="A399" t="s">
        <v>817</v>
      </c>
      <c r="B399" s="3" t="str">
        <f>HYPERLINK("http://www.ncbi.nlm.nih.gov/gene/13521","Slc26a2")</f>
        <v>Slc26a2</v>
      </c>
      <c r="C399">
        <v>13521</v>
      </c>
      <c r="D399" t="s">
        <v>818</v>
      </c>
      <c r="E399" s="3" t="str">
        <f>HYPERLINK("http://genome.ucsc.edu/cgi-bin/hgTracks?db=mm10&amp;lastVirtModeType=default&amp;lastVirtModeExtraState=&amp;virtModeType=default&amp;virtMode=0&amp;nonVirtPosition=&amp;position=chr18:61196853-61211596","chr18:61196853-61211596")</f>
        <v>chr18:61196853-61211596</v>
      </c>
      <c r="F399" t="s">
        <v>25</v>
      </c>
      <c r="G399">
        <v>0.90130317066251897</v>
      </c>
      <c r="H399">
        <v>0.16790756101836299</v>
      </c>
      <c r="I399">
        <v>5.3678533902588699</v>
      </c>
      <c r="J399" s="1">
        <v>7.9679280427267405E-8</v>
      </c>
      <c r="K399" s="1">
        <v>2.6944071823271199E-6</v>
      </c>
      <c r="L399" t="s">
        <v>26</v>
      </c>
      <c r="M399" t="s">
        <v>27</v>
      </c>
      <c r="N399">
        <v>185.507808690931</v>
      </c>
      <c r="O399">
        <v>123.35910903828</v>
      </c>
      <c r="P399">
        <v>232.11933343042</v>
      </c>
      <c r="Q399">
        <v>128.61907812732201</v>
      </c>
      <c r="R399">
        <v>108.466906016997</v>
      </c>
      <c r="S399">
        <v>132.99134297052001</v>
      </c>
      <c r="T399">
        <v>210.81591691673799</v>
      </c>
      <c r="U399">
        <v>196.99562062146899</v>
      </c>
      <c r="V399">
        <v>286.90491331484998</v>
      </c>
      <c r="W399">
        <v>233.76088286862301</v>
      </c>
    </row>
    <row r="400" spans="1:23" x14ac:dyDescent="0.2">
      <c r="A400" t="s">
        <v>819</v>
      </c>
      <c r="B400" s="3" t="str">
        <f>HYPERLINK("http://www.ncbi.nlm.nih.gov/gene/59046","Arpp19")</f>
        <v>Arpp19</v>
      </c>
      <c r="C400">
        <v>59046</v>
      </c>
      <c r="D400" t="s">
        <v>820</v>
      </c>
      <c r="E400" s="3" t="str">
        <f>HYPERLINK("http://genome.ucsc.edu/cgi-bin/hgTracks?db=mm10&amp;lastVirtModeType=default&amp;lastVirtModeExtraState=&amp;virtModeType=default&amp;virtMode=0&amp;nonVirtPosition=&amp;position=chr9:75037731-75060313","chr9:75037731-75060313")</f>
        <v>chr9:75037731-75060313</v>
      </c>
      <c r="F400" t="s">
        <v>30</v>
      </c>
      <c r="G400">
        <v>-0.62480240161318801</v>
      </c>
      <c r="H400">
        <v>0.116538851979578</v>
      </c>
      <c r="I400">
        <v>-5.3613227777692503</v>
      </c>
      <c r="J400" s="1">
        <v>8.2614747701807399E-8</v>
      </c>
      <c r="K400" s="1">
        <v>2.7866349785261999E-6</v>
      </c>
      <c r="L400" t="s">
        <v>26</v>
      </c>
      <c r="M400" t="s">
        <v>27</v>
      </c>
      <c r="N400">
        <v>486.883263994468</v>
      </c>
      <c r="O400">
        <v>612.48715284369598</v>
      </c>
      <c r="P400">
        <v>392.68034735754702</v>
      </c>
      <c r="Q400">
        <v>568.48518947184505</v>
      </c>
      <c r="R400">
        <v>654.21473034726898</v>
      </c>
      <c r="S400">
        <v>614.76153871197505</v>
      </c>
      <c r="T400">
        <v>407.882969686732</v>
      </c>
      <c r="U400">
        <v>349.024849579342</v>
      </c>
      <c r="V400">
        <v>417.85125836624297</v>
      </c>
      <c r="W400">
        <v>395.96231179787202</v>
      </c>
    </row>
    <row r="401" spans="1:23" x14ac:dyDescent="0.2">
      <c r="A401" t="s">
        <v>821</v>
      </c>
      <c r="B401" s="3" t="str">
        <f>HYPERLINK("http://www.ncbi.nlm.nih.gov/gene/230676","Szt2")</f>
        <v>Szt2</v>
      </c>
      <c r="C401">
        <v>230676</v>
      </c>
      <c r="D401" t="s">
        <v>822</v>
      </c>
      <c r="E401" s="3" t="str">
        <f>HYPERLINK("http://genome.ucsc.edu/cgi-bin/hgTracks?db=mm10&amp;lastVirtModeType=default&amp;lastVirtModeExtraState=&amp;virtModeType=default&amp;virtMode=0&amp;nonVirtPosition=&amp;position=chr4:118362739-118409263","chr4:118362739-118409263")</f>
        <v>chr4:118362739-118409263</v>
      </c>
      <c r="F401" t="s">
        <v>25</v>
      </c>
      <c r="G401">
        <v>0.95773859592905097</v>
      </c>
      <c r="H401">
        <v>0.178654960692781</v>
      </c>
      <c r="I401">
        <v>5.3608284495161502</v>
      </c>
      <c r="J401" s="1">
        <v>8.2841159033480898E-8</v>
      </c>
      <c r="K401" s="1">
        <v>2.7872511573300101E-6</v>
      </c>
      <c r="L401" t="s">
        <v>26</v>
      </c>
      <c r="M401" t="s">
        <v>27</v>
      </c>
      <c r="N401">
        <v>509.88617315764299</v>
      </c>
      <c r="O401">
        <v>322.56816890264099</v>
      </c>
      <c r="P401">
        <v>650.37467634889504</v>
      </c>
      <c r="Q401">
        <v>356.90402198967001</v>
      </c>
      <c r="R401">
        <v>219.588596446997</v>
      </c>
      <c r="S401">
        <v>391.21188827125701</v>
      </c>
      <c r="T401">
        <v>682.86025262160797</v>
      </c>
      <c r="U401">
        <v>640.23576701977504</v>
      </c>
      <c r="V401">
        <v>616.47773681498495</v>
      </c>
      <c r="W401">
        <v>661.92494893921298</v>
      </c>
    </row>
    <row r="402" spans="1:23" x14ac:dyDescent="0.2">
      <c r="A402" t="s">
        <v>823</v>
      </c>
      <c r="B402" s="3" t="str">
        <f>HYPERLINK("http://www.ncbi.nlm.nih.gov/gene/51801","Ramp1")</f>
        <v>Ramp1</v>
      </c>
      <c r="C402">
        <v>51801</v>
      </c>
      <c r="D402" t="s">
        <v>824</v>
      </c>
      <c r="E402" s="3" t="str">
        <f>HYPERLINK("http://genome.ucsc.edu/cgi-bin/hgTracks?db=mm10&amp;lastVirtModeType=default&amp;lastVirtModeExtraState=&amp;virtModeType=default&amp;virtMode=0&amp;nonVirtPosition=&amp;position=chr1:91179821-91206790","chr1:91179821-91206790")</f>
        <v>chr1:91179821-91206790</v>
      </c>
      <c r="F402" t="s">
        <v>30</v>
      </c>
      <c r="G402">
        <v>-1.0578073660153</v>
      </c>
      <c r="H402">
        <v>0.19746499052567401</v>
      </c>
      <c r="I402">
        <v>-5.35693625082249</v>
      </c>
      <c r="J402" s="1">
        <v>8.4644968672453902E-8</v>
      </c>
      <c r="K402" s="1">
        <v>2.8408039486035799E-6</v>
      </c>
      <c r="L402" t="s">
        <v>26</v>
      </c>
      <c r="M402" t="s">
        <v>27</v>
      </c>
      <c r="N402">
        <v>281.32706794404902</v>
      </c>
      <c r="O402">
        <v>410.20019735966798</v>
      </c>
      <c r="P402">
        <v>184.67222088233501</v>
      </c>
      <c r="Q402">
        <v>484.40951502498098</v>
      </c>
      <c r="R402">
        <v>360.671425252321</v>
      </c>
      <c r="S402">
        <v>385.51965180170203</v>
      </c>
      <c r="T402">
        <v>155.82046032976299</v>
      </c>
      <c r="U402">
        <v>216.26693133443899</v>
      </c>
      <c r="V402">
        <v>235.40915964295399</v>
      </c>
      <c r="W402">
        <v>131.192332222186</v>
      </c>
    </row>
    <row r="403" spans="1:23" x14ac:dyDescent="0.2">
      <c r="A403" t="s">
        <v>825</v>
      </c>
      <c r="B403" s="3" t="str">
        <f>HYPERLINK("http://www.ncbi.nlm.nih.gov/gene/71665","Fuca1")</f>
        <v>Fuca1</v>
      </c>
      <c r="C403">
        <v>71665</v>
      </c>
      <c r="D403" t="s">
        <v>826</v>
      </c>
      <c r="E403" s="3" t="str">
        <f>HYPERLINK("http://genome.ucsc.edu/cgi-bin/hgTracks?db=mm10&amp;lastVirtModeType=default&amp;lastVirtModeExtraState=&amp;virtModeType=default&amp;virtMode=0&amp;nonVirtPosition=&amp;position=chr4:135920725-135940300","chr4:135920725-135940300")</f>
        <v>chr4:135920725-135940300</v>
      </c>
      <c r="F403" t="s">
        <v>30</v>
      </c>
      <c r="G403">
        <v>-0.73260707264580505</v>
      </c>
      <c r="H403">
        <v>0.136788555702967</v>
      </c>
      <c r="I403">
        <v>-5.3557629063402201</v>
      </c>
      <c r="J403" s="1">
        <v>8.5196166551377603E-8</v>
      </c>
      <c r="K403" s="1">
        <v>2.8521546657237399E-6</v>
      </c>
      <c r="L403" t="s">
        <v>26</v>
      </c>
      <c r="M403" t="s">
        <v>27</v>
      </c>
      <c r="N403">
        <v>257.76134837157002</v>
      </c>
      <c r="O403">
        <v>337.28303288939401</v>
      </c>
      <c r="P403">
        <v>198.12008498320199</v>
      </c>
      <c r="Q403">
        <v>356.90402198967001</v>
      </c>
      <c r="R403">
        <v>356.87887609088699</v>
      </c>
      <c r="S403">
        <v>298.066200587624</v>
      </c>
      <c r="T403">
        <v>178.735233907669</v>
      </c>
      <c r="U403">
        <v>218.408188080325</v>
      </c>
      <c r="V403">
        <v>204.51170743981601</v>
      </c>
      <c r="W403">
        <v>190.82521050499801</v>
      </c>
    </row>
    <row r="404" spans="1:23" x14ac:dyDescent="0.2">
      <c r="A404" t="s">
        <v>827</v>
      </c>
      <c r="B404" s="3" t="str">
        <f>HYPERLINK("http://www.ncbi.nlm.nih.gov/gene/15572","Elavl4")</f>
        <v>Elavl4</v>
      </c>
      <c r="C404">
        <v>15572</v>
      </c>
      <c r="D404" t="s">
        <v>828</v>
      </c>
      <c r="E404" s="3" t="str">
        <f>HYPERLINK("http://genome.ucsc.edu/cgi-bin/hgTracks?db=mm10&amp;lastVirtModeType=default&amp;lastVirtModeExtraState=&amp;virtModeType=default&amp;virtMode=0&amp;nonVirtPosition=&amp;position=chr4:110203736-110287511","chr4:110203736-110287511")</f>
        <v>chr4:110203736-110287511</v>
      </c>
      <c r="F404" t="s">
        <v>25</v>
      </c>
      <c r="G404">
        <v>-0.85507559740179695</v>
      </c>
      <c r="H404">
        <v>0.159750239005338</v>
      </c>
      <c r="I404">
        <v>-5.3525778911242998</v>
      </c>
      <c r="J404" s="1">
        <v>8.67099583629417E-8</v>
      </c>
      <c r="K404" s="1">
        <v>2.8955936469779401E-6</v>
      </c>
      <c r="L404" t="s">
        <v>26</v>
      </c>
      <c r="M404" t="s">
        <v>27</v>
      </c>
      <c r="N404">
        <v>311.77695848735198</v>
      </c>
      <c r="O404">
        <v>420.038304787323</v>
      </c>
      <c r="P404">
        <v>230.58094876237399</v>
      </c>
      <c r="Q404">
        <v>365.25591017975597</v>
      </c>
      <c r="R404">
        <v>509.33935238051203</v>
      </c>
      <c r="S404">
        <v>385.51965180170203</v>
      </c>
      <c r="T404">
        <v>274.97728293487597</v>
      </c>
      <c r="U404">
        <v>209.84316109678201</v>
      </c>
      <c r="V404">
        <v>228.788277027996</v>
      </c>
      <c r="W404">
        <v>208.71507398984201</v>
      </c>
    </row>
    <row r="405" spans="1:23" x14ac:dyDescent="0.2">
      <c r="A405" t="s">
        <v>829</v>
      </c>
      <c r="B405" s="3" t="str">
        <f>HYPERLINK("http://www.ncbi.nlm.nih.gov/gene/30960","Vapa")</f>
        <v>Vapa</v>
      </c>
      <c r="C405">
        <v>30960</v>
      </c>
      <c r="D405" t="s">
        <v>830</v>
      </c>
      <c r="E405" s="3" t="str">
        <f>HYPERLINK("http://genome.ucsc.edu/cgi-bin/hgTracks?db=mm10&amp;lastVirtModeType=default&amp;lastVirtModeExtraState=&amp;virtModeType=default&amp;virtMode=0&amp;nonVirtPosition=&amp;position=chr17:65580052-65613555","chr17:65580052-65613555")</f>
        <v>chr17:65580052-65613555</v>
      </c>
      <c r="F405" t="s">
        <v>25</v>
      </c>
      <c r="G405">
        <v>-0.61907098175460595</v>
      </c>
      <c r="H405">
        <v>0.11570360343917301</v>
      </c>
      <c r="I405">
        <v>-5.3504900742357497</v>
      </c>
      <c r="J405" s="1">
        <v>8.7716364002297497E-8</v>
      </c>
      <c r="K405" s="1">
        <v>2.9219150008825E-6</v>
      </c>
      <c r="L405" t="s">
        <v>26</v>
      </c>
      <c r="M405" t="s">
        <v>27</v>
      </c>
      <c r="N405">
        <v>706.29439841441501</v>
      </c>
      <c r="O405">
        <v>884.78691755068996</v>
      </c>
      <c r="P405">
        <v>572.42500906220903</v>
      </c>
      <c r="Q405">
        <v>783.40711223005496</v>
      </c>
      <c r="R405">
        <v>974.68513448839599</v>
      </c>
      <c r="S405">
        <v>896.26850593361996</v>
      </c>
      <c r="T405">
        <v>577.452294163239</v>
      </c>
      <c r="U405">
        <v>588.84560511852203</v>
      </c>
      <c r="V405">
        <v>556.88979328036203</v>
      </c>
      <c r="W405">
        <v>566.51234368671396</v>
      </c>
    </row>
    <row r="406" spans="1:23" x14ac:dyDescent="0.2">
      <c r="A406" t="s">
        <v>831</v>
      </c>
      <c r="B406" s="3" t="str">
        <f>HYPERLINK("http://www.ncbi.nlm.nih.gov/gene/226075","Glis3")</f>
        <v>Glis3</v>
      </c>
      <c r="C406">
        <v>226075</v>
      </c>
      <c r="D406" t="s">
        <v>832</v>
      </c>
      <c r="E406" s="3" t="str">
        <f>HYPERLINK("http://genome.ucsc.edu/cgi-bin/hgTracks?db=mm10&amp;lastVirtModeType=default&amp;lastVirtModeExtraState=&amp;virtModeType=default&amp;virtMode=0&amp;nonVirtPosition=&amp;position=chr19:28258850-28680077","chr19:28258850-28680077")</f>
        <v>chr19:28258850-28680077</v>
      </c>
      <c r="F406" t="s">
        <v>25</v>
      </c>
      <c r="G406">
        <v>1.5969225958218201</v>
      </c>
      <c r="H406">
        <v>0.29897126853932798</v>
      </c>
      <c r="I406">
        <v>5.3413915110433203</v>
      </c>
      <c r="J406" s="1">
        <v>9.2235809746220795E-8</v>
      </c>
      <c r="K406" s="1">
        <v>3.0648380355127602E-6</v>
      </c>
      <c r="L406" t="s">
        <v>26</v>
      </c>
      <c r="M406" t="s">
        <v>27</v>
      </c>
      <c r="N406">
        <v>65.282720861502995</v>
      </c>
      <c r="O406">
        <v>26.258265018683201</v>
      </c>
      <c r="P406">
        <v>94.551062743618004</v>
      </c>
      <c r="Q406">
        <v>19.487739110200401</v>
      </c>
      <c r="R406">
        <v>26.168589213890801</v>
      </c>
      <c r="S406">
        <v>33.1184667319583</v>
      </c>
      <c r="T406">
        <v>41.246592440231403</v>
      </c>
      <c r="U406">
        <v>70.661472614222703</v>
      </c>
      <c r="V406">
        <v>143.45245665742499</v>
      </c>
      <c r="W406">
        <v>122.843729262593</v>
      </c>
    </row>
    <row r="407" spans="1:23" x14ac:dyDescent="0.2">
      <c r="A407" t="s">
        <v>833</v>
      </c>
      <c r="B407" s="3" t="str">
        <f>HYPERLINK("http://www.ncbi.nlm.nih.gov/gene/17454","Mov10")</f>
        <v>Mov10</v>
      </c>
      <c r="C407">
        <v>17454</v>
      </c>
      <c r="D407" t="s">
        <v>834</v>
      </c>
      <c r="E407" s="3" t="str">
        <f>HYPERLINK("http://genome.ucsc.edu/cgi-bin/hgTracks?db=mm10&amp;lastVirtModeType=default&amp;lastVirtModeExtraState=&amp;virtModeType=default&amp;virtMode=0&amp;nonVirtPosition=&amp;position=chr3:104794833-104818305","chr3:104794833-104818305")</f>
        <v>chr3:104794833-104818305</v>
      </c>
      <c r="F407" t="s">
        <v>25</v>
      </c>
      <c r="G407">
        <v>1.3293117781821899</v>
      </c>
      <c r="H407">
        <v>0.249047384026303</v>
      </c>
      <c r="I407">
        <v>5.3375857906694497</v>
      </c>
      <c r="J407" s="1">
        <v>9.4192337948264295E-8</v>
      </c>
      <c r="K407" s="1">
        <v>3.1214549149475502E-6</v>
      </c>
      <c r="L407" t="s">
        <v>26</v>
      </c>
      <c r="M407" t="s">
        <v>27</v>
      </c>
      <c r="N407">
        <v>95.192556089267697</v>
      </c>
      <c r="O407">
        <v>46.1853452289374</v>
      </c>
      <c r="P407">
        <v>131.94796423451601</v>
      </c>
      <c r="Q407">
        <v>59.0200098766068</v>
      </c>
      <c r="R407">
        <v>28.823373626894199</v>
      </c>
      <c r="S407">
        <v>50.7126521833111</v>
      </c>
      <c r="T407">
        <v>169.56932447650701</v>
      </c>
      <c r="U407">
        <v>107.062837294277</v>
      </c>
      <c r="V407">
        <v>104.462814591561</v>
      </c>
      <c r="W407">
        <v>146.69688057571801</v>
      </c>
    </row>
    <row r="408" spans="1:23" x14ac:dyDescent="0.2">
      <c r="A408" t="s">
        <v>835</v>
      </c>
      <c r="B408" s="3" t="str">
        <f>HYPERLINK("http://www.ncbi.nlm.nih.gov/gene/27428","Shroom3")</f>
        <v>Shroom3</v>
      </c>
      <c r="C408">
        <v>27428</v>
      </c>
      <c r="D408" t="s">
        <v>836</v>
      </c>
      <c r="E408" s="3" t="str">
        <f>HYPERLINK("http://genome.ucsc.edu/cgi-bin/hgTracks?db=mm10&amp;lastVirtModeType=default&amp;lastVirtModeExtraState=&amp;virtModeType=default&amp;virtMode=0&amp;nonVirtPosition=&amp;position=chr5:92809381-92965759","chr5:92809381-92965759")</f>
        <v>chr5:92809381-92965759</v>
      </c>
      <c r="F408" t="s">
        <v>30</v>
      </c>
      <c r="G408">
        <v>1.3105252928098601</v>
      </c>
      <c r="H408">
        <v>0.24554661985121601</v>
      </c>
      <c r="I408">
        <v>5.3371750488927603</v>
      </c>
      <c r="J408" s="1">
        <v>9.4405887577758002E-8</v>
      </c>
      <c r="K408" s="1">
        <v>3.1214549149475502E-6</v>
      </c>
      <c r="L408" t="s">
        <v>26</v>
      </c>
      <c r="M408" t="s">
        <v>27</v>
      </c>
      <c r="N408">
        <v>55.941936656124902</v>
      </c>
      <c r="O408">
        <v>26.762800664405901</v>
      </c>
      <c r="P408">
        <v>77.826288649914105</v>
      </c>
      <c r="Q408">
        <v>19.487739110200401</v>
      </c>
      <c r="R408">
        <v>33.3744326206143</v>
      </c>
      <c r="S408">
        <v>27.4262302624029</v>
      </c>
      <c r="T408">
        <v>105.407958458369</v>
      </c>
      <c r="U408">
        <v>66.378959122451604</v>
      </c>
      <c r="V408">
        <v>69.151440645117603</v>
      </c>
      <c r="W408">
        <v>70.366796373718103</v>
      </c>
    </row>
    <row r="409" spans="1:23" x14ac:dyDescent="0.2">
      <c r="A409" t="s">
        <v>837</v>
      </c>
      <c r="B409" s="3" t="str">
        <f>HYPERLINK("http://www.ncbi.nlm.nih.gov/gene/27360","Add3")</f>
        <v>Add3</v>
      </c>
      <c r="C409">
        <v>27360</v>
      </c>
      <c r="D409" t="s">
        <v>838</v>
      </c>
      <c r="E409" s="3" t="str">
        <f>HYPERLINK("http://genome.ucsc.edu/cgi-bin/hgTracks?db=mm10&amp;lastVirtModeType=default&amp;lastVirtModeExtraState=&amp;virtModeType=default&amp;virtMode=0&amp;nonVirtPosition=&amp;position=chr19:53140442-53247326","chr19:53140442-53247326")</f>
        <v>chr19:53140442-53247326</v>
      </c>
      <c r="F409" t="s">
        <v>30</v>
      </c>
      <c r="G409">
        <v>-1.0125055003752901</v>
      </c>
      <c r="H409">
        <v>0.18976485554905601</v>
      </c>
      <c r="I409">
        <v>-5.3355796437952598</v>
      </c>
      <c r="J409" s="1">
        <v>9.5239812594791794E-8</v>
      </c>
      <c r="K409" s="1">
        <v>3.1412717498937398E-6</v>
      </c>
      <c r="L409" t="s">
        <v>26</v>
      </c>
      <c r="M409" t="s">
        <v>27</v>
      </c>
      <c r="N409">
        <v>1280.35281171307</v>
      </c>
      <c r="O409">
        <v>1836.0260052118599</v>
      </c>
      <c r="P409">
        <v>863.597916588972</v>
      </c>
      <c r="Q409">
        <v>1589.6427188463399</v>
      </c>
      <c r="R409">
        <v>2007.39627114672</v>
      </c>
      <c r="S409">
        <v>1911.0390256425301</v>
      </c>
      <c r="T409">
        <v>545.37161115416995</v>
      </c>
      <c r="U409">
        <v>1089.8996836557401</v>
      </c>
      <c r="V409">
        <v>965.17755453611005</v>
      </c>
      <c r="W409">
        <v>853.94281700986801</v>
      </c>
    </row>
    <row r="410" spans="1:23" x14ac:dyDescent="0.2">
      <c r="A410" t="s">
        <v>839</v>
      </c>
      <c r="B410" s="3" t="str">
        <f>HYPERLINK("http://www.ncbi.nlm.nih.gov/gene/11949","Atp5c1")</f>
        <v>Atp5c1</v>
      </c>
      <c r="C410">
        <v>11949</v>
      </c>
      <c r="D410" t="s">
        <v>840</v>
      </c>
      <c r="E410" s="3" t="str">
        <f>HYPERLINK("http://genome.ucsc.edu/cgi-bin/hgTracks?db=mm10&amp;lastVirtModeType=default&amp;lastVirtModeExtraState=&amp;virtModeType=default&amp;virtMode=0&amp;nonVirtPosition=&amp;position=chr2:10056030-10080510","chr2:10056030-10080510")</f>
        <v>chr2:10056030-10080510</v>
      </c>
      <c r="F410" t="s">
        <v>25</v>
      </c>
      <c r="G410">
        <v>-0.74134068505994799</v>
      </c>
      <c r="H410">
        <v>0.139024291020377</v>
      </c>
      <c r="I410">
        <v>-5.3324543475016597</v>
      </c>
      <c r="J410" s="1">
        <v>9.6894133863650701E-8</v>
      </c>
      <c r="K410" s="1">
        <v>3.1879836525015898E-6</v>
      </c>
      <c r="L410" t="s">
        <v>26</v>
      </c>
      <c r="M410" t="s">
        <v>27</v>
      </c>
      <c r="N410">
        <v>655.74360951537597</v>
      </c>
      <c r="O410">
        <v>859.74760830245395</v>
      </c>
      <c r="P410">
        <v>502.74061042506798</v>
      </c>
      <c r="Q410">
        <v>753.34031474574601</v>
      </c>
      <c r="R410">
        <v>1025.8845481677499</v>
      </c>
      <c r="S410">
        <v>800.01796199386604</v>
      </c>
      <c r="T410">
        <v>453.71251684254503</v>
      </c>
      <c r="U410">
        <v>511.76036226664303</v>
      </c>
      <c r="V410">
        <v>507.60100048011901</v>
      </c>
      <c r="W410">
        <v>537.88856211096402</v>
      </c>
    </row>
    <row r="411" spans="1:23" x14ac:dyDescent="0.2">
      <c r="A411" t="s">
        <v>841</v>
      </c>
      <c r="B411" s="3" t="str">
        <f>HYPERLINK("http://www.ncbi.nlm.nih.gov/gene/13039","Ctsl")</f>
        <v>Ctsl</v>
      </c>
      <c r="C411">
        <v>13039</v>
      </c>
      <c r="D411" t="s">
        <v>842</v>
      </c>
      <c r="E411" s="3" t="str">
        <f>HYPERLINK("http://genome.ucsc.edu/cgi-bin/hgTracks?db=mm10&amp;lastVirtModeType=default&amp;lastVirtModeExtraState=&amp;virtModeType=default&amp;virtMode=0&amp;nonVirtPosition=&amp;position=chr13:64361889-64370520","chr13:64361889-64370520")</f>
        <v>chr13:64361889-64370520</v>
      </c>
      <c r="F411" t="s">
        <v>25</v>
      </c>
      <c r="G411">
        <v>-0.97168273863826105</v>
      </c>
      <c r="H411">
        <v>0.18287936293860199</v>
      </c>
      <c r="I411">
        <v>-5.3132443323552296</v>
      </c>
      <c r="J411" s="1">
        <v>1.07690489631885E-7</v>
      </c>
      <c r="K411" s="1">
        <v>3.5345180065210198E-6</v>
      </c>
      <c r="L411" t="s">
        <v>26</v>
      </c>
      <c r="M411" t="s">
        <v>27</v>
      </c>
      <c r="N411">
        <v>547.86742042581602</v>
      </c>
      <c r="O411">
        <v>780.22190714055705</v>
      </c>
      <c r="P411">
        <v>373.60155538976102</v>
      </c>
      <c r="Q411">
        <v>911.469397811372</v>
      </c>
      <c r="R411">
        <v>695.93277112303701</v>
      </c>
      <c r="S411">
        <v>733.26355248726304</v>
      </c>
      <c r="T411">
        <v>242.89659992580701</v>
      </c>
      <c r="U411">
        <v>353.307363071113</v>
      </c>
      <c r="V411">
        <v>450.95567144103302</v>
      </c>
      <c r="W411">
        <v>447.24658712108999</v>
      </c>
    </row>
    <row r="412" spans="1:23" x14ac:dyDescent="0.2">
      <c r="A412" t="s">
        <v>843</v>
      </c>
      <c r="B412" s="3" t="str">
        <f>HYPERLINK("http://www.ncbi.nlm.nih.gov/gene/80891","Fcrls")</f>
        <v>Fcrls</v>
      </c>
      <c r="C412">
        <v>80891</v>
      </c>
      <c r="D412" t="s">
        <v>844</v>
      </c>
      <c r="E412" s="3" t="str">
        <f>HYPERLINK("http://genome.ucsc.edu/cgi-bin/hgTracks?db=mm10&amp;lastVirtModeType=default&amp;lastVirtModeExtraState=&amp;virtModeType=default&amp;virtMode=0&amp;nonVirtPosition=&amp;position=chr3:87250964-87263524","chr3:87250964-87263524")</f>
        <v>chr3:87250964-87263524</v>
      </c>
      <c r="F412" t="s">
        <v>25</v>
      </c>
      <c r="G412">
        <v>-1.7668531113511301</v>
      </c>
      <c r="H412">
        <v>0.33309308241687802</v>
      </c>
      <c r="I412">
        <v>-5.3043824823112002</v>
      </c>
      <c r="J412" s="1">
        <v>1.1305504666823201E-7</v>
      </c>
      <c r="K412" s="1">
        <v>3.7015162101083001E-6</v>
      </c>
      <c r="L412" t="s">
        <v>26</v>
      </c>
      <c r="M412" t="s">
        <v>27</v>
      </c>
      <c r="N412">
        <v>80.370145223359103</v>
      </c>
      <c r="O412">
        <v>148.21944370760801</v>
      </c>
      <c r="P412">
        <v>29.483171360172001</v>
      </c>
      <c r="Q412">
        <v>274.49872518082202</v>
      </c>
      <c r="R412">
        <v>92.538199538976102</v>
      </c>
      <c r="S412">
        <v>77.621406403027194</v>
      </c>
      <c r="T412">
        <v>18.3318188623251</v>
      </c>
      <c r="U412">
        <v>36.401364680054101</v>
      </c>
      <c r="V412">
        <v>34.575720322558801</v>
      </c>
      <c r="W412">
        <v>28.623781575749799</v>
      </c>
    </row>
    <row r="413" spans="1:23" x14ac:dyDescent="0.2">
      <c r="A413" t="s">
        <v>845</v>
      </c>
      <c r="B413" s="3" t="str">
        <f>HYPERLINK("http://www.ncbi.nlm.nih.gov/gene/13498","Atn1")</f>
        <v>Atn1</v>
      </c>
      <c r="C413">
        <v>13498</v>
      </c>
      <c r="D413" t="s">
        <v>846</v>
      </c>
      <c r="E413" s="3" t="str">
        <f>HYPERLINK("http://genome.ucsc.edu/cgi-bin/hgTracks?db=mm10&amp;lastVirtModeType=default&amp;lastVirtModeExtraState=&amp;virtModeType=default&amp;virtMode=0&amp;nonVirtPosition=&amp;position=chr6:124742543-124756487","chr6:124742543-124756487")</f>
        <v>chr6:124742543-124756487</v>
      </c>
      <c r="F413" t="s">
        <v>25</v>
      </c>
      <c r="G413">
        <v>1.0454280406724199</v>
      </c>
      <c r="H413">
        <v>0.19721940677094801</v>
      </c>
      <c r="I413">
        <v>5.3008375686201301</v>
      </c>
      <c r="J413" s="1">
        <v>1.15272613728295E-7</v>
      </c>
      <c r="K413" s="1">
        <v>3.7649160254526901E-6</v>
      </c>
      <c r="L413" t="s">
        <v>26</v>
      </c>
      <c r="M413" t="s">
        <v>27</v>
      </c>
      <c r="N413">
        <v>289.75840313773398</v>
      </c>
      <c r="O413">
        <v>173.434377521664</v>
      </c>
      <c r="P413">
        <v>377.00142234978699</v>
      </c>
      <c r="Q413">
        <v>148.66360978352901</v>
      </c>
      <c r="R413">
        <v>134.63549523088699</v>
      </c>
      <c r="S413">
        <v>237.00402755057601</v>
      </c>
      <c r="T413">
        <v>362.05342253091999</v>
      </c>
      <c r="U413">
        <v>451.80517338184802</v>
      </c>
      <c r="V413">
        <v>324.42324813294601</v>
      </c>
      <c r="W413">
        <v>369.723845353434</v>
      </c>
    </row>
    <row r="414" spans="1:23" x14ac:dyDescent="0.2">
      <c r="A414" t="s">
        <v>847</v>
      </c>
      <c r="B414" s="3" t="str">
        <f>HYPERLINK("http://www.ncbi.nlm.nih.gov/gene/224648","Uhrf1bp1")</f>
        <v>Uhrf1bp1</v>
      </c>
      <c r="C414">
        <v>224648</v>
      </c>
      <c r="D414" t="s">
        <v>848</v>
      </c>
      <c r="E414" s="3" t="str">
        <f>HYPERLINK("http://genome.ucsc.edu/cgi-bin/hgTracks?db=mm10&amp;lastVirtModeType=default&amp;lastVirtModeExtraState=&amp;virtModeType=default&amp;virtMode=0&amp;nonVirtPosition=&amp;position=chr17:27856506-27900040","chr17:27856506-27900040")</f>
        <v>chr17:27856506-27900040</v>
      </c>
      <c r="F414" t="s">
        <v>30</v>
      </c>
      <c r="G414">
        <v>0.68331296078119796</v>
      </c>
      <c r="H414">
        <v>0.129102936697117</v>
      </c>
      <c r="I414">
        <v>5.2927762780818197</v>
      </c>
      <c r="J414" s="1">
        <v>1.20473267442834E-7</v>
      </c>
      <c r="K414" s="1">
        <v>3.9252007891167503E-6</v>
      </c>
      <c r="L414" t="s">
        <v>26</v>
      </c>
      <c r="M414" t="s">
        <v>27</v>
      </c>
      <c r="N414">
        <v>386.59566284410602</v>
      </c>
      <c r="O414">
        <v>286.185530370489</v>
      </c>
      <c r="P414">
        <v>461.90326219931899</v>
      </c>
      <c r="Q414">
        <v>265.59004444473101</v>
      </c>
      <c r="R414">
        <v>274.201304371638</v>
      </c>
      <c r="S414">
        <v>318.76524229509801</v>
      </c>
      <c r="T414">
        <v>398.71706025557</v>
      </c>
      <c r="U414">
        <v>531.03167297961295</v>
      </c>
      <c r="V414">
        <v>463.46178304706501</v>
      </c>
      <c r="W414">
        <v>454.40253251502702</v>
      </c>
    </row>
    <row r="415" spans="1:23" x14ac:dyDescent="0.2">
      <c r="A415" t="s">
        <v>849</v>
      </c>
      <c r="B415" s="3" t="str">
        <f>HYPERLINK("http://www.ncbi.nlm.nih.gov/gene/213054","Gabpb2")</f>
        <v>Gabpb2</v>
      </c>
      <c r="C415">
        <v>213054</v>
      </c>
      <c r="D415" t="s">
        <v>850</v>
      </c>
      <c r="E415" s="3" t="str">
        <f>HYPERLINK("http://genome.ucsc.edu/cgi-bin/hgTracks?db=mm10&amp;lastVirtModeType=default&amp;lastVirtModeExtraState=&amp;virtModeType=default&amp;virtMode=0&amp;nonVirtPosition=&amp;position=chr3:95181765-95217942","chr3:95181765-95217942")</f>
        <v>chr3:95181765-95217942</v>
      </c>
      <c r="F415" t="s">
        <v>25</v>
      </c>
      <c r="G415">
        <v>0.76511696879521196</v>
      </c>
      <c r="H415">
        <v>0.14461025736511901</v>
      </c>
      <c r="I415">
        <v>5.29089002907594</v>
      </c>
      <c r="J415" s="1">
        <v>1.21722543650724E-7</v>
      </c>
      <c r="K415" s="1">
        <v>3.9562781117156298E-6</v>
      </c>
      <c r="L415" t="s">
        <v>26</v>
      </c>
      <c r="M415" t="s">
        <v>27</v>
      </c>
      <c r="N415">
        <v>261.24690867465102</v>
      </c>
      <c r="O415">
        <v>184.077602924465</v>
      </c>
      <c r="P415">
        <v>319.12388798729103</v>
      </c>
      <c r="Q415">
        <v>174.276066899792</v>
      </c>
      <c r="R415">
        <v>185.455653994096</v>
      </c>
      <c r="S415">
        <v>192.501087879507</v>
      </c>
      <c r="T415">
        <v>357.47046781533902</v>
      </c>
      <c r="U415">
        <v>248.385782522722</v>
      </c>
      <c r="V415">
        <v>354.58504671219902</v>
      </c>
      <c r="W415">
        <v>316.05425489890399</v>
      </c>
    </row>
    <row r="416" spans="1:23" x14ac:dyDescent="0.2">
      <c r="A416" t="s">
        <v>851</v>
      </c>
      <c r="B416" s="3" t="str">
        <f>HYPERLINK("http://www.ncbi.nlm.nih.gov/gene/72749","Tonsl")</f>
        <v>Tonsl</v>
      </c>
      <c r="C416">
        <v>72749</v>
      </c>
      <c r="D416" t="s">
        <v>852</v>
      </c>
      <c r="E416" s="3" t="str">
        <f>HYPERLINK("http://genome.ucsc.edu/cgi-bin/hgTracks?db=mm10&amp;lastVirtModeType=default&amp;lastVirtModeExtraState=&amp;virtModeType=default&amp;virtMode=0&amp;nonVirtPosition=&amp;position=chr15:76626236-76639929","chr15:76626236-76639929")</f>
        <v>chr15:76626236-76639929</v>
      </c>
      <c r="F416" t="s">
        <v>25</v>
      </c>
      <c r="G416">
        <v>1.4302699643016801</v>
      </c>
      <c r="H416">
        <v>0.27045577596466802</v>
      </c>
      <c r="I416">
        <v>5.2883690843730697</v>
      </c>
      <c r="J416" s="1">
        <v>1.2341176830513999E-7</v>
      </c>
      <c r="K416" s="1">
        <v>4.0014697079276697E-6</v>
      </c>
      <c r="L416" t="s">
        <v>26</v>
      </c>
      <c r="M416" t="s">
        <v>27</v>
      </c>
      <c r="N416">
        <v>108.780364684083</v>
      </c>
      <c r="O416">
        <v>48.269681237085003</v>
      </c>
      <c r="P416">
        <v>154.16337726933199</v>
      </c>
      <c r="Q416">
        <v>29.5100049383034</v>
      </c>
      <c r="R416">
        <v>48.544629266348103</v>
      </c>
      <c r="S416">
        <v>66.754409506603395</v>
      </c>
      <c r="T416">
        <v>169.56932447650701</v>
      </c>
      <c r="U416">
        <v>194.854363875584</v>
      </c>
      <c r="V416">
        <v>91.221049361644504</v>
      </c>
      <c r="W416">
        <v>161.00877136359199</v>
      </c>
    </row>
    <row r="417" spans="1:23" x14ac:dyDescent="0.2">
      <c r="A417" t="s">
        <v>851</v>
      </c>
      <c r="B417" s="3" t="str">
        <f>HYPERLINK("http://www.ncbi.nlm.nih.gov/gene/66914","Vps28")</f>
        <v>Vps28</v>
      </c>
      <c r="C417">
        <v>66914</v>
      </c>
      <c r="D417" t="s">
        <v>853</v>
      </c>
      <c r="E417" s="3" t="str">
        <f>HYPERLINK("http://genome.ucsc.edu/cgi-bin/hgTracks?db=mm10&amp;lastVirtModeType=default&amp;lastVirtModeExtraState=&amp;virtModeType=default&amp;virtMode=0&amp;nonVirtPosition=&amp;position=chr15:76622085-76626084","chr15:76622085-76626084")</f>
        <v>chr15:76622085-76626084</v>
      </c>
      <c r="F417" t="s">
        <v>25</v>
      </c>
      <c r="G417">
        <v>1.4302699643016801</v>
      </c>
      <c r="H417">
        <v>0.27045577596466802</v>
      </c>
      <c r="I417">
        <v>5.2883690843730697</v>
      </c>
      <c r="J417" s="1">
        <v>1.2341176830513999E-7</v>
      </c>
      <c r="K417" s="1">
        <v>4.0014697079276697E-6</v>
      </c>
      <c r="L417" t="s">
        <v>26</v>
      </c>
      <c r="M417" t="s">
        <v>27</v>
      </c>
      <c r="N417">
        <v>108.780364684083</v>
      </c>
      <c r="O417">
        <v>48.269681237085003</v>
      </c>
      <c r="P417">
        <v>154.16337726933199</v>
      </c>
      <c r="Q417">
        <v>29.5100049383034</v>
      </c>
      <c r="R417">
        <v>48.544629266348103</v>
      </c>
      <c r="S417">
        <v>66.754409506603395</v>
      </c>
      <c r="T417">
        <v>169.56932447650701</v>
      </c>
      <c r="U417">
        <v>194.854363875584</v>
      </c>
      <c r="V417">
        <v>91.221049361644504</v>
      </c>
      <c r="W417">
        <v>161.00877136359199</v>
      </c>
    </row>
    <row r="418" spans="1:23" x14ac:dyDescent="0.2">
      <c r="A418" t="s">
        <v>854</v>
      </c>
      <c r="B418" s="3" t="str">
        <f>HYPERLINK("http://www.ncbi.nlm.nih.gov/gene/242705","E2f2")</f>
        <v>E2f2</v>
      </c>
      <c r="C418">
        <v>242705</v>
      </c>
      <c r="D418" t="s">
        <v>855</v>
      </c>
      <c r="E418" s="3" t="str">
        <f>HYPERLINK("http://genome.ucsc.edu/cgi-bin/hgTracks?db=mm10&amp;lastVirtModeType=default&amp;lastVirtModeExtraState=&amp;virtModeType=default&amp;virtMode=0&amp;nonVirtPosition=&amp;position=chr4:136180781-136196056","chr4:136180781-136196056")</f>
        <v>chr4:136180781-136196056</v>
      </c>
      <c r="F418" t="s">
        <v>30</v>
      </c>
      <c r="G418">
        <v>1.2584009598697801</v>
      </c>
      <c r="H418">
        <v>0.23798477367468099</v>
      </c>
      <c r="I418">
        <v>5.28773728015888</v>
      </c>
      <c r="J418" s="1">
        <v>1.23838666678337E-7</v>
      </c>
      <c r="K418" s="1">
        <v>4.0056125253372299E-6</v>
      </c>
      <c r="L418" t="s">
        <v>26</v>
      </c>
      <c r="M418" t="s">
        <v>27</v>
      </c>
      <c r="N418">
        <v>98.533531885833995</v>
      </c>
      <c r="O418">
        <v>50.045311793904098</v>
      </c>
      <c r="P418">
        <v>134.899696954782</v>
      </c>
      <c r="Q418">
        <v>35.077930398360699</v>
      </c>
      <c r="R418">
        <v>47.786119434061398</v>
      </c>
      <c r="S418">
        <v>67.271885549290204</v>
      </c>
      <c r="T418">
        <v>151.237505614182</v>
      </c>
      <c r="U418">
        <v>167.018026179072</v>
      </c>
      <c r="V418">
        <v>104.462814591561</v>
      </c>
      <c r="W418">
        <v>116.880441434312</v>
      </c>
    </row>
    <row r="419" spans="1:23" x14ac:dyDescent="0.2">
      <c r="A419" t="s">
        <v>856</v>
      </c>
      <c r="B419" s="3" t="str">
        <f>HYPERLINK("http://www.ncbi.nlm.nih.gov/gene/66070","Cwc15")</f>
        <v>Cwc15</v>
      </c>
      <c r="C419">
        <v>66070</v>
      </c>
      <c r="D419" t="s">
        <v>857</v>
      </c>
      <c r="E419" s="3" t="str">
        <f>HYPERLINK("http://genome.ucsc.edu/cgi-bin/hgTracks?db=mm10&amp;lastVirtModeType=default&amp;lastVirtModeExtraState=&amp;virtModeType=default&amp;virtMode=0&amp;nonVirtPosition=&amp;position=chr9:14500618-14510620","chr9:14500618-14510620")</f>
        <v>chr9:14500618-14510620</v>
      </c>
      <c r="F419" t="s">
        <v>30</v>
      </c>
      <c r="G419">
        <v>-0.83574336235067304</v>
      </c>
      <c r="H419">
        <v>0.15811051588733799</v>
      </c>
      <c r="I419">
        <v>-5.2858176931519303</v>
      </c>
      <c r="J419" s="1">
        <v>1.2514447899070399E-7</v>
      </c>
      <c r="K419" s="1">
        <v>4.0380957064205296E-6</v>
      </c>
      <c r="L419" t="s">
        <v>26</v>
      </c>
      <c r="M419" t="s">
        <v>27</v>
      </c>
      <c r="N419">
        <v>263.12328959663103</v>
      </c>
      <c r="O419">
        <v>356.21208182296903</v>
      </c>
      <c r="P419">
        <v>193.30669542687801</v>
      </c>
      <c r="Q419">
        <v>353.56326671363502</v>
      </c>
      <c r="R419">
        <v>419.07668233839598</v>
      </c>
      <c r="S419">
        <v>295.99629641687699</v>
      </c>
      <c r="T419">
        <v>178.735233907669</v>
      </c>
      <c r="U419">
        <v>190.571850383813</v>
      </c>
      <c r="V419">
        <v>186.856020466594</v>
      </c>
      <c r="W419">
        <v>217.063676949436</v>
      </c>
    </row>
    <row r="420" spans="1:23" x14ac:dyDescent="0.2">
      <c r="A420" t="s">
        <v>858</v>
      </c>
      <c r="B420" s="3" t="str">
        <f>HYPERLINK("http://www.ncbi.nlm.nih.gov/gene/54367","Zfp326")</f>
        <v>Zfp326</v>
      </c>
      <c r="C420">
        <v>54367</v>
      </c>
      <c r="D420" t="s">
        <v>859</v>
      </c>
      <c r="E420" s="3" t="str">
        <f>HYPERLINK("http://genome.ucsc.edu/cgi-bin/hgTracks?db=mm10&amp;lastVirtModeType=default&amp;lastVirtModeExtraState=&amp;virtModeType=default&amp;virtMode=0&amp;nonVirtPosition=&amp;position=chr5:105876567-105915820","chr5:105876567-105915820")</f>
        <v>chr5:105876567-105915820</v>
      </c>
      <c r="F420" t="s">
        <v>30</v>
      </c>
      <c r="G420">
        <v>0.78606332643227395</v>
      </c>
      <c r="H420">
        <v>0.14894433723038</v>
      </c>
      <c r="I420">
        <v>5.2775643643063104</v>
      </c>
      <c r="J420" s="1">
        <v>1.3091222921581299E-7</v>
      </c>
      <c r="K420" s="1">
        <v>4.2140520707426802E-6</v>
      </c>
      <c r="L420" t="s">
        <v>26</v>
      </c>
      <c r="M420" t="s">
        <v>27</v>
      </c>
      <c r="N420">
        <v>227.306496249764</v>
      </c>
      <c r="O420">
        <v>159.61834350308001</v>
      </c>
      <c r="P420">
        <v>278.07261080977599</v>
      </c>
      <c r="Q420">
        <v>140.868514139448</v>
      </c>
      <c r="R420">
        <v>163.079613941638</v>
      </c>
      <c r="S420">
        <v>174.90690242815401</v>
      </c>
      <c r="T420">
        <v>270.39432821929501</v>
      </c>
      <c r="U420">
        <v>254.80955276037901</v>
      </c>
      <c r="V420">
        <v>325.894555380714</v>
      </c>
      <c r="W420">
        <v>261.192006878717</v>
      </c>
    </row>
    <row r="421" spans="1:23" x14ac:dyDescent="0.2">
      <c r="A421" t="s">
        <v>860</v>
      </c>
      <c r="B421" s="3" t="str">
        <f>HYPERLINK("http://www.ncbi.nlm.nih.gov/gene/69019","Spcs1")</f>
        <v>Spcs1</v>
      </c>
      <c r="C421">
        <v>69019</v>
      </c>
      <c r="D421" t="s">
        <v>861</v>
      </c>
      <c r="E421" s="3" t="str">
        <f>HYPERLINK("http://genome.ucsc.edu/cgi-bin/hgTracks?db=mm10&amp;lastVirtModeType=default&amp;lastVirtModeExtraState=&amp;virtModeType=default&amp;virtMode=0&amp;nonVirtPosition=&amp;position=chr14:30999825-31001666","chr14:30999825-31001666")</f>
        <v>chr14:30999825-31001666</v>
      </c>
      <c r="F421" t="s">
        <v>25</v>
      </c>
      <c r="G421">
        <v>-0.77614394592209701</v>
      </c>
      <c r="H421">
        <v>0.14713374853261299</v>
      </c>
      <c r="I421">
        <v>-5.2750912259267198</v>
      </c>
      <c r="J421" s="1">
        <v>1.32690064492971E-7</v>
      </c>
      <c r="K421" s="1">
        <v>4.26103753866997E-6</v>
      </c>
      <c r="L421" t="s">
        <v>26</v>
      </c>
      <c r="M421" t="s">
        <v>27</v>
      </c>
      <c r="N421">
        <v>175.89159674239301</v>
      </c>
      <c r="O421">
        <v>235.041272267469</v>
      </c>
      <c r="P421">
        <v>131.529340098586</v>
      </c>
      <c r="Q421">
        <v>247.77268297254801</v>
      </c>
      <c r="R421">
        <v>220.347106279283</v>
      </c>
      <c r="S421">
        <v>237.00402755057601</v>
      </c>
      <c r="T421">
        <v>123.739777320694</v>
      </c>
      <c r="U421">
        <v>115.627864277819</v>
      </c>
      <c r="V421">
        <v>141.24549578577199</v>
      </c>
      <c r="W421">
        <v>145.504223010061</v>
      </c>
    </row>
    <row r="422" spans="1:23" x14ac:dyDescent="0.2">
      <c r="A422" t="s">
        <v>862</v>
      </c>
      <c r="B422" s="3" t="str">
        <f>HYPERLINK("http://www.ncbi.nlm.nih.gov/gene/11886","Asah1")</f>
        <v>Asah1</v>
      </c>
      <c r="C422">
        <v>11886</v>
      </c>
      <c r="D422" t="s">
        <v>863</v>
      </c>
      <c r="E422" s="3" t="str">
        <f>HYPERLINK("http://genome.ucsc.edu/cgi-bin/hgTracks?db=mm10&amp;lastVirtModeType=default&amp;lastVirtModeExtraState=&amp;virtModeType=default&amp;virtMode=0&amp;nonVirtPosition=&amp;position=chr8:41340645-41374697","chr8:41340645-41374697")</f>
        <v>chr8:41340645-41374697</v>
      </c>
      <c r="F422" t="s">
        <v>25</v>
      </c>
      <c r="G422">
        <v>-0.68060589436855401</v>
      </c>
      <c r="H422">
        <v>0.12907848083001</v>
      </c>
      <c r="I422">
        <v>-5.2728068225785902</v>
      </c>
      <c r="J422" s="1">
        <v>1.3435296064823799E-7</v>
      </c>
      <c r="K422" s="1">
        <v>4.30411601923579E-6</v>
      </c>
      <c r="L422" t="s">
        <v>26</v>
      </c>
      <c r="M422" t="s">
        <v>27</v>
      </c>
      <c r="N422">
        <v>454.69615888321198</v>
      </c>
      <c r="O422">
        <v>583.26439908109398</v>
      </c>
      <c r="P422">
        <v>358.26997873480099</v>
      </c>
      <c r="Q422">
        <v>632.51633226250397</v>
      </c>
      <c r="R422">
        <v>613.25519940378797</v>
      </c>
      <c r="S422">
        <v>504.02166557699002</v>
      </c>
      <c r="T422">
        <v>366.63637724650101</v>
      </c>
      <c r="U422">
        <v>325.47102537460103</v>
      </c>
      <c r="V422">
        <v>379.597269924263</v>
      </c>
      <c r="W422">
        <v>361.37524239384101</v>
      </c>
    </row>
    <row r="423" spans="1:23" x14ac:dyDescent="0.2">
      <c r="A423" t="s">
        <v>864</v>
      </c>
      <c r="B423" s="3" t="str">
        <f>HYPERLINK("http://www.ncbi.nlm.nih.gov/gene/12937","Pcdha6")</f>
        <v>Pcdha6</v>
      </c>
      <c r="C423">
        <v>12937</v>
      </c>
      <c r="D423" t="s">
        <v>865</v>
      </c>
      <c r="E423" s="3" t="str">
        <f>HYPERLINK("http://genome.ucsc.edu/cgi-bin/hgTracks?db=mm10&amp;lastVirtModeType=default&amp;lastVirtModeExtraState=&amp;virtModeType=default&amp;virtMode=0&amp;nonVirtPosition=&amp;position=chr18:36967755-37187657","chr18:36967755-37187657")</f>
        <v>chr18:36967755-37187657</v>
      </c>
      <c r="F423" t="s">
        <v>30</v>
      </c>
      <c r="G423">
        <v>1.5881557124043</v>
      </c>
      <c r="H423">
        <v>0.301385277640005</v>
      </c>
      <c r="I423">
        <v>5.2695198811313704</v>
      </c>
      <c r="J423" s="1">
        <v>1.36781056143281E-7</v>
      </c>
      <c r="K423" s="1">
        <v>4.3714442071949202E-6</v>
      </c>
      <c r="L423" t="s">
        <v>26</v>
      </c>
      <c r="M423" t="s">
        <v>27</v>
      </c>
      <c r="N423">
        <v>25.8570053608228</v>
      </c>
      <c r="O423">
        <v>9.9447048995638703</v>
      </c>
      <c r="P423">
        <v>37.791230706767003</v>
      </c>
      <c r="Q423">
        <v>7.79509564408015</v>
      </c>
      <c r="R423">
        <v>9.1021179874402698</v>
      </c>
      <c r="S423">
        <v>12.936901067171201</v>
      </c>
      <c r="T423">
        <v>45.829547155812598</v>
      </c>
      <c r="U423">
        <v>25.695080950626402</v>
      </c>
      <c r="V423">
        <v>42.6679101852854</v>
      </c>
      <c r="W423">
        <v>36.972384535343402</v>
      </c>
    </row>
    <row r="424" spans="1:23" x14ac:dyDescent="0.2">
      <c r="A424" t="s">
        <v>866</v>
      </c>
      <c r="B424" s="3" t="str">
        <f>HYPERLINK("http://www.ncbi.nlm.nih.gov/gene/383103","Tvp23a")</f>
        <v>Tvp23a</v>
      </c>
      <c r="C424">
        <v>383103</v>
      </c>
      <c r="D424" t="s">
        <v>867</v>
      </c>
      <c r="E424" s="3" t="str">
        <f>HYPERLINK("http://genome.ucsc.edu/cgi-bin/hgTracks?db=mm10&amp;lastVirtModeType=default&amp;lastVirtModeExtraState=&amp;virtModeType=default&amp;virtMode=0&amp;nonVirtPosition=&amp;position=chr16:10420558-10447350","chr16:10420558-10447350")</f>
        <v>chr16:10420558-10447350</v>
      </c>
      <c r="F424" t="s">
        <v>25</v>
      </c>
      <c r="G424">
        <v>0.99144008127352401</v>
      </c>
      <c r="H424">
        <v>0.18820417600079301</v>
      </c>
      <c r="I424">
        <v>5.26789629401926</v>
      </c>
      <c r="J424" s="1">
        <v>1.3799602404303099E-7</v>
      </c>
      <c r="K424" s="1">
        <v>4.3997732332386401E-6</v>
      </c>
      <c r="L424" t="s">
        <v>26</v>
      </c>
      <c r="M424" t="s">
        <v>27</v>
      </c>
      <c r="N424">
        <v>207.749843592286</v>
      </c>
      <c r="O424">
        <v>126.862099993134</v>
      </c>
      <c r="P424">
        <v>268.41565129165002</v>
      </c>
      <c r="Q424">
        <v>134.74379613338499</v>
      </c>
      <c r="R424">
        <v>103.536592107133</v>
      </c>
      <c r="S424">
        <v>142.305911738883</v>
      </c>
      <c r="T424">
        <v>362.05342253091999</v>
      </c>
      <c r="U424">
        <v>196.99562062146899</v>
      </c>
      <c r="V424">
        <v>248.65092487287001</v>
      </c>
      <c r="W424">
        <v>265.96263714134102</v>
      </c>
    </row>
    <row r="425" spans="1:23" x14ac:dyDescent="0.2">
      <c r="A425" t="s">
        <v>868</v>
      </c>
      <c r="B425" s="3" t="str">
        <f>HYPERLINK("http://www.ncbi.nlm.nih.gov/gene/19044","Ppox")</f>
        <v>Ppox</v>
      </c>
      <c r="C425">
        <v>19044</v>
      </c>
      <c r="D425" t="s">
        <v>869</v>
      </c>
      <c r="E425" s="3" t="str">
        <f>HYPERLINK("http://genome.ucsc.edu/cgi-bin/hgTracks?db=mm10&amp;lastVirtModeType=default&amp;lastVirtModeExtraState=&amp;virtModeType=default&amp;virtMode=0&amp;nonVirtPosition=&amp;position=chr1:171276991-171281186","chr1:171276991-171281186")</f>
        <v>chr1:171276991-171281186</v>
      </c>
      <c r="F425" t="s">
        <v>25</v>
      </c>
      <c r="G425">
        <v>0.90336453147223195</v>
      </c>
      <c r="H425">
        <v>0.17163527532626199</v>
      </c>
      <c r="I425">
        <v>5.2632801139219501</v>
      </c>
      <c r="J425" s="1">
        <v>1.41507726366898E-7</v>
      </c>
      <c r="K425" s="1">
        <v>4.50102129163689E-6</v>
      </c>
      <c r="L425" t="s">
        <v>26</v>
      </c>
      <c r="M425" t="s">
        <v>27</v>
      </c>
      <c r="N425">
        <v>115.175283145696</v>
      </c>
      <c r="O425">
        <v>75.527631325446805</v>
      </c>
      <c r="P425">
        <v>144.91102201088299</v>
      </c>
      <c r="Q425">
        <v>80.178126624824401</v>
      </c>
      <c r="R425">
        <v>68.265884905801997</v>
      </c>
      <c r="S425">
        <v>78.138882445714003</v>
      </c>
      <c r="T425">
        <v>151.237505614182</v>
      </c>
      <c r="U425">
        <v>119.91037776959</v>
      </c>
      <c r="V425">
        <v>142.716803033541</v>
      </c>
      <c r="W425">
        <v>165.77940162621701</v>
      </c>
    </row>
    <row r="426" spans="1:23" x14ac:dyDescent="0.2">
      <c r="A426" t="s">
        <v>870</v>
      </c>
      <c r="B426" s="3" t="str">
        <f>HYPERLINK("http://www.ncbi.nlm.nih.gov/gene/100952","Emilin1")</f>
        <v>Emilin1</v>
      </c>
      <c r="C426">
        <v>100952</v>
      </c>
      <c r="D426" t="s">
        <v>871</v>
      </c>
      <c r="E426" s="3" t="str">
        <f>HYPERLINK("http://genome.ucsc.edu/cgi-bin/hgTracks?db=mm10&amp;lastVirtModeType=default&amp;lastVirtModeExtraState=&amp;virtModeType=default&amp;virtMode=0&amp;nonVirtPosition=&amp;position=chr5:30913785-30921273","chr5:30913785-30921273")</f>
        <v>chr5:30913785-30921273</v>
      </c>
      <c r="F426" t="s">
        <v>30</v>
      </c>
      <c r="G426">
        <v>1.1963615185232701</v>
      </c>
      <c r="H426">
        <v>0.227482212115826</v>
      </c>
      <c r="I426">
        <v>5.2591431540771501</v>
      </c>
      <c r="J426" s="1">
        <v>1.4472819047859299E-7</v>
      </c>
      <c r="K426" s="1">
        <v>4.5915697166923402E-6</v>
      </c>
      <c r="L426" t="s">
        <v>26</v>
      </c>
      <c r="M426" t="s">
        <v>27</v>
      </c>
      <c r="N426">
        <v>221.46163844863401</v>
      </c>
      <c r="O426">
        <v>120.739557532235</v>
      </c>
      <c r="P426">
        <v>297.00319913593398</v>
      </c>
      <c r="Q426">
        <v>134.74379613338499</v>
      </c>
      <c r="R426">
        <v>70.162159486518803</v>
      </c>
      <c r="S426">
        <v>157.31271697680199</v>
      </c>
      <c r="T426">
        <v>265.81137350371301</v>
      </c>
      <c r="U426">
        <v>267.657093235692</v>
      </c>
      <c r="V426">
        <v>297.93971767311302</v>
      </c>
      <c r="W426">
        <v>356.60461213121602</v>
      </c>
    </row>
    <row r="427" spans="1:23" x14ac:dyDescent="0.2">
      <c r="A427" t="s">
        <v>872</v>
      </c>
      <c r="B427" s="3" t="str">
        <f>HYPERLINK("http://www.ncbi.nlm.nih.gov/gene/11429","Aco2")</f>
        <v>Aco2</v>
      </c>
      <c r="C427">
        <v>11429</v>
      </c>
      <c r="D427" t="s">
        <v>873</v>
      </c>
      <c r="E427" s="3" t="str">
        <f>HYPERLINK("http://genome.ucsc.edu/cgi-bin/hgTracks?db=mm10&amp;lastVirtModeType=default&amp;lastVirtModeExtraState=&amp;virtModeType=default&amp;virtMode=0&amp;nonVirtPosition=&amp;position=chr15:81872462-81915137","chr15:81872462-81915137")</f>
        <v>chr15:81872462-81915137</v>
      </c>
      <c r="F427" t="s">
        <v>30</v>
      </c>
      <c r="G427">
        <v>-0.65250265151558695</v>
      </c>
      <c r="H427">
        <v>0.124079490373542</v>
      </c>
      <c r="I427">
        <v>-5.2587470302402304</v>
      </c>
      <c r="J427" s="1">
        <v>1.4504025018003599E-7</v>
      </c>
      <c r="K427" s="1">
        <v>4.5915697166923402E-6</v>
      </c>
      <c r="L427" t="s">
        <v>26</v>
      </c>
      <c r="M427" t="s">
        <v>27</v>
      </c>
      <c r="N427">
        <v>973.43640825372995</v>
      </c>
      <c r="O427">
        <v>1235.3080055895</v>
      </c>
      <c r="P427">
        <v>777.03271025190099</v>
      </c>
      <c r="Q427">
        <v>1084.0750870731499</v>
      </c>
      <c r="R427">
        <v>1372.14428660662</v>
      </c>
      <c r="S427">
        <v>1249.7046430887401</v>
      </c>
      <c r="T427">
        <v>747.02161863974595</v>
      </c>
      <c r="U427">
        <v>858.64395510010002</v>
      </c>
      <c r="V427">
        <v>785.67807030835797</v>
      </c>
      <c r="W427">
        <v>716.78719695940003</v>
      </c>
    </row>
    <row r="428" spans="1:23" x14ac:dyDescent="0.2">
      <c r="A428" t="s">
        <v>874</v>
      </c>
      <c r="B428" s="3" t="str">
        <f>HYPERLINK("http://www.ncbi.nlm.nih.gov/gene/233765","Plekha7")</f>
        <v>Plekha7</v>
      </c>
      <c r="C428">
        <v>233765</v>
      </c>
      <c r="D428" t="s">
        <v>875</v>
      </c>
      <c r="E428" s="3" t="str">
        <f>HYPERLINK("http://genome.ucsc.edu/cgi-bin/hgTracks?db=mm10&amp;lastVirtModeType=default&amp;lastVirtModeExtraState=&amp;virtModeType=default&amp;virtMode=0&amp;nonVirtPosition=&amp;position=chr7:116123484-116237776","chr7:116123484-116237776")</f>
        <v>chr7:116123484-116237776</v>
      </c>
      <c r="F428" t="s">
        <v>25</v>
      </c>
      <c r="G428">
        <v>1.0534993995353299</v>
      </c>
      <c r="H428">
        <v>0.20035455656221099</v>
      </c>
      <c r="I428">
        <v>5.2581753947193901</v>
      </c>
      <c r="J428" s="1">
        <v>1.4549172246813699E-7</v>
      </c>
      <c r="K428" s="1">
        <v>4.5949991876670399E-6</v>
      </c>
      <c r="L428" t="s">
        <v>26</v>
      </c>
      <c r="M428" t="s">
        <v>27</v>
      </c>
      <c r="N428">
        <v>69.087819081288799</v>
      </c>
      <c r="O428">
        <v>40.9423864389465</v>
      </c>
      <c r="P428">
        <v>90.196893563045606</v>
      </c>
      <c r="Q428">
        <v>36.191515490372097</v>
      </c>
      <c r="R428">
        <v>40.580276027337902</v>
      </c>
      <c r="S428">
        <v>46.055367799129399</v>
      </c>
      <c r="T428">
        <v>100.825003742788</v>
      </c>
      <c r="U428">
        <v>77.0852428518793</v>
      </c>
      <c r="V428">
        <v>93.428010233297201</v>
      </c>
      <c r="W428">
        <v>89.449317424217995</v>
      </c>
    </row>
    <row r="429" spans="1:23" x14ac:dyDescent="0.2">
      <c r="A429" t="s">
        <v>876</v>
      </c>
      <c r="B429" s="3" t="str">
        <f>HYPERLINK("http://www.ncbi.nlm.nih.gov/gene/12537","Cdk11b")</f>
        <v>Cdk11b</v>
      </c>
      <c r="C429">
        <v>12537</v>
      </c>
      <c r="D429" t="s">
        <v>877</v>
      </c>
      <c r="E429" s="3" t="str">
        <f>HYPERLINK("http://genome.ucsc.edu/cgi-bin/hgTracks?db=mm10&amp;lastVirtModeType=default&amp;lastVirtModeExtraState=&amp;virtModeType=default&amp;virtMode=0&amp;nonVirtPosition=&amp;position=chr4:155624868-155649932","chr4:155624868-155649932")</f>
        <v>chr4:155624868-155649932</v>
      </c>
      <c r="F429" t="s">
        <v>30</v>
      </c>
      <c r="G429">
        <v>0.77158172430168104</v>
      </c>
      <c r="H429">
        <v>0.14686621840609601</v>
      </c>
      <c r="I429">
        <v>5.2536364909199298</v>
      </c>
      <c r="J429" s="1">
        <v>1.4912506833045801E-7</v>
      </c>
      <c r="K429" s="1">
        <v>4.6986677412074403E-6</v>
      </c>
      <c r="L429" t="s">
        <v>26</v>
      </c>
      <c r="M429" t="s">
        <v>27</v>
      </c>
      <c r="N429">
        <v>321.56728096220201</v>
      </c>
      <c r="O429">
        <v>224.654172908237</v>
      </c>
      <c r="P429">
        <v>394.25211200267597</v>
      </c>
      <c r="Q429">
        <v>194.877391102004</v>
      </c>
      <c r="R429">
        <v>220.347106279283</v>
      </c>
      <c r="S429">
        <v>258.73802134342401</v>
      </c>
      <c r="T429">
        <v>403.30001497115097</v>
      </c>
      <c r="U429">
        <v>434.67511941476403</v>
      </c>
      <c r="V429">
        <v>334.72239886732501</v>
      </c>
      <c r="W429">
        <v>404.31091475746501</v>
      </c>
    </row>
    <row r="430" spans="1:23" x14ac:dyDescent="0.2">
      <c r="A430" t="s">
        <v>878</v>
      </c>
      <c r="B430" s="3" t="str">
        <f>HYPERLINK("http://www.ncbi.nlm.nih.gov/gene/240087","Mdc1")</f>
        <v>Mdc1</v>
      </c>
      <c r="C430">
        <v>240087</v>
      </c>
      <c r="D430" t="s">
        <v>879</v>
      </c>
      <c r="E430" s="3" t="str">
        <f>HYPERLINK("http://genome.ucsc.edu/cgi-bin/hgTracks?db=mm10&amp;lastVirtModeType=default&amp;lastVirtModeExtraState=&amp;virtModeType=default&amp;virtMode=0&amp;nonVirtPosition=&amp;position=chr17:35841497-35859670","chr17:35841497-35859670")</f>
        <v>chr17:35841497-35859670</v>
      </c>
      <c r="F430" t="s">
        <v>30</v>
      </c>
      <c r="G430">
        <v>0.99977042897563795</v>
      </c>
      <c r="H430">
        <v>0.19039305679826199</v>
      </c>
      <c r="I430">
        <v>5.2510865983678201</v>
      </c>
      <c r="J430" s="1">
        <v>1.51204566775042E-7</v>
      </c>
      <c r="K430" s="1">
        <v>4.7530055250811996E-6</v>
      </c>
      <c r="L430" t="s">
        <v>26</v>
      </c>
      <c r="M430" t="s">
        <v>27</v>
      </c>
      <c r="N430">
        <v>472.47771419402699</v>
      </c>
      <c r="O430">
        <v>289.85463640660601</v>
      </c>
      <c r="P430">
        <v>609.44502253459302</v>
      </c>
      <c r="Q430">
        <v>195.99097619401499</v>
      </c>
      <c r="R430">
        <v>301.507658333959</v>
      </c>
      <c r="S430">
        <v>372.065274691843</v>
      </c>
      <c r="T430">
        <v>710.35798091509605</v>
      </c>
      <c r="U430">
        <v>535.31418647138401</v>
      </c>
      <c r="V430">
        <v>592.20116722680496</v>
      </c>
      <c r="W430">
        <v>599.90675552508901</v>
      </c>
    </row>
    <row r="431" spans="1:23" x14ac:dyDescent="0.2">
      <c r="A431" t="s">
        <v>880</v>
      </c>
      <c r="B431" s="3" t="str">
        <f>HYPERLINK("http://www.ncbi.nlm.nih.gov/gene/208440","Dip2c")</f>
        <v>Dip2c</v>
      </c>
      <c r="C431">
        <v>208440</v>
      </c>
      <c r="D431" t="s">
        <v>881</v>
      </c>
      <c r="E431" s="3" t="str">
        <f>HYPERLINK("http://genome.ucsc.edu/cgi-bin/hgTracks?db=mm10&amp;lastVirtModeType=default&amp;lastVirtModeExtraState=&amp;virtModeType=default&amp;virtMode=0&amp;nonVirtPosition=&amp;position=chr13:9276524-9668926","chr13:9276524-9668926")</f>
        <v>chr13:9276524-9668926</v>
      </c>
      <c r="F431" t="s">
        <v>30</v>
      </c>
      <c r="G431">
        <v>-0.58157111328776401</v>
      </c>
      <c r="H431">
        <v>0.110772526613075</v>
      </c>
      <c r="I431">
        <v>-5.2501385593484997</v>
      </c>
      <c r="J431" s="1">
        <v>1.5198484428210801E-7</v>
      </c>
      <c r="K431" s="1">
        <v>4.7663443788798896E-6</v>
      </c>
      <c r="L431" t="s">
        <v>26</v>
      </c>
      <c r="M431" t="s">
        <v>27</v>
      </c>
      <c r="N431">
        <v>731.22926385362302</v>
      </c>
      <c r="O431">
        <v>907.36743768446001</v>
      </c>
      <c r="P431">
        <v>599.12563348049503</v>
      </c>
      <c r="Q431">
        <v>849.10863265873104</v>
      </c>
      <c r="R431">
        <v>909.45328891173995</v>
      </c>
      <c r="S431">
        <v>963.54039148290997</v>
      </c>
      <c r="T431">
        <v>549.95456586975195</v>
      </c>
      <c r="U431">
        <v>668.07210471628696</v>
      </c>
      <c r="V431">
        <v>608.38554695225798</v>
      </c>
      <c r="W431">
        <v>570.09031638368299</v>
      </c>
    </row>
    <row r="432" spans="1:23" x14ac:dyDescent="0.2">
      <c r="A432" t="s">
        <v>882</v>
      </c>
      <c r="B432" s="3" t="str">
        <f>HYPERLINK("http://www.ncbi.nlm.nih.gov/gene/574403","Fam196b")</f>
        <v>Fam196b</v>
      </c>
      <c r="C432">
        <v>574403</v>
      </c>
      <c r="D432" t="s">
        <v>883</v>
      </c>
      <c r="E432" s="3" t="str">
        <f>HYPERLINK("http://genome.ucsc.edu/cgi-bin/hgTracks?db=mm10&amp;lastVirtModeType=default&amp;lastVirtModeExtraState=&amp;virtModeType=default&amp;virtMode=0&amp;nonVirtPosition=&amp;position=chr11:34314821-34422640","chr11:34314821-34422640")</f>
        <v>chr11:34314821-34422640</v>
      </c>
      <c r="F432" t="s">
        <v>30</v>
      </c>
      <c r="G432">
        <v>-0.98436884621740495</v>
      </c>
      <c r="H432">
        <v>0.18759213524973301</v>
      </c>
      <c r="I432">
        <v>-5.2473886760069002</v>
      </c>
      <c r="J432" s="1">
        <v>1.54270210547888E-7</v>
      </c>
      <c r="K432" s="1">
        <v>4.8224796123548798E-6</v>
      </c>
      <c r="L432" t="s">
        <v>26</v>
      </c>
      <c r="M432" t="s">
        <v>27</v>
      </c>
      <c r="N432">
        <v>202.19998314416799</v>
      </c>
      <c r="O432">
        <v>290.57773230405797</v>
      </c>
      <c r="P432">
        <v>135.916671274251</v>
      </c>
      <c r="Q432">
        <v>306.79269284915398</v>
      </c>
      <c r="R432">
        <v>238.93059717030701</v>
      </c>
      <c r="S432">
        <v>326.00990689271401</v>
      </c>
      <c r="T432">
        <v>114.573867889532</v>
      </c>
      <c r="U432">
        <v>111.345350786048</v>
      </c>
      <c r="V432">
        <v>175.82121610833099</v>
      </c>
      <c r="W432">
        <v>141.92625031309299</v>
      </c>
    </row>
    <row r="433" spans="1:23" x14ac:dyDescent="0.2">
      <c r="A433" t="s">
        <v>884</v>
      </c>
      <c r="B433" s="3" t="str">
        <f>HYPERLINK("http://www.ncbi.nlm.nih.gov/gene/212862","Chpt1")</f>
        <v>Chpt1</v>
      </c>
      <c r="C433">
        <v>212862</v>
      </c>
      <c r="D433" t="s">
        <v>885</v>
      </c>
      <c r="E433" s="3" t="str">
        <f>HYPERLINK("http://genome.ucsc.edu/cgi-bin/hgTracks?db=mm10&amp;lastVirtModeType=default&amp;lastVirtModeExtraState=&amp;virtModeType=default&amp;virtMode=0&amp;nonVirtPosition=&amp;position=chr10:88473475-88503970","chr10:88473475-88503970")</f>
        <v>chr10:88473475-88503970</v>
      </c>
      <c r="F433" t="s">
        <v>25</v>
      </c>
      <c r="G433">
        <v>-1.3150755713273301</v>
      </c>
      <c r="H433">
        <v>0.25064230127234099</v>
      </c>
      <c r="I433">
        <v>-5.2468221232074104</v>
      </c>
      <c r="J433" s="1">
        <v>1.5474517136103301E-7</v>
      </c>
      <c r="K433" s="1">
        <v>4.8224796123548798E-6</v>
      </c>
      <c r="L433" t="s">
        <v>26</v>
      </c>
      <c r="M433" t="s">
        <v>27</v>
      </c>
      <c r="N433">
        <v>659.99459303716503</v>
      </c>
      <c r="O433">
        <v>1040.94821852013</v>
      </c>
      <c r="P433">
        <v>374.27937392494403</v>
      </c>
      <c r="Q433">
        <v>1674.2751858392201</v>
      </c>
      <c r="R433">
        <v>835.87783517993103</v>
      </c>
      <c r="S433">
        <v>612.69163454122804</v>
      </c>
      <c r="T433">
        <v>407.882969686732</v>
      </c>
      <c r="U433">
        <v>340.45982259580001</v>
      </c>
      <c r="V433">
        <v>420.79387286178002</v>
      </c>
      <c r="W433">
        <v>327.98083055546601</v>
      </c>
    </row>
    <row r="434" spans="1:23" x14ac:dyDescent="0.2">
      <c r="A434" t="s">
        <v>886</v>
      </c>
      <c r="B434" s="3" t="str">
        <f>HYPERLINK("http://www.ncbi.nlm.nih.gov/gene/19377","Rai1")</f>
        <v>Rai1</v>
      </c>
      <c r="C434">
        <v>19377</v>
      </c>
      <c r="D434" t="s">
        <v>887</v>
      </c>
      <c r="E434" s="3" t="str">
        <f>HYPERLINK("http://genome.ucsc.edu/cgi-bin/hgTracks?db=mm10&amp;lastVirtModeType=default&amp;lastVirtModeExtraState=&amp;virtModeType=default&amp;virtMode=0&amp;nonVirtPosition=&amp;position=chr11:60105012-60199195","chr11:60105012-60199195")</f>
        <v>chr11:60105012-60199195</v>
      </c>
      <c r="F434" t="s">
        <v>30</v>
      </c>
      <c r="G434">
        <v>1.0380375165134299</v>
      </c>
      <c r="H434">
        <v>0.197846127754507</v>
      </c>
      <c r="I434">
        <v>5.2466910942096403</v>
      </c>
      <c r="J434" s="1">
        <v>1.5485521867766399E-7</v>
      </c>
      <c r="K434" s="1">
        <v>4.8224796123548798E-6</v>
      </c>
      <c r="L434" t="s">
        <v>26</v>
      </c>
      <c r="M434" t="s">
        <v>27</v>
      </c>
      <c r="N434">
        <v>367.32117282186402</v>
      </c>
      <c r="O434">
        <v>221.246259990021</v>
      </c>
      <c r="P434">
        <v>476.87735744574599</v>
      </c>
      <c r="Q434">
        <v>163.14021597967701</v>
      </c>
      <c r="R434">
        <v>185.455653994096</v>
      </c>
      <c r="S434">
        <v>315.14290999628997</v>
      </c>
      <c r="T434">
        <v>449.129562126964</v>
      </c>
      <c r="U434">
        <v>507.47784877487197</v>
      </c>
      <c r="V434">
        <v>467.87570479036998</v>
      </c>
      <c r="W434">
        <v>483.02631409077702</v>
      </c>
    </row>
    <row r="435" spans="1:23" x14ac:dyDescent="0.2">
      <c r="A435" t="s">
        <v>888</v>
      </c>
      <c r="B435" s="3" t="str">
        <f>HYPERLINK("http://www.ncbi.nlm.nih.gov/gene/271457","Rab5a")</f>
        <v>Rab5a</v>
      </c>
      <c r="C435">
        <v>271457</v>
      </c>
      <c r="D435" t="s">
        <v>889</v>
      </c>
      <c r="E435" s="3" t="str">
        <f>HYPERLINK("http://genome.ucsc.edu/cgi-bin/hgTracks?db=mm10&amp;lastVirtModeType=default&amp;lastVirtModeExtraState=&amp;virtModeType=default&amp;virtMode=0&amp;nonVirtPosition=&amp;position=chr17:53479233-53507678","chr17:53479233-53507678")</f>
        <v>chr17:53479233-53507678</v>
      </c>
      <c r="F435" t="s">
        <v>30</v>
      </c>
      <c r="G435">
        <v>-0.71573921244639105</v>
      </c>
      <c r="H435">
        <v>0.13658512904773201</v>
      </c>
      <c r="I435">
        <v>-5.2402426050076496</v>
      </c>
      <c r="J435" s="1">
        <v>1.6036562673786399E-7</v>
      </c>
      <c r="K435" s="1">
        <v>4.9819567861216098E-6</v>
      </c>
      <c r="L435" t="s">
        <v>26</v>
      </c>
      <c r="M435" t="s">
        <v>27</v>
      </c>
      <c r="N435">
        <v>274.20033830830101</v>
      </c>
      <c r="O435">
        <v>359.40968319903902</v>
      </c>
      <c r="P435">
        <v>210.293329640248</v>
      </c>
      <c r="Q435">
        <v>395.87950021006998</v>
      </c>
      <c r="R435">
        <v>335.64060078685998</v>
      </c>
      <c r="S435">
        <v>346.70894860018802</v>
      </c>
      <c r="T435">
        <v>183.31818862325099</v>
      </c>
      <c r="U435">
        <v>205.56064760501101</v>
      </c>
      <c r="V435">
        <v>237.616120514606</v>
      </c>
      <c r="W435">
        <v>214.67836181812299</v>
      </c>
    </row>
    <row r="436" spans="1:23" x14ac:dyDescent="0.2">
      <c r="A436" t="s">
        <v>890</v>
      </c>
      <c r="B436" s="3" t="str">
        <f>HYPERLINK("http://www.ncbi.nlm.nih.gov/gene/231861","Tnrc18")</f>
        <v>Tnrc18</v>
      </c>
      <c r="C436">
        <v>231861</v>
      </c>
      <c r="D436" t="s">
        <v>891</v>
      </c>
      <c r="E436" s="3" t="str">
        <f>HYPERLINK("http://genome.ucsc.edu/cgi-bin/hgTracks?db=mm10&amp;lastVirtModeType=default&amp;lastVirtModeExtraState=&amp;virtModeType=default&amp;virtMode=0&amp;nonVirtPosition=&amp;position=chr5:142754793-142817387","chr5:142754793-142817387")</f>
        <v>chr5:142754793-142817387</v>
      </c>
      <c r="F436" t="s">
        <v>25</v>
      </c>
      <c r="G436">
        <v>1.09120298695439</v>
      </c>
      <c r="H436">
        <v>0.208251404623046</v>
      </c>
      <c r="I436">
        <v>5.2398349433923999</v>
      </c>
      <c r="J436" s="1">
        <v>1.6072028463927501E-7</v>
      </c>
      <c r="K436" s="1">
        <v>4.9819567861216098E-6</v>
      </c>
      <c r="L436" t="s">
        <v>26</v>
      </c>
      <c r="M436" t="s">
        <v>27</v>
      </c>
      <c r="N436">
        <v>994.79413517610396</v>
      </c>
      <c r="O436">
        <v>577.66353791011602</v>
      </c>
      <c r="P436">
        <v>1307.6420831256</v>
      </c>
      <c r="Q436">
        <v>547.88386526963302</v>
      </c>
      <c r="R436">
        <v>373.186837485051</v>
      </c>
      <c r="S436">
        <v>811.91991097566404</v>
      </c>
      <c r="T436">
        <v>1379.4693693899601</v>
      </c>
      <c r="U436">
        <v>1383.25185784206</v>
      </c>
      <c r="V436">
        <v>1128.49265903841</v>
      </c>
      <c r="W436">
        <v>1339.3544462319601</v>
      </c>
    </row>
    <row r="437" spans="1:23" x14ac:dyDescent="0.2">
      <c r="A437" t="s">
        <v>892</v>
      </c>
      <c r="B437" s="3" t="str">
        <f>HYPERLINK("http://www.ncbi.nlm.nih.gov/gene/16872","Lhx4")</f>
        <v>Lhx4</v>
      </c>
      <c r="C437">
        <v>16872</v>
      </c>
      <c r="D437" t="s">
        <v>893</v>
      </c>
      <c r="E437" s="3" t="str">
        <f>HYPERLINK("http://genome.ucsc.edu/cgi-bin/hgTracks?db=mm10&amp;lastVirtModeType=default&amp;lastVirtModeExtraState=&amp;virtModeType=default&amp;virtMode=0&amp;nonVirtPosition=&amp;position=chr1:155701693-155742027","chr1:155701693-155742027")</f>
        <v>chr1:155701693-155742027</v>
      </c>
      <c r="F437" t="s">
        <v>25</v>
      </c>
      <c r="G437">
        <v>2.03440459505918</v>
      </c>
      <c r="H437">
        <v>0.388354457374183</v>
      </c>
      <c r="I437">
        <v>5.23852515769895</v>
      </c>
      <c r="J437" s="1">
        <v>1.6186491393563E-7</v>
      </c>
      <c r="K437" s="1">
        <v>5.0058500288961297E-6</v>
      </c>
      <c r="L437" t="s">
        <v>26</v>
      </c>
      <c r="M437" t="s">
        <v>27</v>
      </c>
      <c r="N437">
        <v>17.003076796231099</v>
      </c>
      <c r="O437">
        <v>2.2382443393351901</v>
      </c>
      <c r="P437">
        <v>28.076701138903001</v>
      </c>
      <c r="Q437">
        <v>2.78396273002862</v>
      </c>
      <c r="R437">
        <v>3.4132942452900998</v>
      </c>
      <c r="S437">
        <v>0.51747604268684799</v>
      </c>
      <c r="T437">
        <v>54.995456586975202</v>
      </c>
      <c r="U437">
        <v>14.9887972211987</v>
      </c>
      <c r="V437">
        <v>12.506111606031901</v>
      </c>
      <c r="W437">
        <v>29.816439141406001</v>
      </c>
    </row>
    <row r="438" spans="1:23" x14ac:dyDescent="0.2">
      <c r="A438" t="s">
        <v>894</v>
      </c>
      <c r="B438" s="3" t="str">
        <f>HYPERLINK("http://www.ncbi.nlm.nih.gov/gene/53331","Stx7")</f>
        <v>Stx7</v>
      </c>
      <c r="C438">
        <v>53331</v>
      </c>
      <c r="D438" t="s">
        <v>895</v>
      </c>
      <c r="E438" s="3" t="str">
        <f>HYPERLINK("http://genome.ucsc.edu/cgi-bin/hgTracks?db=mm10&amp;lastVirtModeType=default&amp;lastVirtModeExtraState=&amp;virtModeType=default&amp;virtMode=0&amp;nonVirtPosition=&amp;position=chr10:24149316-24188959","chr10:24149316-24188959")</f>
        <v>chr10:24149316-24188959</v>
      </c>
      <c r="F438" t="s">
        <v>30</v>
      </c>
      <c r="G438">
        <v>-0.61740948596001899</v>
      </c>
      <c r="H438">
        <v>0.11787376676906799</v>
      </c>
      <c r="I438">
        <v>-5.2378871303028403</v>
      </c>
      <c r="J438" s="1">
        <v>1.6242534098051501E-7</v>
      </c>
      <c r="K438" s="1">
        <v>5.0116076983181398E-6</v>
      </c>
      <c r="L438" t="s">
        <v>26</v>
      </c>
      <c r="M438" t="s">
        <v>27</v>
      </c>
      <c r="N438">
        <v>467.72684616977602</v>
      </c>
      <c r="O438">
        <v>585.41113826610797</v>
      </c>
      <c r="P438">
        <v>379.463627097526</v>
      </c>
      <c r="Q438">
        <v>633.62991735451499</v>
      </c>
      <c r="R438">
        <v>590.12064951904404</v>
      </c>
      <c r="S438">
        <v>532.48284792476602</v>
      </c>
      <c r="T438">
        <v>398.71706025557</v>
      </c>
      <c r="U438">
        <v>355.44861981699898</v>
      </c>
      <c r="V438">
        <v>364.14854382269402</v>
      </c>
      <c r="W438">
        <v>399.54028449484002</v>
      </c>
    </row>
    <row r="439" spans="1:23" x14ac:dyDescent="0.2">
      <c r="A439" t="s">
        <v>896</v>
      </c>
      <c r="B439" s="3" t="str">
        <f>HYPERLINK("http://www.ncbi.nlm.nih.gov/gene/75717","Cul5")</f>
        <v>Cul5</v>
      </c>
      <c r="C439">
        <v>75717</v>
      </c>
      <c r="D439" t="s">
        <v>897</v>
      </c>
      <c r="E439" s="3" t="str">
        <f>HYPERLINK("http://genome.ucsc.edu/cgi-bin/hgTracks?db=mm10&amp;lastVirtModeType=default&amp;lastVirtModeExtraState=&amp;virtModeType=default&amp;virtMode=0&amp;nonVirtPosition=&amp;position=chr9:53614581-53667507","chr9:53614581-53667507")</f>
        <v>chr9:53614581-53667507</v>
      </c>
      <c r="F439" t="s">
        <v>25</v>
      </c>
      <c r="G439">
        <v>-0.62798468700380705</v>
      </c>
      <c r="H439">
        <v>0.119950206314237</v>
      </c>
      <c r="I439">
        <v>-5.2353781314778098</v>
      </c>
      <c r="J439" s="1">
        <v>1.6464743339132399E-7</v>
      </c>
      <c r="K439" s="1">
        <v>5.0631473841677098E-6</v>
      </c>
      <c r="L439" t="s">
        <v>26</v>
      </c>
      <c r="M439" t="s">
        <v>27</v>
      </c>
      <c r="N439">
        <v>496.49956428394199</v>
      </c>
      <c r="O439">
        <v>628.46256208997602</v>
      </c>
      <c r="P439">
        <v>397.52731592941802</v>
      </c>
      <c r="Q439">
        <v>590.756891312074</v>
      </c>
      <c r="R439">
        <v>674.69449581900994</v>
      </c>
      <c r="S439">
        <v>619.93629913884399</v>
      </c>
      <c r="T439">
        <v>366.63637724650101</v>
      </c>
      <c r="U439">
        <v>387.56747100528202</v>
      </c>
      <c r="V439">
        <v>449.48436419326498</v>
      </c>
      <c r="W439">
        <v>386.42105127262198</v>
      </c>
    </row>
    <row r="440" spans="1:23" x14ac:dyDescent="0.2">
      <c r="A440" t="s">
        <v>898</v>
      </c>
      <c r="B440" s="3" t="str">
        <f>HYPERLINK("http://www.ncbi.nlm.nih.gov/gene/208777","Sned1")</f>
        <v>Sned1</v>
      </c>
      <c r="C440">
        <v>208777</v>
      </c>
      <c r="D440" t="s">
        <v>899</v>
      </c>
      <c r="E440" s="3" t="str">
        <f>HYPERLINK("http://genome.ucsc.edu/cgi-bin/hgTracks?db=mm10&amp;lastVirtModeType=default&amp;lastVirtModeExtraState=&amp;virtModeType=default&amp;virtMode=0&amp;nonVirtPosition=&amp;position=chr1:93235896-93296448","chr1:93235896-93296448")</f>
        <v>chr1:93235896-93296448</v>
      </c>
      <c r="F440" t="s">
        <v>30</v>
      </c>
      <c r="G440">
        <v>1.43253837554818</v>
      </c>
      <c r="H440">
        <v>0.27363851729066302</v>
      </c>
      <c r="I440">
        <v>5.2351488735283196</v>
      </c>
      <c r="J440" s="1">
        <v>1.6485193484408299E-7</v>
      </c>
      <c r="K440" s="1">
        <v>5.0631473841677098E-6</v>
      </c>
      <c r="L440" t="s">
        <v>26</v>
      </c>
      <c r="M440" t="s">
        <v>27</v>
      </c>
      <c r="N440">
        <v>69.255093439121595</v>
      </c>
      <c r="O440">
        <v>29.997485201735</v>
      </c>
      <c r="P440">
        <v>98.698299617161695</v>
      </c>
      <c r="Q440">
        <v>36.7483080363778</v>
      </c>
      <c r="R440">
        <v>35.649962117474402</v>
      </c>
      <c r="S440">
        <v>17.5941854513528</v>
      </c>
      <c r="T440">
        <v>137.48864146743799</v>
      </c>
      <c r="U440">
        <v>87.791526581306996</v>
      </c>
      <c r="V440">
        <v>66.944479773464906</v>
      </c>
      <c r="W440">
        <v>102.568550646437</v>
      </c>
    </row>
    <row r="441" spans="1:23" x14ac:dyDescent="0.2">
      <c r="A441" t="s">
        <v>900</v>
      </c>
      <c r="B441" s="3" t="str">
        <f>HYPERLINK("http://www.ncbi.nlm.nih.gov/gene/17174","Masp1")</f>
        <v>Masp1</v>
      </c>
      <c r="C441">
        <v>17174</v>
      </c>
      <c r="D441" t="s">
        <v>901</v>
      </c>
      <c r="E441" s="3" t="str">
        <f>HYPERLINK("http://genome.ucsc.edu/cgi-bin/hgTracks?db=mm10&amp;lastVirtModeType=default&amp;lastVirtModeExtraState=&amp;virtModeType=default&amp;virtMode=0&amp;nonVirtPosition=&amp;position=chr16:23451784-23520590","chr16:23451784-23520590")</f>
        <v>chr16:23451784-23520590</v>
      </c>
      <c r="F441" t="s">
        <v>25</v>
      </c>
      <c r="G441">
        <v>-0.79243242753769105</v>
      </c>
      <c r="H441">
        <v>0.151408864167038</v>
      </c>
      <c r="I441">
        <v>-5.2337254618293798</v>
      </c>
      <c r="J441" s="1">
        <v>1.6612714602584601E-7</v>
      </c>
      <c r="K441" s="1">
        <v>5.0906375570528597E-6</v>
      </c>
      <c r="L441" t="s">
        <v>26</v>
      </c>
      <c r="M441" t="s">
        <v>27</v>
      </c>
      <c r="N441">
        <v>275.123011916971</v>
      </c>
      <c r="O441">
        <v>365.43654775520503</v>
      </c>
      <c r="P441">
        <v>207.387860038295</v>
      </c>
      <c r="Q441">
        <v>410.356106406219</v>
      </c>
      <c r="R441">
        <v>308.713501740683</v>
      </c>
      <c r="S441">
        <v>377.240035118712</v>
      </c>
      <c r="T441">
        <v>201.650007485576</v>
      </c>
      <c r="U441">
        <v>239.82075553918</v>
      </c>
      <c r="V441">
        <v>200.833439320395</v>
      </c>
      <c r="W441">
        <v>187.24723780803001</v>
      </c>
    </row>
    <row r="442" spans="1:23" x14ac:dyDescent="0.2">
      <c r="A442" t="s">
        <v>902</v>
      </c>
      <c r="B442" s="3" t="str">
        <f>HYPERLINK("http://www.ncbi.nlm.nih.gov/gene/233913","BC017158")</f>
        <v>BC017158</v>
      </c>
      <c r="C442">
        <v>233913</v>
      </c>
      <c r="D442" t="s">
        <v>903</v>
      </c>
      <c r="E442" s="3" t="str">
        <f>HYPERLINK("http://genome.ucsc.edu/cgi-bin/hgTracks?db=mm10&amp;lastVirtModeType=default&amp;lastVirtModeExtraState=&amp;virtModeType=default&amp;virtMode=0&amp;nonVirtPosition=&amp;position=chr7:128271378-128298131","chr7:128271378-128298131")</f>
        <v>chr7:128271378-128298131</v>
      </c>
      <c r="F442" t="s">
        <v>25</v>
      </c>
      <c r="G442">
        <v>0.98164969081521203</v>
      </c>
      <c r="H442">
        <v>0.187584364776544</v>
      </c>
      <c r="I442">
        <v>5.2331104033354796</v>
      </c>
      <c r="J442" s="1">
        <v>1.6668111316425599E-7</v>
      </c>
      <c r="K442" s="1">
        <v>5.09595156708346E-6</v>
      </c>
      <c r="L442" t="s">
        <v>26</v>
      </c>
      <c r="M442" t="s">
        <v>27</v>
      </c>
      <c r="N442">
        <v>78.198963709233396</v>
      </c>
      <c r="O442">
        <v>48.9515762045638</v>
      </c>
      <c r="P442">
        <v>100.134504337736</v>
      </c>
      <c r="Q442">
        <v>54.565669508561101</v>
      </c>
      <c r="R442">
        <v>47.786119434061398</v>
      </c>
      <c r="S442">
        <v>44.502939671068901</v>
      </c>
      <c r="T442">
        <v>91.659094311625296</v>
      </c>
      <c r="U442">
        <v>109.204094040162</v>
      </c>
      <c r="V442">
        <v>97.106278352718405</v>
      </c>
      <c r="W442">
        <v>102.568550646437</v>
      </c>
    </row>
    <row r="443" spans="1:23" x14ac:dyDescent="0.2">
      <c r="A443" t="s">
        <v>904</v>
      </c>
      <c r="B443" s="3" t="str">
        <f>HYPERLINK("http://www.ncbi.nlm.nih.gov/gene/230815","Man1c1")</f>
        <v>Man1c1</v>
      </c>
      <c r="C443">
        <v>230815</v>
      </c>
      <c r="D443" t="s">
        <v>905</v>
      </c>
      <c r="E443" s="3" t="str">
        <f>HYPERLINK("http://genome.ucsc.edu/cgi-bin/hgTracks?db=mm10&amp;lastVirtModeType=default&amp;lastVirtModeExtraState=&amp;virtModeType=default&amp;virtMode=0&amp;nonVirtPosition=&amp;position=chr4:134561689-134704290","chr4:134561689-134704290")</f>
        <v>chr4:134561689-134704290</v>
      </c>
      <c r="F443" t="s">
        <v>25</v>
      </c>
      <c r="G443">
        <v>0.820828909721383</v>
      </c>
      <c r="H443">
        <v>0.15716406022579699</v>
      </c>
      <c r="I443">
        <v>5.2227519990391098</v>
      </c>
      <c r="J443" s="1">
        <v>1.76283414556971E-7</v>
      </c>
      <c r="K443" s="1">
        <v>5.3772464791170901E-6</v>
      </c>
      <c r="L443" t="s">
        <v>26</v>
      </c>
      <c r="M443" t="s">
        <v>27</v>
      </c>
      <c r="N443">
        <v>189.89455963115799</v>
      </c>
      <c r="O443">
        <v>130.01228808828901</v>
      </c>
      <c r="P443">
        <v>234.80626328831099</v>
      </c>
      <c r="Q443">
        <v>154.78832778959199</v>
      </c>
      <c r="R443">
        <v>108.466906016997</v>
      </c>
      <c r="S443">
        <v>126.781630458278</v>
      </c>
      <c r="T443">
        <v>233.73069049464399</v>
      </c>
      <c r="U443">
        <v>246.24452577683701</v>
      </c>
      <c r="V443">
        <v>230.25958427576401</v>
      </c>
      <c r="W443">
        <v>228.99025260599799</v>
      </c>
    </row>
    <row r="444" spans="1:23" x14ac:dyDescent="0.2">
      <c r="A444" t="s">
        <v>906</v>
      </c>
      <c r="B444" s="3" t="str">
        <f>HYPERLINK("http://www.ncbi.nlm.nih.gov/gene/63985","Gmfb")</f>
        <v>Gmfb</v>
      </c>
      <c r="C444">
        <v>63985</v>
      </c>
      <c r="D444" t="s">
        <v>907</v>
      </c>
      <c r="E444" s="3" t="str">
        <f>HYPERLINK("http://genome.ucsc.edu/cgi-bin/hgTracks?db=mm10&amp;lastVirtModeType=default&amp;lastVirtModeExtraState=&amp;virtModeType=default&amp;virtMode=0&amp;nonVirtPosition=&amp;position=chr14:46808148-46822242","chr14:46808148-46822242")</f>
        <v>chr14:46808148-46822242</v>
      </c>
      <c r="F444" t="s">
        <v>25</v>
      </c>
      <c r="G444">
        <v>-0.61453549587610301</v>
      </c>
      <c r="H444">
        <v>0.11770625000488</v>
      </c>
      <c r="I444">
        <v>-5.2209249368714596</v>
      </c>
      <c r="J444" s="1">
        <v>1.7803169669456799E-7</v>
      </c>
      <c r="K444" s="1">
        <v>5.41823284190218E-6</v>
      </c>
      <c r="L444" t="s">
        <v>26</v>
      </c>
      <c r="M444" t="s">
        <v>27</v>
      </c>
      <c r="N444">
        <v>1347.44146390015</v>
      </c>
      <c r="O444">
        <v>1687.6277956418101</v>
      </c>
      <c r="P444">
        <v>1092.3017150939099</v>
      </c>
      <c r="Q444">
        <v>1893.6514489654701</v>
      </c>
      <c r="R444">
        <v>1664.92908186928</v>
      </c>
      <c r="S444">
        <v>1504.30285609067</v>
      </c>
      <c r="T444">
        <v>1104.49208645508</v>
      </c>
      <c r="U444">
        <v>1119.8772780981301</v>
      </c>
      <c r="V444">
        <v>1135.8491952772499</v>
      </c>
      <c r="W444">
        <v>1008.98830054518</v>
      </c>
    </row>
    <row r="445" spans="1:23" x14ac:dyDescent="0.2">
      <c r="A445" t="s">
        <v>908</v>
      </c>
      <c r="B445" s="3" t="str">
        <f>HYPERLINK("http://www.ncbi.nlm.nih.gov/gene/12939","Pcdha7")</f>
        <v>Pcdha7</v>
      </c>
      <c r="C445">
        <v>12939</v>
      </c>
      <c r="D445" t="s">
        <v>909</v>
      </c>
      <c r="E445" s="3" t="str">
        <f>HYPERLINK("http://genome.ucsc.edu/cgi-bin/hgTracks?db=mm10&amp;lastVirtModeType=default&amp;lastVirtModeExtraState=&amp;virtModeType=default&amp;virtMode=0&amp;nonVirtPosition=&amp;position=chr18:36973923-37187657","chr18:36973923-37187657")</f>
        <v>chr18:36973923-37187657</v>
      </c>
      <c r="F445" t="s">
        <v>30</v>
      </c>
      <c r="G445">
        <v>1.5103690122165301</v>
      </c>
      <c r="H445">
        <v>0.289344537719539</v>
      </c>
      <c r="I445">
        <v>5.21996725468005</v>
      </c>
      <c r="J445" s="1">
        <v>1.7895476890904299E-7</v>
      </c>
      <c r="K445" s="1">
        <v>5.4339757606825096E-6</v>
      </c>
      <c r="L445" t="s">
        <v>26</v>
      </c>
      <c r="M445" t="s">
        <v>27</v>
      </c>
      <c r="N445">
        <v>28.846184261313098</v>
      </c>
      <c r="O445">
        <v>12.452225376505501</v>
      </c>
      <c r="P445">
        <v>41.1416534249188</v>
      </c>
      <c r="Q445">
        <v>16.146983834166001</v>
      </c>
      <c r="R445">
        <v>11.377647484300301</v>
      </c>
      <c r="S445">
        <v>9.8320448110501104</v>
      </c>
      <c r="T445">
        <v>32.0806830090688</v>
      </c>
      <c r="U445">
        <v>42.825134917710699</v>
      </c>
      <c r="V445">
        <v>51.495753671896097</v>
      </c>
      <c r="W445">
        <v>38.165042100999699</v>
      </c>
    </row>
    <row r="446" spans="1:23" x14ac:dyDescent="0.2">
      <c r="A446" t="s">
        <v>910</v>
      </c>
      <c r="B446" s="3" t="str">
        <f>HYPERLINK("http://www.ncbi.nlm.nih.gov/gene/329274","Fam163a")</f>
        <v>Fam163a</v>
      </c>
      <c r="C446">
        <v>329274</v>
      </c>
      <c r="D446" t="s">
        <v>911</v>
      </c>
      <c r="E446" s="3" t="str">
        <f>HYPERLINK("http://genome.ucsc.edu/cgi-bin/hgTracks?db=mm10&amp;lastVirtModeType=default&amp;lastVirtModeExtraState=&amp;virtModeType=default&amp;virtMode=0&amp;nonVirtPosition=&amp;position=chr1:156075955-156205026","chr1:156075955-156205026")</f>
        <v>chr1:156075955-156205026</v>
      </c>
      <c r="F446" t="s">
        <v>25</v>
      </c>
      <c r="G446">
        <v>-1.4278099994053901</v>
      </c>
      <c r="H446">
        <v>0.27355236680286199</v>
      </c>
      <c r="I446">
        <v>-5.2195125053856604</v>
      </c>
      <c r="J446" s="1">
        <v>1.7939470236966501E-7</v>
      </c>
      <c r="K446" s="1">
        <v>5.4350100892130797E-6</v>
      </c>
      <c r="L446" t="s">
        <v>26</v>
      </c>
      <c r="M446" t="s">
        <v>27</v>
      </c>
      <c r="N446">
        <v>155.60377297757799</v>
      </c>
      <c r="O446">
        <v>253.783402330455</v>
      </c>
      <c r="P446">
        <v>81.969050962921301</v>
      </c>
      <c r="Q446">
        <v>378.06213873788698</v>
      </c>
      <c r="R446">
        <v>212.00349812413</v>
      </c>
      <c r="S446">
        <v>171.284570129347</v>
      </c>
      <c r="T446">
        <v>82.493184880462707</v>
      </c>
      <c r="U446">
        <v>117.769121023704</v>
      </c>
      <c r="V446">
        <v>78.714937755612596</v>
      </c>
      <c r="W446">
        <v>48.8989601919058</v>
      </c>
    </row>
    <row r="447" spans="1:23" x14ac:dyDescent="0.2">
      <c r="A447" t="s">
        <v>912</v>
      </c>
      <c r="B447" s="3" t="str">
        <f>HYPERLINK("http://www.ncbi.nlm.nih.gov/gene/19277","Ptpro")</f>
        <v>Ptpro</v>
      </c>
      <c r="C447">
        <v>19277</v>
      </c>
      <c r="D447" t="s">
        <v>913</v>
      </c>
      <c r="E447" s="3" t="str">
        <f>HYPERLINK("http://genome.ucsc.edu/cgi-bin/hgTracks?db=mm10&amp;lastVirtModeType=default&amp;lastVirtModeExtraState=&amp;virtModeType=default&amp;virtMode=0&amp;nonVirtPosition=&amp;position=chr6:137252298-137464633","chr6:137252298-137464633")</f>
        <v>chr6:137252298-137464633</v>
      </c>
      <c r="F447" t="s">
        <v>30</v>
      </c>
      <c r="G447">
        <v>-0.67532719509903305</v>
      </c>
      <c r="H447">
        <v>0.1295085134135</v>
      </c>
      <c r="I447">
        <v>-5.2145390082798899</v>
      </c>
      <c r="J447" s="1">
        <v>1.8427492377163199E-7</v>
      </c>
      <c r="K447" s="1">
        <v>5.5702607318869797E-6</v>
      </c>
      <c r="L447" t="s">
        <v>26</v>
      </c>
      <c r="M447" t="s">
        <v>27</v>
      </c>
      <c r="N447">
        <v>671.01398999560297</v>
      </c>
      <c r="O447">
        <v>859.29152616827901</v>
      </c>
      <c r="P447">
        <v>529.80583786609702</v>
      </c>
      <c r="Q447">
        <v>991.64752443619602</v>
      </c>
      <c r="R447">
        <v>763.44014619655297</v>
      </c>
      <c r="S447">
        <v>822.78690787208802</v>
      </c>
      <c r="T447">
        <v>494.95910928277601</v>
      </c>
      <c r="U447">
        <v>578.13932138909502</v>
      </c>
      <c r="V447">
        <v>504.65838598458203</v>
      </c>
      <c r="W447">
        <v>541.46653480793304</v>
      </c>
    </row>
    <row r="448" spans="1:23" x14ac:dyDescent="0.2">
      <c r="A448" t="s">
        <v>914</v>
      </c>
      <c r="B448" s="3" t="str">
        <f>HYPERLINK("http://www.ncbi.nlm.nih.gov/gene/104215","Rhoq")</f>
        <v>Rhoq</v>
      </c>
      <c r="C448">
        <v>104215</v>
      </c>
      <c r="D448" t="s">
        <v>915</v>
      </c>
      <c r="E448" s="3" t="str">
        <f>HYPERLINK("http://genome.ucsc.edu/cgi-bin/hgTracks?db=mm10&amp;lastVirtModeType=default&amp;lastVirtModeExtraState=&amp;virtModeType=default&amp;virtMode=0&amp;nonVirtPosition=&amp;position=chr17:86963110-87000069","chr17:86963110-87000069")</f>
        <v>chr17:86963110-87000069</v>
      </c>
      <c r="F448" t="s">
        <v>30</v>
      </c>
      <c r="G448">
        <v>-0.797251513751147</v>
      </c>
      <c r="H448">
        <v>0.15308182825310801</v>
      </c>
      <c r="I448">
        <v>-5.2080088332428103</v>
      </c>
      <c r="J448" s="1">
        <v>1.9087784057023301E-7</v>
      </c>
      <c r="K448" s="1">
        <v>5.7418768208727796E-6</v>
      </c>
      <c r="L448" t="s">
        <v>26</v>
      </c>
      <c r="M448" t="s">
        <v>27</v>
      </c>
      <c r="N448">
        <v>604.83933411081705</v>
      </c>
      <c r="O448">
        <v>808.72137401575401</v>
      </c>
      <c r="P448">
        <v>451.92780418211402</v>
      </c>
      <c r="Q448">
        <v>645.32256082063498</v>
      </c>
      <c r="R448">
        <v>805.916696804607</v>
      </c>
      <c r="S448">
        <v>974.92486442202096</v>
      </c>
      <c r="T448">
        <v>398.71706025557</v>
      </c>
      <c r="U448">
        <v>473.21774084070302</v>
      </c>
      <c r="V448">
        <v>473.02528015756002</v>
      </c>
      <c r="W448">
        <v>462.75113547462098</v>
      </c>
    </row>
    <row r="449" spans="1:23" x14ac:dyDescent="0.2">
      <c r="A449" t="s">
        <v>916</v>
      </c>
      <c r="B449" s="3" t="str">
        <f>HYPERLINK("http://www.ncbi.nlm.nih.gov/gene/13244","Degs1")</f>
        <v>Degs1</v>
      </c>
      <c r="C449">
        <v>13244</v>
      </c>
      <c r="D449" t="s">
        <v>917</v>
      </c>
      <c r="E449" s="3" t="str">
        <f>HYPERLINK("http://genome.ucsc.edu/cgi-bin/hgTracks?db=mm10&amp;lastVirtModeType=default&amp;lastVirtModeExtraState=&amp;virtModeType=default&amp;virtMode=0&amp;nonVirtPosition=&amp;position=chr1:182275769-182282759","chr1:182275769-182282759")</f>
        <v>chr1:182275769-182282759</v>
      </c>
      <c r="F449" t="s">
        <v>25</v>
      </c>
      <c r="G449">
        <v>-0.71280414875597797</v>
      </c>
      <c r="H449">
        <v>0.136869243076915</v>
      </c>
      <c r="I449">
        <v>-5.2079205870628602</v>
      </c>
      <c r="J449" s="1">
        <v>1.9096861715822899E-7</v>
      </c>
      <c r="K449" s="1">
        <v>5.7418768208727796E-6</v>
      </c>
      <c r="L449" t="s">
        <v>26</v>
      </c>
      <c r="M449" t="s">
        <v>27</v>
      </c>
      <c r="N449">
        <v>334.20445294274299</v>
      </c>
      <c r="O449">
        <v>434.62201969154</v>
      </c>
      <c r="P449">
        <v>258.89127788114598</v>
      </c>
      <c r="Q449">
        <v>419.821579688317</v>
      </c>
      <c r="R449">
        <v>479.378214005188</v>
      </c>
      <c r="S449">
        <v>404.66626538111501</v>
      </c>
      <c r="T449">
        <v>229.147735779063</v>
      </c>
      <c r="U449">
        <v>295.49343093220398</v>
      </c>
      <c r="V449">
        <v>279.548377076007</v>
      </c>
      <c r="W449">
        <v>231.375567737311</v>
      </c>
    </row>
    <row r="450" spans="1:23" x14ac:dyDescent="0.2">
      <c r="A450" t="s">
        <v>918</v>
      </c>
      <c r="B450" s="3" t="str">
        <f>HYPERLINK("http://www.ncbi.nlm.nih.gov/gene/233871","Atxn2l")</f>
        <v>Atxn2l</v>
      </c>
      <c r="C450">
        <v>233871</v>
      </c>
      <c r="D450" t="s">
        <v>919</v>
      </c>
      <c r="E450" s="3" t="str">
        <f>HYPERLINK("http://genome.ucsc.edu/cgi-bin/hgTracks?db=mm10&amp;lastVirtModeType=default&amp;lastVirtModeExtraState=&amp;virtModeType=default&amp;virtMode=0&amp;nonVirtPosition=&amp;position=chr7:126491707-126503302","chr7:126491707-126503302")</f>
        <v>chr7:126491707-126503302</v>
      </c>
      <c r="F450" t="s">
        <v>25</v>
      </c>
      <c r="G450">
        <v>1.0111474064624399</v>
      </c>
      <c r="H450">
        <v>0.19416546715864999</v>
      </c>
      <c r="I450">
        <v>5.2076582991776004</v>
      </c>
      <c r="J450" s="1">
        <v>1.9123867240006399E-7</v>
      </c>
      <c r="K450" s="1">
        <v>5.7418768208727796E-6</v>
      </c>
      <c r="L450" t="s">
        <v>26</v>
      </c>
      <c r="M450" t="s">
        <v>27</v>
      </c>
      <c r="N450">
        <v>651.635572883598</v>
      </c>
      <c r="O450">
        <v>399.407037685332</v>
      </c>
      <c r="P450">
        <v>840.80697428229701</v>
      </c>
      <c r="Q450">
        <v>308.46307048717199</v>
      </c>
      <c r="R450">
        <v>328.81401229628</v>
      </c>
      <c r="S450">
        <v>560.94403027254305</v>
      </c>
      <c r="T450">
        <v>719.52389034625799</v>
      </c>
      <c r="U450">
        <v>903.61034676369604</v>
      </c>
      <c r="V450">
        <v>831.28859498917996</v>
      </c>
      <c r="W450">
        <v>908.80506503005495</v>
      </c>
    </row>
    <row r="451" spans="1:23" x14ac:dyDescent="0.2">
      <c r="A451" t="s">
        <v>920</v>
      </c>
      <c r="B451" s="3" t="str">
        <f>HYPERLINK("http://www.ncbi.nlm.nih.gov/gene/16450","Jag2")</f>
        <v>Jag2</v>
      </c>
      <c r="C451">
        <v>16450</v>
      </c>
      <c r="D451" t="s">
        <v>921</v>
      </c>
      <c r="E451" s="3" t="str">
        <f>HYPERLINK("http://genome.ucsc.edu/cgi-bin/hgTracks?db=mm10&amp;lastVirtModeType=default&amp;lastVirtModeExtraState=&amp;virtModeType=default&amp;virtMode=0&amp;nonVirtPosition=&amp;position=chr12:112908589-112929495","chr12:112908589-112929495")</f>
        <v>chr12:112908589-112929495</v>
      </c>
      <c r="F451" t="s">
        <v>25</v>
      </c>
      <c r="G451">
        <v>0.97243739290082698</v>
      </c>
      <c r="H451">
        <v>0.18675175197780999</v>
      </c>
      <c r="I451">
        <v>5.2071125577251403</v>
      </c>
      <c r="J451" s="1">
        <v>1.9180175895916699E-7</v>
      </c>
      <c r="K451" s="1">
        <v>5.7459001213024799E-6</v>
      </c>
      <c r="L451" t="s">
        <v>26</v>
      </c>
      <c r="M451" t="s">
        <v>27</v>
      </c>
      <c r="N451">
        <v>80.5281180287312</v>
      </c>
      <c r="O451">
        <v>50.632862893751103</v>
      </c>
      <c r="P451">
        <v>102.949559379966</v>
      </c>
      <c r="Q451">
        <v>55.122462054566803</v>
      </c>
      <c r="R451">
        <v>43.993570272627998</v>
      </c>
      <c r="S451">
        <v>52.782556354058499</v>
      </c>
      <c r="T451">
        <v>100.825003742788</v>
      </c>
      <c r="U451">
        <v>107.062837294277</v>
      </c>
      <c r="V451">
        <v>103.727160967676</v>
      </c>
      <c r="W451">
        <v>100.183235515124</v>
      </c>
    </row>
    <row r="452" spans="1:23" x14ac:dyDescent="0.2">
      <c r="A452" t="s">
        <v>922</v>
      </c>
      <c r="B452" s="3" t="str">
        <f>HYPERLINK("http://www.ncbi.nlm.nih.gov/gene/14998","H2-DMa")</f>
        <v>H2-DMa</v>
      </c>
      <c r="C452">
        <v>14998</v>
      </c>
      <c r="D452" t="s">
        <v>923</v>
      </c>
      <c r="E452" s="3" t="str">
        <f>HYPERLINK("http://genome.ucsc.edu/cgi-bin/hgTracks?db=mm10&amp;lastVirtModeType=default&amp;lastVirtModeExtraState=&amp;virtModeType=default&amp;virtMode=0&amp;nonVirtPosition=&amp;position=chr17:34122831-34139101","chr17:34122831-34139101")</f>
        <v>chr17:34122831-34139101</v>
      </c>
      <c r="F452" t="s">
        <v>30</v>
      </c>
      <c r="G452">
        <v>1.46181260128704</v>
      </c>
      <c r="H452">
        <v>0.281054336866635</v>
      </c>
      <c r="I452">
        <v>5.2011743265883101</v>
      </c>
      <c r="J452" s="1">
        <v>1.9803324195506799E-7</v>
      </c>
      <c r="K452" s="1">
        <v>5.9146380891255096E-6</v>
      </c>
      <c r="L452" t="s">
        <v>26</v>
      </c>
      <c r="M452" t="s">
        <v>27</v>
      </c>
      <c r="N452">
        <v>122.044887845559</v>
      </c>
      <c r="O452">
        <v>51.840946505150697</v>
      </c>
      <c r="P452">
        <v>174.69784385086501</v>
      </c>
      <c r="Q452">
        <v>70.712653342727094</v>
      </c>
      <c r="R452">
        <v>35.649962117474402</v>
      </c>
      <c r="S452">
        <v>49.160224055250502</v>
      </c>
      <c r="T452">
        <v>297.89205651278201</v>
      </c>
      <c r="U452">
        <v>102.780323802506</v>
      </c>
      <c r="V452">
        <v>138.30288129023501</v>
      </c>
      <c r="W452">
        <v>159.816113797936</v>
      </c>
    </row>
    <row r="453" spans="1:23" x14ac:dyDescent="0.2">
      <c r="A453" t="s">
        <v>924</v>
      </c>
      <c r="B453" s="3" t="str">
        <f>HYPERLINK("http://www.ncbi.nlm.nih.gov/gene/71927","Itfg1")</f>
        <v>Itfg1</v>
      </c>
      <c r="C453">
        <v>71927</v>
      </c>
      <c r="D453" t="s">
        <v>925</v>
      </c>
      <c r="E453" s="3" t="str">
        <f>HYPERLINK("http://genome.ucsc.edu/cgi-bin/hgTracks?db=mm10&amp;lastVirtModeType=default&amp;lastVirtModeExtraState=&amp;virtModeType=default&amp;virtMode=0&amp;nonVirtPosition=&amp;position=chr8:85717556-85840949","chr8:85717556-85840949")</f>
        <v>chr8:85717556-85840949</v>
      </c>
      <c r="F453" t="s">
        <v>25</v>
      </c>
      <c r="G453">
        <v>-0.83160515156556702</v>
      </c>
      <c r="H453">
        <v>0.159896160427411</v>
      </c>
      <c r="I453">
        <v>-5.2009075724059999</v>
      </c>
      <c r="J453" s="1">
        <v>1.9831771354024E-7</v>
      </c>
      <c r="K453" s="1">
        <v>5.9146380891255096E-6</v>
      </c>
      <c r="L453" t="s">
        <v>26</v>
      </c>
      <c r="M453" t="s">
        <v>27</v>
      </c>
      <c r="N453">
        <v>633.16183976761397</v>
      </c>
      <c r="O453">
        <v>856.34447799663201</v>
      </c>
      <c r="P453">
        <v>465.77486109584999</v>
      </c>
      <c r="Q453">
        <v>1001.11299771829</v>
      </c>
      <c r="R453">
        <v>915.90062248617699</v>
      </c>
      <c r="S453">
        <v>652.01981378542803</v>
      </c>
      <c r="T453">
        <v>426.21478854905803</v>
      </c>
      <c r="U453">
        <v>436.81637616064899</v>
      </c>
      <c r="V453">
        <v>503.92273236069798</v>
      </c>
      <c r="W453">
        <v>496.14554731299597</v>
      </c>
    </row>
    <row r="454" spans="1:23" x14ac:dyDescent="0.2">
      <c r="A454" t="s">
        <v>926</v>
      </c>
      <c r="B454" s="3" t="str">
        <f>HYPERLINK("http://www.ncbi.nlm.nih.gov/gene/29812","Ndrg3")</f>
        <v>Ndrg3</v>
      </c>
      <c r="C454">
        <v>29812</v>
      </c>
      <c r="D454" t="s">
        <v>927</v>
      </c>
      <c r="E454" s="3" t="str">
        <f>HYPERLINK("http://genome.ucsc.edu/cgi-bin/hgTracks?db=mm10&amp;lastVirtModeType=default&amp;lastVirtModeExtraState=&amp;virtModeType=default&amp;virtMode=0&amp;nonVirtPosition=&amp;position=chr2:156927341-156992111","chr2:156927341-156992111")</f>
        <v>chr2:156927341-156992111</v>
      </c>
      <c r="F454" t="s">
        <v>25</v>
      </c>
      <c r="G454">
        <v>-0.69509757788121496</v>
      </c>
      <c r="H454">
        <v>0.13367908130568101</v>
      </c>
      <c r="I454">
        <v>-5.1997483158322302</v>
      </c>
      <c r="J454" s="1">
        <v>1.9955856054577301E-7</v>
      </c>
      <c r="K454" s="1">
        <v>5.93841929837432E-6</v>
      </c>
      <c r="L454" t="s">
        <v>26</v>
      </c>
      <c r="M454" t="s">
        <v>27</v>
      </c>
      <c r="N454">
        <v>552.00320173200203</v>
      </c>
      <c r="O454">
        <v>711.44752838949398</v>
      </c>
      <c r="P454">
        <v>432.41995673888198</v>
      </c>
      <c r="Q454">
        <v>759.46503275180896</v>
      </c>
      <c r="R454">
        <v>783.91991166829303</v>
      </c>
      <c r="S454">
        <v>590.95764074837996</v>
      </c>
      <c r="T454">
        <v>421.63183383347598</v>
      </c>
      <c r="U454">
        <v>443.24014639830602</v>
      </c>
      <c r="V454">
        <v>450.95567144103302</v>
      </c>
      <c r="W454">
        <v>413.852175282715</v>
      </c>
    </row>
    <row r="455" spans="1:23" x14ac:dyDescent="0.2">
      <c r="A455" t="s">
        <v>928</v>
      </c>
      <c r="B455" s="3" t="str">
        <f>HYPERLINK("http://www.ncbi.nlm.nih.gov/gene/12841","Col9a3")</f>
        <v>Col9a3</v>
      </c>
      <c r="C455">
        <v>12841</v>
      </c>
      <c r="D455" t="s">
        <v>929</v>
      </c>
      <c r="E455" s="3" t="str">
        <f>HYPERLINK("http://genome.ucsc.edu/cgi-bin/hgTracks?db=mm10&amp;lastVirtModeType=default&amp;lastVirtModeExtraState=&amp;virtModeType=default&amp;virtMode=0&amp;nonVirtPosition=&amp;position=chr2:180598221-180622185","chr2:180598221-180622185")</f>
        <v>chr2:180598221-180622185</v>
      </c>
      <c r="F455" t="s">
        <v>30</v>
      </c>
      <c r="G455">
        <v>1.16481278642443</v>
      </c>
      <c r="H455">
        <v>0.22407514311615401</v>
      </c>
      <c r="I455">
        <v>5.1983132543203299</v>
      </c>
      <c r="J455" s="1">
        <v>2.0110502078175301E-7</v>
      </c>
      <c r="K455" s="1">
        <v>5.9708526788585597E-6</v>
      </c>
      <c r="L455" t="s">
        <v>26</v>
      </c>
      <c r="M455" t="s">
        <v>27</v>
      </c>
      <c r="N455">
        <v>458.298426706881</v>
      </c>
      <c r="O455">
        <v>252.93737408534599</v>
      </c>
      <c r="P455">
        <v>612.31921617303306</v>
      </c>
      <c r="Q455">
        <v>373.05100582383602</v>
      </c>
      <c r="R455">
        <v>172.560986845222</v>
      </c>
      <c r="S455">
        <v>213.20012958698101</v>
      </c>
      <c r="T455">
        <v>687.44320733718996</v>
      </c>
      <c r="U455">
        <v>498.91282179132997</v>
      </c>
      <c r="V455">
        <v>547.32629616986696</v>
      </c>
      <c r="W455">
        <v>715.59453939374396</v>
      </c>
    </row>
    <row r="456" spans="1:23" x14ac:dyDescent="0.2">
      <c r="A456" t="s">
        <v>930</v>
      </c>
      <c r="B456" s="3" t="str">
        <f>HYPERLINK("http://www.ncbi.nlm.nih.gov/gene/67459","Nvl")</f>
        <v>Nvl</v>
      </c>
      <c r="C456">
        <v>67459</v>
      </c>
      <c r="D456" t="s">
        <v>931</v>
      </c>
      <c r="E456" s="3" t="str">
        <f>HYPERLINK("http://genome.ucsc.edu/cgi-bin/hgTracks?db=mm10&amp;lastVirtModeType=default&amp;lastVirtModeExtraState=&amp;virtModeType=default&amp;virtMode=0&amp;nonVirtPosition=&amp;position=chr1:181087137-181144204","chr1:181087137-181144204")</f>
        <v>chr1:181087137-181144204</v>
      </c>
      <c r="F456" t="s">
        <v>25</v>
      </c>
      <c r="G456">
        <v>0.61191704362612298</v>
      </c>
      <c r="H456">
        <v>0.117723640846233</v>
      </c>
      <c r="I456">
        <v>5.1979113050486703</v>
      </c>
      <c r="J456" s="1">
        <v>2.01540244256894E-7</v>
      </c>
      <c r="K456" s="1">
        <v>5.9708526788585597E-6</v>
      </c>
      <c r="L456" t="s">
        <v>26</v>
      </c>
      <c r="M456" t="s">
        <v>27</v>
      </c>
      <c r="N456">
        <v>364.242600329955</v>
      </c>
      <c r="O456">
        <v>277.362965760836</v>
      </c>
      <c r="P456">
        <v>429.40232625679403</v>
      </c>
      <c r="Q456">
        <v>261.69249662269101</v>
      </c>
      <c r="R456">
        <v>287.85448135279898</v>
      </c>
      <c r="S456">
        <v>282.54191930701899</v>
      </c>
      <c r="T456">
        <v>458.295471558126</v>
      </c>
      <c r="U456">
        <v>376.86118727585398</v>
      </c>
      <c r="V456">
        <v>424.47214098120099</v>
      </c>
      <c r="W456">
        <v>457.98050521199599</v>
      </c>
    </row>
    <row r="457" spans="1:23" x14ac:dyDescent="0.2">
      <c r="A457" t="s">
        <v>932</v>
      </c>
      <c r="B457" s="3" t="str">
        <f>HYPERLINK("http://www.ncbi.nlm.nih.gov/gene/72061","2010111I01Rik")</f>
        <v>2010111I01Rik</v>
      </c>
      <c r="C457">
        <v>72061</v>
      </c>
      <c r="D457" t="s">
        <v>933</v>
      </c>
      <c r="E457" s="3" t="str">
        <f>HYPERLINK("http://genome.ucsc.edu/cgi-bin/hgTracks?db=mm10&amp;lastVirtModeType=default&amp;lastVirtModeExtraState=&amp;virtModeType=default&amp;virtMode=0&amp;nonVirtPosition=&amp;position=chr13:62964892-63302877","chr13:62964892-63302877")</f>
        <v>chr13:62964892-63302877</v>
      </c>
      <c r="F457" t="s">
        <v>30</v>
      </c>
      <c r="G457">
        <v>0.83730153284824604</v>
      </c>
      <c r="H457">
        <v>0.161103541246916</v>
      </c>
      <c r="I457">
        <v>5.1972881934665303</v>
      </c>
      <c r="J457" s="1">
        <v>2.0221673830990799E-7</v>
      </c>
      <c r="K457" s="1">
        <v>5.9720697221386602E-6</v>
      </c>
      <c r="L457" t="s">
        <v>26</v>
      </c>
      <c r="M457" t="s">
        <v>27</v>
      </c>
      <c r="N457">
        <v>269.51383496120798</v>
      </c>
      <c r="O457">
        <v>184.873785919456</v>
      </c>
      <c r="P457">
        <v>332.99387174252098</v>
      </c>
      <c r="Q457">
        <v>180.957577451861</v>
      </c>
      <c r="R457">
        <v>153.218986121911</v>
      </c>
      <c r="S457">
        <v>220.44479418459699</v>
      </c>
      <c r="T457">
        <v>284.14319236603802</v>
      </c>
      <c r="U457">
        <v>310.48222815340301</v>
      </c>
      <c r="V457">
        <v>360.47027570327299</v>
      </c>
      <c r="W457">
        <v>376.879790747372</v>
      </c>
    </row>
    <row r="458" spans="1:23" x14ac:dyDescent="0.2">
      <c r="A458" t="s">
        <v>934</v>
      </c>
      <c r="B458" s="3" t="str">
        <f>HYPERLINK("http://www.ncbi.nlm.nih.gov/gene/20855","Stc1")</f>
        <v>Stc1</v>
      </c>
      <c r="C458">
        <v>20855</v>
      </c>
      <c r="D458" t="s">
        <v>935</v>
      </c>
      <c r="E458" s="3" t="str">
        <f>HYPERLINK("http://genome.ucsc.edu/cgi-bin/hgTracks?db=mm10&amp;lastVirtModeType=default&amp;lastVirtModeExtraState=&amp;virtModeType=default&amp;virtMode=0&amp;nonVirtPosition=&amp;position=chr14:69029288-69041401","chr14:69029288-69041401")</f>
        <v>chr14:69029288-69041401</v>
      </c>
      <c r="F458" t="s">
        <v>30</v>
      </c>
      <c r="G458">
        <v>-1.1034473138057299</v>
      </c>
      <c r="H458">
        <v>0.21232175925329899</v>
      </c>
      <c r="I458">
        <v>-5.1970524249910897</v>
      </c>
      <c r="J458" s="1">
        <v>2.0247327711529801E-7</v>
      </c>
      <c r="K458" s="1">
        <v>5.9720697221386602E-6</v>
      </c>
      <c r="L458" t="s">
        <v>26</v>
      </c>
      <c r="M458" t="s">
        <v>27</v>
      </c>
      <c r="N458">
        <v>96.361659091434902</v>
      </c>
      <c r="O458">
        <v>139.24939278297299</v>
      </c>
      <c r="P458">
        <v>64.195858822780906</v>
      </c>
      <c r="Q458">
        <v>131.40304085735099</v>
      </c>
      <c r="R458">
        <v>158.528554947918</v>
      </c>
      <c r="S458">
        <v>127.81658254365099</v>
      </c>
      <c r="T458">
        <v>77.910230164881497</v>
      </c>
      <c r="U458">
        <v>77.0852428518793</v>
      </c>
      <c r="V458">
        <v>58.852289910738399</v>
      </c>
      <c r="W458">
        <v>42.935672363624597</v>
      </c>
    </row>
    <row r="459" spans="1:23" x14ac:dyDescent="0.2">
      <c r="A459" t="s">
        <v>936</v>
      </c>
      <c r="B459" s="3" t="str">
        <f>HYPERLINK("http://www.ncbi.nlm.nih.gov/gene/214162","Kmt2a")</f>
        <v>Kmt2a</v>
      </c>
      <c r="C459">
        <v>214162</v>
      </c>
      <c r="D459" t="s">
        <v>937</v>
      </c>
      <c r="E459" s="3" t="str">
        <f>HYPERLINK("http://genome.ucsc.edu/cgi-bin/hgTracks?db=mm10&amp;lastVirtModeType=default&amp;lastVirtModeExtraState=&amp;virtModeType=default&amp;virtMode=0&amp;nonVirtPosition=&amp;position=chr9:44803354-44881274","chr9:44803354-44881274")</f>
        <v>chr9:44803354-44881274</v>
      </c>
      <c r="F459" t="s">
        <v>25</v>
      </c>
      <c r="G459">
        <v>0.84214546979665295</v>
      </c>
      <c r="H459">
        <v>0.16213178753532201</v>
      </c>
      <c r="I459">
        <v>5.1942033243369004</v>
      </c>
      <c r="J459" s="1">
        <v>2.05598347718113E-7</v>
      </c>
      <c r="K459" s="1">
        <v>6.0509175259192297E-6</v>
      </c>
      <c r="L459" t="s">
        <v>26</v>
      </c>
      <c r="M459" t="s">
        <v>27</v>
      </c>
      <c r="N459">
        <v>1309.7407403136301</v>
      </c>
      <c r="O459">
        <v>884.45166377379496</v>
      </c>
      <c r="P459">
        <v>1628.7075477185101</v>
      </c>
      <c r="Q459">
        <v>819.59862772042698</v>
      </c>
      <c r="R459">
        <v>700.48383011675799</v>
      </c>
      <c r="S459">
        <v>1133.2725334842</v>
      </c>
      <c r="T459">
        <v>1741.5227919208801</v>
      </c>
      <c r="U459">
        <v>1501.0209788657601</v>
      </c>
      <c r="V459">
        <v>1578.7126768555599</v>
      </c>
      <c r="W459">
        <v>1693.5737432318599</v>
      </c>
    </row>
    <row r="460" spans="1:23" x14ac:dyDescent="0.2">
      <c r="A460" t="s">
        <v>938</v>
      </c>
      <c r="B460" s="3" t="str">
        <f>HYPERLINK("http://www.ncbi.nlm.nih.gov/gene/225908","Myrf")</f>
        <v>Myrf</v>
      </c>
      <c r="C460">
        <v>225908</v>
      </c>
      <c r="D460" t="s">
        <v>939</v>
      </c>
      <c r="E460" s="3" t="str">
        <f>HYPERLINK("http://genome.ucsc.edu/cgi-bin/hgTracks?db=mm10&amp;lastVirtModeType=default&amp;lastVirtModeExtraState=&amp;virtModeType=default&amp;virtMode=0&amp;nonVirtPosition=&amp;position=chr19:10208270-10240748","chr19:10208270-10240748")</f>
        <v>chr19:10208270-10240748</v>
      </c>
      <c r="F460" t="s">
        <v>25</v>
      </c>
      <c r="G460">
        <v>1.09571383682068</v>
      </c>
      <c r="H460">
        <v>0.211002795721215</v>
      </c>
      <c r="I460">
        <v>5.19288776755534</v>
      </c>
      <c r="J460" s="1">
        <v>2.0705701528472801E-7</v>
      </c>
      <c r="K460" s="1">
        <v>6.0804835343811397E-6</v>
      </c>
      <c r="L460" t="s">
        <v>26</v>
      </c>
      <c r="M460" t="s">
        <v>27</v>
      </c>
      <c r="N460">
        <v>212.16702548623601</v>
      </c>
      <c r="O460">
        <v>125.072559319269</v>
      </c>
      <c r="P460">
        <v>277.48787511146202</v>
      </c>
      <c r="Q460">
        <v>112.472094293156</v>
      </c>
      <c r="R460">
        <v>105.43286668784999</v>
      </c>
      <c r="S460">
        <v>157.31271697680199</v>
      </c>
      <c r="T460">
        <v>197.06705276999401</v>
      </c>
      <c r="U460">
        <v>250.52703926860801</v>
      </c>
      <c r="V460">
        <v>383.27553804368398</v>
      </c>
      <c r="W460">
        <v>279.08187036355997</v>
      </c>
    </row>
    <row r="461" spans="1:23" x14ac:dyDescent="0.2">
      <c r="A461" t="s">
        <v>940</v>
      </c>
      <c r="B461" s="3" t="str">
        <f>HYPERLINK("http://www.ncbi.nlm.nih.gov/gene/19299","Abcd3")</f>
        <v>Abcd3</v>
      </c>
      <c r="C461">
        <v>19299</v>
      </c>
      <c r="D461" t="s">
        <v>941</v>
      </c>
      <c r="E461" s="3" t="str">
        <f>HYPERLINK("http://genome.ucsc.edu/cgi-bin/hgTracks?db=mm10&amp;lastVirtModeType=default&amp;lastVirtModeExtraState=&amp;virtModeType=default&amp;virtMode=0&amp;nonVirtPosition=&amp;position=chr3:121758909-121815215","chr3:121758909-121815215")</f>
        <v>chr3:121758909-121815215</v>
      </c>
      <c r="F461" t="s">
        <v>25</v>
      </c>
      <c r="G461">
        <v>-1.2139968389038001</v>
      </c>
      <c r="H461">
        <v>0.23381191734700801</v>
      </c>
      <c r="I461">
        <v>-5.1921940193581797</v>
      </c>
      <c r="J461" s="1">
        <v>2.07830254394083E-7</v>
      </c>
      <c r="K461" s="1">
        <v>6.0898357474642603E-6</v>
      </c>
      <c r="L461" t="s">
        <v>26</v>
      </c>
      <c r="M461" t="s">
        <v>27</v>
      </c>
      <c r="N461">
        <v>866.09008637391298</v>
      </c>
      <c r="O461">
        <v>1325.40797409992</v>
      </c>
      <c r="P461">
        <v>521.60167057941101</v>
      </c>
      <c r="Q461">
        <v>2078.5065742393699</v>
      </c>
      <c r="R461">
        <v>986.44203688883897</v>
      </c>
      <c r="S461">
        <v>911.27531117153899</v>
      </c>
      <c r="T461">
        <v>444.54660741138298</v>
      </c>
      <c r="U461">
        <v>550.30298369258298</v>
      </c>
      <c r="V461">
        <v>552.47587153705695</v>
      </c>
      <c r="W461">
        <v>539.08121967661998</v>
      </c>
    </row>
    <row r="462" spans="1:23" x14ac:dyDescent="0.2">
      <c r="A462" t="s">
        <v>942</v>
      </c>
      <c r="B462" s="3" t="str">
        <f>HYPERLINK("http://www.ncbi.nlm.nih.gov/gene/333564","Fndc3c1")</f>
        <v>Fndc3c1</v>
      </c>
      <c r="C462">
        <v>333564</v>
      </c>
      <c r="D462" t="s">
        <v>943</v>
      </c>
      <c r="E462" s="3" t="str">
        <f>HYPERLINK("http://genome.ucsc.edu/cgi-bin/hgTracks?db=mm10&amp;lastVirtModeType=default&amp;lastVirtModeExtraState=&amp;virtModeType=default&amp;virtMode=0&amp;nonVirtPosition=&amp;position=chrX:106420042-106485229","chrX:106420042-106485229")</f>
        <v>chrX:106420042-106485229</v>
      </c>
      <c r="F462" t="s">
        <v>25</v>
      </c>
      <c r="G462">
        <v>1.9320968602548501</v>
      </c>
      <c r="H462">
        <v>0.37298675748437898</v>
      </c>
      <c r="I462">
        <v>5.1800682503741902</v>
      </c>
      <c r="J462" s="1">
        <v>2.2180473190551901E-7</v>
      </c>
      <c r="K462" s="1">
        <v>6.4851248142943401E-6</v>
      </c>
      <c r="L462" t="s">
        <v>26</v>
      </c>
      <c r="M462" t="s">
        <v>27</v>
      </c>
      <c r="N462">
        <v>12.062016718888</v>
      </c>
      <c r="O462">
        <v>2.59633386889938</v>
      </c>
      <c r="P462">
        <v>19.1612788563795</v>
      </c>
      <c r="Q462">
        <v>3.3407552760343502</v>
      </c>
      <c r="R462">
        <v>3.4132942452900998</v>
      </c>
      <c r="S462">
        <v>1.0349520853737</v>
      </c>
      <c r="T462">
        <v>18.3318188623251</v>
      </c>
      <c r="U462">
        <v>12.847540475313201</v>
      </c>
      <c r="V462">
        <v>22.805262340411101</v>
      </c>
      <c r="W462">
        <v>22.6604937474686</v>
      </c>
    </row>
    <row r="463" spans="1:23" x14ac:dyDescent="0.2">
      <c r="A463" t="s">
        <v>944</v>
      </c>
      <c r="B463" s="3" t="str">
        <f>HYPERLINK("http://www.ncbi.nlm.nih.gov/gene/229007","Zgpat")</f>
        <v>Zgpat</v>
      </c>
      <c r="C463">
        <v>229007</v>
      </c>
      <c r="D463" t="s">
        <v>945</v>
      </c>
      <c r="E463" s="3" t="str">
        <f>HYPERLINK("http://genome.ucsc.edu/cgi-bin/hgTracks?db=mm10&amp;lastVirtModeType=default&amp;lastVirtModeExtraState=&amp;virtModeType=default&amp;virtMode=0&amp;nonVirtPosition=&amp;position=chr2:181364930-181380793","chr2:181364930-181380793")</f>
        <v>chr2:181364930-181380793</v>
      </c>
      <c r="F463" t="s">
        <v>30</v>
      </c>
      <c r="G463">
        <v>0.82888687796507898</v>
      </c>
      <c r="H463">
        <v>0.160074903912479</v>
      </c>
      <c r="I463">
        <v>5.1781188537728102</v>
      </c>
      <c r="J463" s="1">
        <v>2.2413442880499301E-7</v>
      </c>
      <c r="K463" s="1">
        <v>6.5389632595374003E-6</v>
      </c>
      <c r="L463" t="s">
        <v>26</v>
      </c>
      <c r="M463" t="s">
        <v>27</v>
      </c>
      <c r="N463">
        <v>212.86120525221301</v>
      </c>
      <c r="O463">
        <v>143.852687772205</v>
      </c>
      <c r="P463">
        <v>264.617593362219</v>
      </c>
      <c r="Q463">
        <v>146.436439599506</v>
      </c>
      <c r="R463">
        <v>127.80890674030699</v>
      </c>
      <c r="S463">
        <v>157.31271697680199</v>
      </c>
      <c r="T463">
        <v>288.72614708162001</v>
      </c>
      <c r="U463">
        <v>250.52703926860801</v>
      </c>
      <c r="V463">
        <v>216.28216542196401</v>
      </c>
      <c r="W463">
        <v>302.93502167668498</v>
      </c>
    </row>
    <row r="464" spans="1:23" x14ac:dyDescent="0.2">
      <c r="A464" t="s">
        <v>946</v>
      </c>
      <c r="B464" s="3" t="str">
        <f>HYPERLINK("http://www.ncbi.nlm.nih.gov/gene/56036","Ccnl2")</f>
        <v>Ccnl2</v>
      </c>
      <c r="C464">
        <v>56036</v>
      </c>
      <c r="D464" t="s">
        <v>947</v>
      </c>
      <c r="E464" s="3" t="str">
        <f>HYPERLINK("http://genome.ucsc.edu/cgi-bin/hgTracks?db=mm10&amp;lastVirtModeType=default&amp;lastVirtModeExtraState=&amp;virtModeType=default&amp;virtMode=0&amp;nonVirtPosition=&amp;position=chr4:155812488-155824543","chr4:155812488-155824543")</f>
        <v>chr4:155812488-155824543</v>
      </c>
      <c r="F464" t="s">
        <v>30</v>
      </c>
      <c r="G464">
        <v>0.62455257730121705</v>
      </c>
      <c r="H464">
        <v>0.120709219061918</v>
      </c>
      <c r="I464">
        <v>5.1740254982583398</v>
      </c>
      <c r="J464" s="1">
        <v>2.2910353845358501E-7</v>
      </c>
      <c r="K464" s="1">
        <v>6.6694032248520803E-6</v>
      </c>
      <c r="L464" t="s">
        <v>26</v>
      </c>
      <c r="M464" t="s">
        <v>27</v>
      </c>
      <c r="N464">
        <v>551.75814008126395</v>
      </c>
      <c r="O464">
        <v>417.717401641886</v>
      </c>
      <c r="P464">
        <v>652.28869391079797</v>
      </c>
      <c r="Q464">
        <v>371.93742073182398</v>
      </c>
      <c r="R464">
        <v>423.24848641597299</v>
      </c>
      <c r="S464">
        <v>457.96629777786001</v>
      </c>
      <c r="T464">
        <v>655.36252432812103</v>
      </c>
      <c r="U464">
        <v>657.36582098685903</v>
      </c>
      <c r="V464">
        <v>595.14378172234206</v>
      </c>
      <c r="W464">
        <v>701.28264860586899</v>
      </c>
    </row>
    <row r="465" spans="1:23" x14ac:dyDescent="0.2">
      <c r="A465" t="s">
        <v>948</v>
      </c>
      <c r="B465" s="3" t="str">
        <f>HYPERLINK("http://www.ncbi.nlm.nih.gov/gene/19052","Ppp2ca")</f>
        <v>Ppp2ca</v>
      </c>
      <c r="C465">
        <v>19052</v>
      </c>
      <c r="D465" t="s">
        <v>949</v>
      </c>
      <c r="E465" s="3" t="str">
        <f>HYPERLINK("http://genome.ucsc.edu/cgi-bin/hgTracks?db=mm10&amp;lastVirtModeType=default&amp;lastVirtModeExtraState=&amp;virtModeType=default&amp;virtMode=0&amp;nonVirtPosition=&amp;position=chr11:52098823-52122749","chr11:52098823-52122749")</f>
        <v>chr11:52098823-52122749</v>
      </c>
      <c r="F465" t="s">
        <v>30</v>
      </c>
      <c r="G465">
        <v>-0.56717770142429802</v>
      </c>
      <c r="H465">
        <v>0.10966220172916701</v>
      </c>
      <c r="I465">
        <v>-5.1720437168046303</v>
      </c>
      <c r="J465" s="1">
        <v>2.3154739186309901E-7</v>
      </c>
      <c r="K465" s="1">
        <v>6.7259243480233401E-6</v>
      </c>
      <c r="L465" t="s">
        <v>26</v>
      </c>
      <c r="M465" t="s">
        <v>27</v>
      </c>
      <c r="N465">
        <v>1543.75469066245</v>
      </c>
      <c r="O465">
        <v>1904.4416274375999</v>
      </c>
      <c r="P465">
        <v>1273.2394880811</v>
      </c>
      <c r="Q465">
        <v>1974.3863681363</v>
      </c>
      <c r="R465">
        <v>2010.05105555973</v>
      </c>
      <c r="S465">
        <v>1728.8874586167599</v>
      </c>
      <c r="T465">
        <v>1241.9807279225199</v>
      </c>
      <c r="U465">
        <v>1284.7540475313201</v>
      </c>
      <c r="V465">
        <v>1377.1435839112801</v>
      </c>
      <c r="W465">
        <v>1189.07959295927</v>
      </c>
    </row>
    <row r="466" spans="1:23" x14ac:dyDescent="0.2">
      <c r="A466" t="s">
        <v>950</v>
      </c>
      <c r="B466" s="3" t="str">
        <f>HYPERLINK("http://www.ncbi.nlm.nih.gov/gene/235180","Fez1")</f>
        <v>Fez1</v>
      </c>
      <c r="C466">
        <v>235180</v>
      </c>
      <c r="D466" t="s">
        <v>951</v>
      </c>
      <c r="E466" s="3" t="str">
        <f>HYPERLINK("http://genome.ucsc.edu/cgi-bin/hgTracks?db=mm10&amp;lastVirtModeType=default&amp;lastVirtModeExtraState=&amp;virtModeType=default&amp;virtMode=0&amp;nonVirtPosition=&amp;position=chr9:36843658-36878640","chr9:36843658-36878640")</f>
        <v>chr9:36843658-36878640</v>
      </c>
      <c r="F466" t="s">
        <v>30</v>
      </c>
      <c r="G466">
        <v>-0.69581648922239603</v>
      </c>
      <c r="H466">
        <v>0.13454916405157699</v>
      </c>
      <c r="I466">
        <v>-5.1714664608073599</v>
      </c>
      <c r="J466" s="1">
        <v>2.3226396480922499E-7</v>
      </c>
      <c r="K466" s="1">
        <v>6.7321358284855704E-6</v>
      </c>
      <c r="L466" t="s">
        <v>26</v>
      </c>
      <c r="M466" t="s">
        <v>27</v>
      </c>
      <c r="N466">
        <v>899.40815094228901</v>
      </c>
      <c r="O466">
        <v>1159.0223614833501</v>
      </c>
      <c r="P466">
        <v>704.69749303649496</v>
      </c>
      <c r="Q466">
        <v>1341.8700358737999</v>
      </c>
      <c r="R466">
        <v>1171.13918105065</v>
      </c>
      <c r="S466">
        <v>964.05786752559698</v>
      </c>
      <c r="T466">
        <v>678.277297906027</v>
      </c>
      <c r="U466">
        <v>755.863631297594</v>
      </c>
      <c r="V466">
        <v>698.87094269001898</v>
      </c>
      <c r="W466">
        <v>685.77810025233805</v>
      </c>
    </row>
    <row r="467" spans="1:23" x14ac:dyDescent="0.2">
      <c r="A467" t="s">
        <v>952</v>
      </c>
      <c r="B467" s="3" t="str">
        <f>HYPERLINK("http://www.ncbi.nlm.nih.gov/gene/103836","Zfp692")</f>
        <v>Zfp692</v>
      </c>
      <c r="C467">
        <v>103836</v>
      </c>
      <c r="D467" t="s">
        <v>953</v>
      </c>
      <c r="E467" s="3" t="str">
        <f>HYPERLINK("http://genome.ucsc.edu/cgi-bin/hgTracks?db=mm10&amp;lastVirtModeType=default&amp;lastVirtModeExtraState=&amp;virtModeType=default&amp;virtMode=0&amp;nonVirtPosition=&amp;position=chr11:58307068-58314613","chr11:58307068-58314613")</f>
        <v>chr11:58307068-58314613</v>
      </c>
      <c r="F467" t="s">
        <v>30</v>
      </c>
      <c r="G467">
        <v>1.06665087857769</v>
      </c>
      <c r="H467">
        <v>0.20632482330330301</v>
      </c>
      <c r="I467">
        <v>5.1697651378073903</v>
      </c>
      <c r="J467" s="1">
        <v>2.34388375879887E-7</v>
      </c>
      <c r="K467" s="1">
        <v>6.7790383183748698E-6</v>
      </c>
      <c r="L467" t="s">
        <v>26</v>
      </c>
      <c r="M467" t="s">
        <v>27</v>
      </c>
      <c r="N467">
        <v>132.00631720412201</v>
      </c>
      <c r="O467">
        <v>76.595321016716696</v>
      </c>
      <c r="P467">
        <v>173.564564344676</v>
      </c>
      <c r="Q467">
        <v>60.133594968618297</v>
      </c>
      <c r="R467">
        <v>75.471728312525599</v>
      </c>
      <c r="S467">
        <v>94.180639769006305</v>
      </c>
      <c r="T467">
        <v>210.81591691673799</v>
      </c>
      <c r="U467">
        <v>152.02922895787299</v>
      </c>
      <c r="V467">
        <v>134.624613170814</v>
      </c>
      <c r="W467">
        <v>196.78849833327999</v>
      </c>
    </row>
    <row r="468" spans="1:23" x14ac:dyDescent="0.2">
      <c r="A468" t="s">
        <v>954</v>
      </c>
      <c r="B468" s="3" t="str">
        <f>HYPERLINK("http://www.ncbi.nlm.nih.gov/gene/217366","Lrrc45")</f>
        <v>Lrrc45</v>
      </c>
      <c r="C468">
        <v>217366</v>
      </c>
      <c r="D468" t="s">
        <v>955</v>
      </c>
      <c r="E468" s="3" t="str">
        <f>HYPERLINK("http://genome.ucsc.edu/cgi-bin/hgTracks?db=mm10&amp;lastVirtModeType=default&amp;lastVirtModeExtraState=&amp;virtModeType=default&amp;virtMode=0&amp;nonVirtPosition=&amp;position=chr11:120713952-120721127","chr11:120713952-120721127")</f>
        <v>chr11:120713952-120721127</v>
      </c>
      <c r="F468" t="s">
        <v>30</v>
      </c>
      <c r="G468">
        <v>0.89768278742823604</v>
      </c>
      <c r="H468">
        <v>0.173797661317136</v>
      </c>
      <c r="I468">
        <v>5.1651028018737204</v>
      </c>
      <c r="J468" s="1">
        <v>2.4030681151987699E-7</v>
      </c>
      <c r="K468" s="1">
        <v>6.93523386435922E-6</v>
      </c>
      <c r="L468" t="s">
        <v>26</v>
      </c>
      <c r="M468" t="s">
        <v>27</v>
      </c>
      <c r="N468">
        <v>183.40001466739301</v>
      </c>
      <c r="O468">
        <v>119.323250935643</v>
      </c>
      <c r="P468">
        <v>231.45758746620601</v>
      </c>
      <c r="Q468">
        <v>128.61907812732201</v>
      </c>
      <c r="R468">
        <v>106.191376520136</v>
      </c>
      <c r="S468">
        <v>123.15929815947</v>
      </c>
      <c r="T468">
        <v>261.22841878813199</v>
      </c>
      <c r="U468">
        <v>190.571850383813</v>
      </c>
      <c r="V468">
        <v>194.948210329321</v>
      </c>
      <c r="W468">
        <v>279.08187036355997</v>
      </c>
    </row>
    <row r="469" spans="1:23" x14ac:dyDescent="0.2">
      <c r="A469" t="s">
        <v>956</v>
      </c>
      <c r="B469" s="3" t="str">
        <f>HYPERLINK("http://www.ncbi.nlm.nih.gov/gene/23849","Klf6")</f>
        <v>Klf6</v>
      </c>
      <c r="C469">
        <v>23849</v>
      </c>
      <c r="D469" t="s">
        <v>957</v>
      </c>
      <c r="E469" s="3" t="str">
        <f>HYPERLINK("http://genome.ucsc.edu/cgi-bin/hgTracks?db=mm10&amp;lastVirtModeType=default&amp;lastVirtModeExtraState=&amp;virtModeType=default&amp;virtMode=0&amp;nonVirtPosition=&amp;position=chr13:5861488-5870393","chr13:5861488-5870393")</f>
        <v>chr13:5861488-5870393</v>
      </c>
      <c r="F469" t="s">
        <v>30</v>
      </c>
      <c r="G469">
        <v>-0.73199518757204196</v>
      </c>
      <c r="H469">
        <v>0.14189161849190199</v>
      </c>
      <c r="I469">
        <v>-5.1588331668358398</v>
      </c>
      <c r="J469" s="1">
        <v>2.4849360756861103E-7</v>
      </c>
      <c r="K469" s="1">
        <v>7.1560815031209998E-6</v>
      </c>
      <c r="L469" t="s">
        <v>26</v>
      </c>
      <c r="M469" t="s">
        <v>27</v>
      </c>
      <c r="N469">
        <v>398.87636564546602</v>
      </c>
      <c r="O469">
        <v>526.44405894212696</v>
      </c>
      <c r="P469">
        <v>303.20059567297</v>
      </c>
      <c r="Q469">
        <v>512.80593487127305</v>
      </c>
      <c r="R469">
        <v>504.029783554505</v>
      </c>
      <c r="S469">
        <v>562.49645840060305</v>
      </c>
      <c r="T469">
        <v>233.73069049464399</v>
      </c>
      <c r="U469">
        <v>312.62348489928797</v>
      </c>
      <c r="V469">
        <v>367.09115831823101</v>
      </c>
      <c r="W469">
        <v>299.35704897971601</v>
      </c>
    </row>
    <row r="470" spans="1:23" x14ac:dyDescent="0.2">
      <c r="A470" t="s">
        <v>958</v>
      </c>
      <c r="B470" s="3" t="str">
        <f>HYPERLINK("http://www.ncbi.nlm.nih.gov/gene/14489","Mtpn")</f>
        <v>Mtpn</v>
      </c>
      <c r="C470">
        <v>14489</v>
      </c>
      <c r="D470" t="s">
        <v>959</v>
      </c>
      <c r="E470" s="3" t="str">
        <f>HYPERLINK("http://genome.ucsc.edu/cgi-bin/hgTracks?db=mm10&amp;lastVirtModeType=default&amp;lastVirtModeExtraState=&amp;virtModeType=default&amp;virtMode=0&amp;nonVirtPosition=&amp;position=chr6:35508823-35539888","chr6:35508823-35539888")</f>
        <v>chr6:35508823-35539888</v>
      </c>
      <c r="F470" t="s">
        <v>25</v>
      </c>
      <c r="G470">
        <v>-0.56567610508814004</v>
      </c>
      <c r="H470">
        <v>0.109724729349147</v>
      </c>
      <c r="I470">
        <v>-5.1554112590986101</v>
      </c>
      <c r="J470" s="1">
        <v>2.5307487250548202E-7</v>
      </c>
      <c r="K470" s="1">
        <v>7.2723725702165502E-6</v>
      </c>
      <c r="L470" t="s">
        <v>26</v>
      </c>
      <c r="M470" t="s">
        <v>27</v>
      </c>
      <c r="N470">
        <v>1125.00977327398</v>
      </c>
      <c r="O470">
        <v>1388.23606493231</v>
      </c>
      <c r="P470">
        <v>927.59005453023303</v>
      </c>
      <c r="Q470">
        <v>1514.47572513557</v>
      </c>
      <c r="R470">
        <v>1386.5559734200699</v>
      </c>
      <c r="S470">
        <v>1263.6764962412799</v>
      </c>
      <c r="T470">
        <v>912.00798840067102</v>
      </c>
      <c r="U470">
        <v>871.49149557541296</v>
      </c>
      <c r="V470">
        <v>979.89062701379498</v>
      </c>
      <c r="W470">
        <v>946.97010713105396</v>
      </c>
    </row>
    <row r="471" spans="1:23" x14ac:dyDescent="0.2">
      <c r="A471" t="s">
        <v>960</v>
      </c>
      <c r="B471" s="3" t="str">
        <f>HYPERLINK("http://www.ncbi.nlm.nih.gov/gene/320775","B230319C09Rik")</f>
        <v>B230319C09Rik</v>
      </c>
      <c r="C471">
        <v>320775</v>
      </c>
      <c r="D471" t="s">
        <v>961</v>
      </c>
      <c r="E471" s="3" t="str">
        <f>HYPERLINK("http://genome.ucsc.edu/cgi-bin/hgTracks?db=mm10&amp;lastVirtModeType=default&amp;lastVirtModeExtraState=&amp;virtModeType=default&amp;virtMode=0&amp;nonVirtPosition=&amp;position=chr6:83441754-83448322","chr6:83441754-83448322")</f>
        <v>chr6:83441754-83448322</v>
      </c>
      <c r="F471" t="s">
        <v>30</v>
      </c>
      <c r="G471">
        <v>1.5242606058487</v>
      </c>
      <c r="H471">
        <v>0.296028680368013</v>
      </c>
      <c r="I471">
        <v>5.1490301681370498</v>
      </c>
      <c r="J471" s="1">
        <v>2.6183676994335801E-7</v>
      </c>
      <c r="K471" s="1">
        <v>7.5080432255064498E-6</v>
      </c>
      <c r="L471" t="s">
        <v>26</v>
      </c>
      <c r="M471" t="s">
        <v>27</v>
      </c>
      <c r="N471">
        <v>25.493618968342901</v>
      </c>
      <c r="O471">
        <v>10.660883958692301</v>
      </c>
      <c r="P471">
        <v>36.618170225580897</v>
      </c>
      <c r="Q471">
        <v>8.9086807360916005</v>
      </c>
      <c r="R471">
        <v>9.1021179874402698</v>
      </c>
      <c r="S471">
        <v>13.971853152544901</v>
      </c>
      <c r="T471">
        <v>32.0806830090688</v>
      </c>
      <c r="U471">
        <v>36.401364680054101</v>
      </c>
      <c r="V471">
        <v>43.403563809169597</v>
      </c>
      <c r="W471">
        <v>34.587069404030998</v>
      </c>
    </row>
    <row r="472" spans="1:23" x14ac:dyDescent="0.2">
      <c r="A472" t="s">
        <v>962</v>
      </c>
      <c r="B472" s="3" t="str">
        <f>HYPERLINK("http://www.ncbi.nlm.nih.gov/gene/67039","Rbm25")</f>
        <v>Rbm25</v>
      </c>
      <c r="C472">
        <v>67039</v>
      </c>
      <c r="D472" t="s">
        <v>963</v>
      </c>
      <c r="E472" s="3" t="str">
        <f>HYPERLINK("http://genome.ucsc.edu/cgi-bin/hgTracks?db=mm10&amp;lastVirtModeType=default&amp;lastVirtModeExtraState=&amp;virtModeType=default&amp;virtMode=0&amp;nonVirtPosition=&amp;position=chr12:83632233-83683123","chr12:83632233-83683123")</f>
        <v>chr12:83632233-83683123</v>
      </c>
      <c r="F472" t="s">
        <v>30</v>
      </c>
      <c r="G472">
        <v>0.57932163417370797</v>
      </c>
      <c r="H472">
        <v>0.11257865042762499</v>
      </c>
      <c r="I472">
        <v>5.1459280420681903</v>
      </c>
      <c r="J472" s="1">
        <v>2.6620145731403898E-7</v>
      </c>
      <c r="K472" s="1">
        <v>7.61688827968438E-6</v>
      </c>
      <c r="L472" t="s">
        <v>26</v>
      </c>
      <c r="M472" t="s">
        <v>27</v>
      </c>
      <c r="N472">
        <v>950.87800098925504</v>
      </c>
      <c r="O472">
        <v>737.75809817508696</v>
      </c>
      <c r="P472">
        <v>1110.7179280998801</v>
      </c>
      <c r="Q472">
        <v>657.01520428675599</v>
      </c>
      <c r="R472">
        <v>744.85665530552899</v>
      </c>
      <c r="S472">
        <v>811.40243493297703</v>
      </c>
      <c r="T472">
        <v>1072.4114034460199</v>
      </c>
      <c r="U472">
        <v>1181.97372372882</v>
      </c>
      <c r="V472">
        <v>1127.02135179064</v>
      </c>
      <c r="W472">
        <v>1061.4652334340501</v>
      </c>
    </row>
    <row r="473" spans="1:23" x14ac:dyDescent="0.2">
      <c r="A473" t="s">
        <v>964</v>
      </c>
      <c r="B473" s="3" t="str">
        <f>HYPERLINK("http://www.ncbi.nlm.nih.gov/gene/208439","Klhl29")</f>
        <v>Klhl29</v>
      </c>
      <c r="C473">
        <v>208439</v>
      </c>
      <c r="D473" t="s">
        <v>965</v>
      </c>
      <c r="E473" s="3" t="str">
        <f>HYPERLINK("http://genome.ucsc.edu/cgi-bin/hgTracks?db=mm10&amp;lastVirtModeType=default&amp;lastVirtModeExtraState=&amp;virtModeType=default&amp;virtMode=0&amp;nonVirtPosition=&amp;position=chr12:5077465-5375682","chr12:5077465-5375682")</f>
        <v>chr12:5077465-5375682</v>
      </c>
      <c r="F473" t="s">
        <v>25</v>
      </c>
      <c r="G473">
        <v>1.28937267526016</v>
      </c>
      <c r="H473">
        <v>0.25058905095565798</v>
      </c>
      <c r="I473">
        <v>5.1453671672523296</v>
      </c>
      <c r="J473" s="1">
        <v>2.6699807322137502E-7</v>
      </c>
      <c r="K473" s="1">
        <v>7.6233927473505901E-6</v>
      </c>
      <c r="L473" t="s">
        <v>26</v>
      </c>
      <c r="M473" t="s">
        <v>27</v>
      </c>
      <c r="N473">
        <v>72.928997864168494</v>
      </c>
      <c r="O473">
        <v>36.402655858733901</v>
      </c>
      <c r="P473">
        <v>100.323754368244</v>
      </c>
      <c r="Q473">
        <v>21.158116748217498</v>
      </c>
      <c r="R473">
        <v>40.959530943481198</v>
      </c>
      <c r="S473">
        <v>47.090319884503103</v>
      </c>
      <c r="T473">
        <v>100.825003742788</v>
      </c>
      <c r="U473">
        <v>100.63906705661999</v>
      </c>
      <c r="V473">
        <v>85.335820370570701</v>
      </c>
      <c r="W473">
        <v>114.495126302999</v>
      </c>
    </row>
    <row r="474" spans="1:23" x14ac:dyDescent="0.2">
      <c r="A474" t="s">
        <v>966</v>
      </c>
      <c r="B474" s="3" t="str">
        <f>HYPERLINK("http://www.ncbi.nlm.nih.gov/gene/56431","Dstn")</f>
        <v>Dstn</v>
      </c>
      <c r="C474">
        <v>56431</v>
      </c>
      <c r="D474" t="s">
        <v>967</v>
      </c>
      <c r="E474" s="3" t="str">
        <f>HYPERLINK("http://genome.ucsc.edu/cgi-bin/hgTracks?db=mm10&amp;lastVirtModeType=default&amp;lastVirtModeExtraState=&amp;virtModeType=default&amp;virtMode=0&amp;nonVirtPosition=&amp;position=chr2:143915330-143943324","chr2:143915330-143943324")</f>
        <v>chr2:143915330-143943324</v>
      </c>
      <c r="F474" t="s">
        <v>30</v>
      </c>
      <c r="G474">
        <v>-0.670901073782461</v>
      </c>
      <c r="H474">
        <v>0.13040124921931401</v>
      </c>
      <c r="I474">
        <v>-5.1448975972163797</v>
      </c>
      <c r="J474" s="1">
        <v>2.67666778406368E-7</v>
      </c>
      <c r="K474" s="1">
        <v>7.6262251694461196E-6</v>
      </c>
      <c r="L474" t="s">
        <v>26</v>
      </c>
      <c r="M474" t="s">
        <v>27</v>
      </c>
      <c r="N474">
        <v>658.12384966373099</v>
      </c>
      <c r="O474">
        <v>841.97947851801996</v>
      </c>
      <c r="P474">
        <v>520.23212802301396</v>
      </c>
      <c r="Q474">
        <v>925.94600400752097</v>
      </c>
      <c r="R474">
        <v>877.59587595569894</v>
      </c>
      <c r="S474">
        <v>722.39655559083894</v>
      </c>
      <c r="T474">
        <v>522.45683757626398</v>
      </c>
      <c r="U474">
        <v>483.924024570131</v>
      </c>
      <c r="V474">
        <v>576.01678750135204</v>
      </c>
      <c r="W474">
        <v>498.53086244430801</v>
      </c>
    </row>
    <row r="475" spans="1:23" x14ac:dyDescent="0.2">
      <c r="A475" t="s">
        <v>968</v>
      </c>
      <c r="B475" s="3" t="str">
        <f>HYPERLINK("http://www.ncbi.nlm.nih.gov/gene/17318","Mid1")</f>
        <v>Mid1</v>
      </c>
      <c r="C475">
        <v>17318</v>
      </c>
      <c r="D475" t="s">
        <v>969</v>
      </c>
      <c r="E475" s="3" t="str">
        <f>HYPERLINK("http://genome.ucsc.edu/cgi-bin/hgTracks?db=mm10&amp;lastVirtModeType=default&amp;lastVirtModeExtraState=&amp;virtModeType=default&amp;virtMode=0&amp;nonVirtPosition=&amp;position=chrX:169685198-169990797","chrX:169685198-169990797")</f>
        <v>chrX:169685198-169990797</v>
      </c>
      <c r="F475" t="s">
        <v>30</v>
      </c>
      <c r="G475">
        <v>1.3021142572444899</v>
      </c>
      <c r="H475">
        <v>0.253137409374738</v>
      </c>
      <c r="I475">
        <v>5.1439029121012902</v>
      </c>
      <c r="J475" s="1">
        <v>2.6908863603503202E-7</v>
      </c>
      <c r="K475" s="1">
        <v>7.65045843979855E-6</v>
      </c>
      <c r="L475" t="s">
        <v>26</v>
      </c>
      <c r="M475" t="s">
        <v>27</v>
      </c>
      <c r="N475">
        <v>43.5523375592593</v>
      </c>
      <c r="O475">
        <v>22.1626536919985</v>
      </c>
      <c r="P475">
        <v>59.5946004597048</v>
      </c>
      <c r="Q475">
        <v>22.271701840228999</v>
      </c>
      <c r="R475">
        <v>17.824981058737201</v>
      </c>
      <c r="S475">
        <v>26.3912781770292</v>
      </c>
      <c r="T475">
        <v>59.578411302556397</v>
      </c>
      <c r="U475">
        <v>44.966391663596198</v>
      </c>
      <c r="V475">
        <v>70.622747892886096</v>
      </c>
      <c r="W475">
        <v>63.210850979780702</v>
      </c>
    </row>
    <row r="476" spans="1:23" x14ac:dyDescent="0.2">
      <c r="A476" t="s">
        <v>970</v>
      </c>
      <c r="B476" s="3" t="str">
        <f>HYPERLINK("http://www.ncbi.nlm.nih.gov/gene/13400","Dmpk")</f>
        <v>Dmpk</v>
      </c>
      <c r="C476">
        <v>13400</v>
      </c>
      <c r="D476" t="s">
        <v>971</v>
      </c>
      <c r="E476" s="3" t="str">
        <f>HYPERLINK("http://genome.ucsc.edu/cgi-bin/hgTracks?db=mm10&amp;lastVirtModeType=default&amp;lastVirtModeExtraState=&amp;virtModeType=default&amp;virtMode=0&amp;nonVirtPosition=&amp;position=chr7:19083848-19093820","chr7:19083848-19093820")</f>
        <v>chr7:19083848-19093820</v>
      </c>
      <c r="F476" t="s">
        <v>30</v>
      </c>
      <c r="G476">
        <v>1.3467624335489401</v>
      </c>
      <c r="H476">
        <v>0.26193699378428598</v>
      </c>
      <c r="I476">
        <v>5.1415510810131897</v>
      </c>
      <c r="J476" s="1">
        <v>2.7247954765831799E-7</v>
      </c>
      <c r="K476" s="1">
        <v>7.7304525904502998E-6</v>
      </c>
      <c r="L476" t="s">
        <v>26</v>
      </c>
      <c r="M476" t="s">
        <v>27</v>
      </c>
      <c r="N476">
        <v>88.630785031867305</v>
      </c>
      <c r="O476">
        <v>42.631567909464401</v>
      </c>
      <c r="P476">
        <v>123.130197873669</v>
      </c>
      <c r="Q476">
        <v>35.077930398360699</v>
      </c>
      <c r="R476">
        <v>30.719648207610899</v>
      </c>
      <c r="S476">
        <v>62.097125122421701</v>
      </c>
      <c r="T476">
        <v>119.15682260511301</v>
      </c>
      <c r="U476">
        <v>115.627864277819</v>
      </c>
      <c r="V476">
        <v>91.956702985528807</v>
      </c>
      <c r="W476">
        <v>165.77940162621701</v>
      </c>
    </row>
    <row r="477" spans="1:23" x14ac:dyDescent="0.2">
      <c r="A477" t="s">
        <v>972</v>
      </c>
      <c r="B477" s="3" t="str">
        <f>HYPERLINK("http://www.ncbi.nlm.nih.gov/gene/232227","Iqsec1")</f>
        <v>Iqsec1</v>
      </c>
      <c r="C477">
        <v>232227</v>
      </c>
      <c r="D477" t="s">
        <v>973</v>
      </c>
      <c r="E477" s="3" t="str">
        <f>HYPERLINK("http://genome.ucsc.edu/cgi-bin/hgTracks?db=mm10&amp;lastVirtModeType=default&amp;lastVirtModeExtraState=&amp;virtModeType=default&amp;virtMode=0&amp;nonVirtPosition=&amp;position=chr6:90659597-90716529","chr6:90659597-90716529")</f>
        <v>chr6:90659597-90716529</v>
      </c>
      <c r="F477" t="s">
        <v>25</v>
      </c>
      <c r="G477">
        <v>0.60221765371556402</v>
      </c>
      <c r="H477">
        <v>0.117247147255649</v>
      </c>
      <c r="I477">
        <v>5.1363096485620501</v>
      </c>
      <c r="J477" s="1">
        <v>2.80185865355374E-7</v>
      </c>
      <c r="K477" s="1">
        <v>7.9322810210862804E-6</v>
      </c>
      <c r="L477" t="s">
        <v>26</v>
      </c>
      <c r="M477" t="s">
        <v>27</v>
      </c>
      <c r="N477">
        <v>439.238444373812</v>
      </c>
      <c r="O477">
        <v>338.80777177877002</v>
      </c>
      <c r="P477">
        <v>514.56144882009403</v>
      </c>
      <c r="Q477">
        <v>361.35836235771598</v>
      </c>
      <c r="R477">
        <v>329.57252212856599</v>
      </c>
      <c r="S477">
        <v>325.49243085002701</v>
      </c>
      <c r="T477">
        <v>494.95910928277601</v>
      </c>
      <c r="U477">
        <v>462.511457111276</v>
      </c>
      <c r="V477">
        <v>531.87757006829804</v>
      </c>
      <c r="W477">
        <v>568.897658818026</v>
      </c>
    </row>
    <row r="478" spans="1:23" x14ac:dyDescent="0.2">
      <c r="A478" t="s">
        <v>974</v>
      </c>
      <c r="B478" s="3" t="str">
        <f>HYPERLINK("http://www.ncbi.nlm.nih.gov/gene/224024","Scarf2")</f>
        <v>Scarf2</v>
      </c>
      <c r="C478">
        <v>224024</v>
      </c>
      <c r="D478" t="s">
        <v>975</v>
      </c>
      <c r="E478" s="3" t="str">
        <f>HYPERLINK("http://genome.ucsc.edu/cgi-bin/hgTracks?db=mm10&amp;lastVirtModeType=default&amp;lastVirtModeExtraState=&amp;virtModeType=default&amp;virtMode=0&amp;nonVirtPosition=&amp;position=chr16:17797281-17808293","chr16:17797281-17808293")</f>
        <v>chr16:17797281-17808293</v>
      </c>
      <c r="F478" t="s">
        <v>30</v>
      </c>
      <c r="G478">
        <v>1.64771649881632</v>
      </c>
      <c r="H478">
        <v>0.32096603121947498</v>
      </c>
      <c r="I478">
        <v>5.1336164532925901</v>
      </c>
      <c r="J478" s="1">
        <v>2.84227027968151E-7</v>
      </c>
      <c r="K478" s="1">
        <v>8.0297133576403303E-6</v>
      </c>
      <c r="L478" t="s">
        <v>26</v>
      </c>
      <c r="M478" t="s">
        <v>27</v>
      </c>
      <c r="N478">
        <v>30.171693120883599</v>
      </c>
      <c r="O478">
        <v>10.3986847825133</v>
      </c>
      <c r="P478">
        <v>45.001449374661298</v>
      </c>
      <c r="Q478">
        <v>9.4654732820973209</v>
      </c>
      <c r="R478">
        <v>5.6888237421501699</v>
      </c>
      <c r="S478">
        <v>16.041757323292298</v>
      </c>
      <c r="T478">
        <v>54.995456586975202</v>
      </c>
      <c r="U478">
        <v>49.248905155367297</v>
      </c>
      <c r="V478">
        <v>31.6331058270219</v>
      </c>
      <c r="W478">
        <v>44.128329929280902</v>
      </c>
    </row>
    <row r="479" spans="1:23" x14ac:dyDescent="0.2">
      <c r="A479" t="s">
        <v>976</v>
      </c>
      <c r="B479" s="3" t="str">
        <f>HYPERLINK("http://www.ncbi.nlm.nih.gov/gene/58220","Pard6b")</f>
        <v>Pard6b</v>
      </c>
      <c r="C479">
        <v>58220</v>
      </c>
      <c r="D479" t="s">
        <v>977</v>
      </c>
      <c r="E479" s="3" t="str">
        <f>HYPERLINK("http://genome.ucsc.edu/cgi-bin/hgTracks?db=mm10&amp;lastVirtModeType=default&amp;lastVirtModeExtraState=&amp;virtModeType=default&amp;virtMode=0&amp;nonVirtPosition=&amp;position=chr2:168081003-168101203","chr2:168081003-168101203")</f>
        <v>chr2:168081003-168101203</v>
      </c>
      <c r="F479" t="s">
        <v>30</v>
      </c>
      <c r="G479">
        <v>1.49049741637664</v>
      </c>
      <c r="H479">
        <v>0.29054786971764501</v>
      </c>
      <c r="I479">
        <v>5.12995472252166</v>
      </c>
      <c r="J479" s="1">
        <v>2.8981187824035498E-7</v>
      </c>
      <c r="K479" s="1">
        <v>8.1702544452980795E-6</v>
      </c>
      <c r="L479" t="s">
        <v>26</v>
      </c>
      <c r="M479" t="s">
        <v>27</v>
      </c>
      <c r="N479">
        <v>27.012666122347699</v>
      </c>
      <c r="O479">
        <v>11.1877225667959</v>
      </c>
      <c r="P479">
        <v>38.881373789011498</v>
      </c>
      <c r="Q479">
        <v>8.3518881900858695</v>
      </c>
      <c r="R479">
        <v>11.7569024004437</v>
      </c>
      <c r="S479">
        <v>13.454377109857999</v>
      </c>
      <c r="T479">
        <v>45.829547155812598</v>
      </c>
      <c r="U479">
        <v>29.9775944423975</v>
      </c>
      <c r="V479">
        <v>36.782681194211499</v>
      </c>
      <c r="W479">
        <v>42.935672363624597</v>
      </c>
    </row>
    <row r="480" spans="1:23" x14ac:dyDescent="0.2">
      <c r="A480" t="s">
        <v>978</v>
      </c>
      <c r="B480" s="3" t="str">
        <f>HYPERLINK("http://www.ncbi.nlm.nih.gov/gene/71643","Zgrf1")</f>
        <v>Zgrf1</v>
      </c>
      <c r="C480">
        <v>71643</v>
      </c>
      <c r="D480" t="s">
        <v>979</v>
      </c>
      <c r="E480" s="3" t="str">
        <f>HYPERLINK("http://genome.ucsc.edu/cgi-bin/hgTracks?db=mm10&amp;lastVirtModeType=default&amp;lastVirtModeExtraState=&amp;virtModeType=default&amp;virtMode=0&amp;nonVirtPosition=&amp;position=chr3:127553488-127618023","chr3:127553488-127618023")</f>
        <v>chr3:127553488-127618023</v>
      </c>
      <c r="F480" t="s">
        <v>30</v>
      </c>
      <c r="G480">
        <v>1.1808031625000499</v>
      </c>
      <c r="H480">
        <v>0.23044098334945601</v>
      </c>
      <c r="I480">
        <v>5.12410225532411</v>
      </c>
      <c r="J480" s="1">
        <v>2.9895871440067302E-7</v>
      </c>
      <c r="K480" s="1">
        <v>8.4104120683601204E-6</v>
      </c>
      <c r="L480" t="s">
        <v>26</v>
      </c>
      <c r="M480" t="s">
        <v>27</v>
      </c>
      <c r="N480">
        <v>215.98688475204099</v>
      </c>
      <c r="O480">
        <v>116.66778516949</v>
      </c>
      <c r="P480">
        <v>290.47620943895402</v>
      </c>
      <c r="Q480">
        <v>63.474350244652598</v>
      </c>
      <c r="R480">
        <v>139.56580914075101</v>
      </c>
      <c r="S480">
        <v>146.96319612306499</v>
      </c>
      <c r="T480">
        <v>334.55569423743202</v>
      </c>
      <c r="U480">
        <v>293.352174186318</v>
      </c>
      <c r="V480">
        <v>259.685729231133</v>
      </c>
      <c r="W480">
        <v>274.31124010093498</v>
      </c>
    </row>
    <row r="481" spans="1:23" x14ac:dyDescent="0.2">
      <c r="A481" t="s">
        <v>980</v>
      </c>
      <c r="B481" s="3" t="str">
        <f>HYPERLINK("http://www.ncbi.nlm.nih.gov/gene/100037396","D030047H15Rik")</f>
        <v>D030047H15Rik</v>
      </c>
      <c r="C481">
        <v>100037396</v>
      </c>
      <c r="D481" t="s">
        <v>981</v>
      </c>
      <c r="E481" s="3" t="str">
        <f>HYPERLINK("http://genome.ucsc.edu/cgi-bin/hgTracks?db=mm10&amp;lastVirtModeType=default&amp;lastVirtModeExtraState=&amp;virtModeType=default&amp;virtMode=0&amp;nonVirtPosition=&amp;position=chr7:4126339-4136926","chr7:4126339-4136926")</f>
        <v>chr7:4126339-4136926</v>
      </c>
      <c r="F481" t="s">
        <v>25</v>
      </c>
      <c r="G481">
        <v>1.43281804572217</v>
      </c>
      <c r="H481">
        <v>0.27991396516725198</v>
      </c>
      <c r="I481">
        <v>5.1187801396977104</v>
      </c>
      <c r="J481" s="1">
        <v>3.07518198412376E-7</v>
      </c>
      <c r="K481" s="1">
        <v>8.6330737839415795E-6</v>
      </c>
      <c r="L481" t="s">
        <v>26</v>
      </c>
      <c r="M481" t="s">
        <v>27</v>
      </c>
      <c r="N481">
        <v>29.772691685514701</v>
      </c>
      <c r="O481">
        <v>13.4495725484558</v>
      </c>
      <c r="P481">
        <v>42.015031038308798</v>
      </c>
      <c r="Q481">
        <v>11.1358509201145</v>
      </c>
      <c r="R481">
        <v>12.136157316586999</v>
      </c>
      <c r="S481">
        <v>17.076709408666002</v>
      </c>
      <c r="T481">
        <v>32.0806830090688</v>
      </c>
      <c r="U481">
        <v>51.390161901252803</v>
      </c>
      <c r="V481">
        <v>40.460949313632703</v>
      </c>
      <c r="W481">
        <v>44.128329929280902</v>
      </c>
    </row>
    <row r="482" spans="1:23" x14ac:dyDescent="0.2">
      <c r="A482" t="s">
        <v>982</v>
      </c>
      <c r="B482" s="3" t="str">
        <f>HYPERLINK("http://www.ncbi.nlm.nih.gov/gene/233071","Arhgap33")</f>
        <v>Arhgap33</v>
      </c>
      <c r="C482">
        <v>233071</v>
      </c>
      <c r="D482" t="s">
        <v>983</v>
      </c>
      <c r="E482" s="3" t="str">
        <f>HYPERLINK("http://genome.ucsc.edu/cgi-bin/hgTracks?db=mm10&amp;lastVirtModeType=default&amp;lastVirtModeExtraState=&amp;virtModeType=default&amp;virtMode=0&amp;nonVirtPosition=&amp;position=chr7:30522225-30535060","chr7:30522225-30535060")</f>
        <v>chr7:30522225-30535060</v>
      </c>
      <c r="F482" t="s">
        <v>25</v>
      </c>
      <c r="G482">
        <v>1.1133959245251199</v>
      </c>
      <c r="H482">
        <v>0.21761006850251399</v>
      </c>
      <c r="I482">
        <v>5.1164724692518204</v>
      </c>
      <c r="J482" s="1">
        <v>3.1130269868311898E-7</v>
      </c>
      <c r="K482" s="1">
        <v>8.7210343892586798E-6</v>
      </c>
      <c r="L482" t="s">
        <v>26</v>
      </c>
      <c r="M482" t="s">
        <v>27</v>
      </c>
      <c r="N482">
        <v>375.89669637584899</v>
      </c>
      <c r="O482">
        <v>213.86100225939799</v>
      </c>
      <c r="P482">
        <v>497.42346696318799</v>
      </c>
      <c r="Q482">
        <v>164.253801071689</v>
      </c>
      <c r="R482">
        <v>157.01153528334501</v>
      </c>
      <c r="S482">
        <v>320.31767042315897</v>
      </c>
      <c r="T482">
        <v>568.28638473207695</v>
      </c>
      <c r="U482">
        <v>507.47784877487197</v>
      </c>
      <c r="V482">
        <v>467.87570479036998</v>
      </c>
      <c r="W482">
        <v>446.05392955543402</v>
      </c>
    </row>
    <row r="483" spans="1:23" x14ac:dyDescent="0.2">
      <c r="A483" t="s">
        <v>984</v>
      </c>
      <c r="B483" s="3" t="str">
        <f>HYPERLINK("http://www.ncbi.nlm.nih.gov/gene/72522","Atxn7l2")</f>
        <v>Atxn7l2</v>
      </c>
      <c r="C483">
        <v>72522</v>
      </c>
      <c r="D483" t="s">
        <v>985</v>
      </c>
      <c r="E483" s="3" t="str">
        <f>HYPERLINK("http://genome.ucsc.edu/cgi-bin/hgTracks?db=mm10&amp;lastVirtModeType=default&amp;lastVirtModeExtraState=&amp;virtModeType=default&amp;virtMode=0&amp;nonVirtPosition=&amp;position=chr3:108202227-108210527","chr3:108202227-108210527")</f>
        <v>chr3:108202227-108210527</v>
      </c>
      <c r="F483" t="s">
        <v>25</v>
      </c>
      <c r="G483">
        <v>1.14741017504728</v>
      </c>
      <c r="H483">
        <v>0.224281433116956</v>
      </c>
      <c r="I483">
        <v>5.1159391979136304</v>
      </c>
      <c r="J483" s="1">
        <v>3.1218362043952998E-7</v>
      </c>
      <c r="K483" s="1">
        <v>8.7274548252729502E-6</v>
      </c>
      <c r="L483" t="s">
        <v>26</v>
      </c>
      <c r="M483" t="s">
        <v>27</v>
      </c>
      <c r="N483">
        <v>57.3788308538875</v>
      </c>
      <c r="O483">
        <v>32.811006163678201</v>
      </c>
      <c r="P483">
        <v>75.804699371544402</v>
      </c>
      <c r="Q483">
        <v>27.282834754280501</v>
      </c>
      <c r="R483">
        <v>33.3744326206143</v>
      </c>
      <c r="S483">
        <v>37.775751116139901</v>
      </c>
      <c r="T483">
        <v>64.161366018137699</v>
      </c>
      <c r="U483">
        <v>66.378959122451604</v>
      </c>
      <c r="V483">
        <v>86.807127618339194</v>
      </c>
      <c r="W483">
        <v>85.871344727249294</v>
      </c>
    </row>
    <row r="484" spans="1:23" x14ac:dyDescent="0.2">
      <c r="A484" t="s">
        <v>986</v>
      </c>
      <c r="B484" s="3" t="str">
        <f>HYPERLINK("http://www.ncbi.nlm.nih.gov/gene/72308","Brf1")</f>
        <v>Brf1</v>
      </c>
      <c r="C484">
        <v>72308</v>
      </c>
      <c r="D484" t="s">
        <v>987</v>
      </c>
      <c r="E484" s="3" t="str">
        <f>HYPERLINK("http://genome.ucsc.edu/cgi-bin/hgTracks?db=mm10&amp;lastVirtModeType=default&amp;lastVirtModeExtraState=&amp;virtModeType=default&amp;virtMode=0&amp;nonVirtPosition=&amp;position=chr12:112959861-113000621","chr12:112959861-113000621")</f>
        <v>chr12:112959861-113000621</v>
      </c>
      <c r="F484" t="s">
        <v>25</v>
      </c>
      <c r="G484">
        <v>0.703848715245735</v>
      </c>
      <c r="H484">
        <v>0.13759327298246499</v>
      </c>
      <c r="I484">
        <v>5.1154297008069101</v>
      </c>
      <c r="J484" s="1">
        <v>3.1302751702569198E-7</v>
      </c>
      <c r="K484" s="1">
        <v>8.7328155843563394E-6</v>
      </c>
      <c r="L484" t="s">
        <v>26</v>
      </c>
      <c r="M484" t="s">
        <v>27</v>
      </c>
      <c r="N484">
        <v>231.517863191928</v>
      </c>
      <c r="O484">
        <v>168.84890068931</v>
      </c>
      <c r="P484">
        <v>278.51958506889201</v>
      </c>
      <c r="Q484">
        <v>152.00436505956301</v>
      </c>
      <c r="R484">
        <v>168.76843768378799</v>
      </c>
      <c r="S484">
        <v>185.773899324578</v>
      </c>
      <c r="T484">
        <v>252.062509356969</v>
      </c>
      <c r="U484">
        <v>316.90599839105897</v>
      </c>
      <c r="V484">
        <v>264.83530459832298</v>
      </c>
      <c r="W484">
        <v>280.27452792921599</v>
      </c>
    </row>
    <row r="485" spans="1:23" x14ac:dyDescent="0.2">
      <c r="A485" t="s">
        <v>988</v>
      </c>
      <c r="B485" s="3" t="str">
        <f>HYPERLINK("http://www.ncbi.nlm.nih.gov/gene/75452","Ascc2")</f>
        <v>Ascc2</v>
      </c>
      <c r="C485">
        <v>75452</v>
      </c>
      <c r="D485" t="s">
        <v>989</v>
      </c>
      <c r="E485" s="3" t="str">
        <f>HYPERLINK("http://genome.ucsc.edu/cgi-bin/hgTracks?db=mm10&amp;lastVirtModeType=default&amp;lastVirtModeExtraState=&amp;virtModeType=default&amp;virtMode=0&amp;nonVirtPosition=&amp;position=chr11:4637792-4683386","chr11:4637792-4683386")</f>
        <v>chr11:4637792-4683386</v>
      </c>
      <c r="F485" t="s">
        <v>30</v>
      </c>
      <c r="G485">
        <v>0.86756726016666796</v>
      </c>
      <c r="H485">
        <v>0.16966752494587201</v>
      </c>
      <c r="I485">
        <v>5.1133371600926099</v>
      </c>
      <c r="J485" s="1">
        <v>3.1651661707952299E-7</v>
      </c>
      <c r="K485" s="1">
        <v>8.8117962979457196E-6</v>
      </c>
      <c r="L485" t="s">
        <v>26</v>
      </c>
      <c r="M485" t="s">
        <v>27</v>
      </c>
      <c r="N485">
        <v>290.95251967312799</v>
      </c>
      <c r="O485">
        <v>193.063540788739</v>
      </c>
      <c r="P485">
        <v>364.36925383642</v>
      </c>
      <c r="Q485">
        <v>174.276066899792</v>
      </c>
      <c r="R485">
        <v>161.183339360921</v>
      </c>
      <c r="S485">
        <v>243.73121610550501</v>
      </c>
      <c r="T485">
        <v>403.30001497115097</v>
      </c>
      <c r="U485">
        <v>314.76474164517401</v>
      </c>
      <c r="V485">
        <v>339.87197423451403</v>
      </c>
      <c r="W485">
        <v>399.54028449484002</v>
      </c>
    </row>
    <row r="486" spans="1:23" x14ac:dyDescent="0.2">
      <c r="A486" t="s">
        <v>990</v>
      </c>
      <c r="B486" s="3" t="str">
        <f>HYPERLINK("http://www.ncbi.nlm.nih.gov/gene/66397","Sar1b")</f>
        <v>Sar1b</v>
      </c>
      <c r="C486">
        <v>66397</v>
      </c>
      <c r="D486" t="s">
        <v>991</v>
      </c>
      <c r="E486" s="3" t="str">
        <f>HYPERLINK("http://genome.ucsc.edu/cgi-bin/hgTracks?db=mm10&amp;lastVirtModeType=default&amp;lastVirtModeExtraState=&amp;virtModeType=default&amp;virtMode=0&amp;nonVirtPosition=&amp;position=chr11:51763662-51791953","chr11:51763662-51791953")</f>
        <v>chr11:51763662-51791953</v>
      </c>
      <c r="F486" t="s">
        <v>30</v>
      </c>
      <c r="G486">
        <v>-0.68353281332695504</v>
      </c>
      <c r="H486">
        <v>0.13370310921089101</v>
      </c>
      <c r="I486">
        <v>-5.1123180108610002</v>
      </c>
      <c r="J486" s="1">
        <v>3.1822951311594101E-7</v>
      </c>
      <c r="K486" s="1">
        <v>8.8411025106547098E-6</v>
      </c>
      <c r="L486" t="s">
        <v>26</v>
      </c>
      <c r="M486" t="s">
        <v>27</v>
      </c>
      <c r="N486">
        <v>193.42178153971</v>
      </c>
      <c r="O486">
        <v>248.726678338135</v>
      </c>
      <c r="P486">
        <v>151.94310894089099</v>
      </c>
      <c r="Q486">
        <v>249.99985315657099</v>
      </c>
      <c r="R486">
        <v>247.274205325461</v>
      </c>
      <c r="S486">
        <v>248.90597653237401</v>
      </c>
      <c r="T486">
        <v>151.237505614182</v>
      </c>
      <c r="U486">
        <v>152.02922895787299</v>
      </c>
      <c r="V486">
        <v>162.579450878415</v>
      </c>
      <c r="W486">
        <v>141.92625031309299</v>
      </c>
    </row>
    <row r="487" spans="1:23" x14ac:dyDescent="0.2">
      <c r="A487" t="s">
        <v>992</v>
      </c>
      <c r="B487" s="3" t="str">
        <f>HYPERLINK("http://www.ncbi.nlm.nih.gov/gene/28135","Cep63")</f>
        <v>Cep63</v>
      </c>
      <c r="C487">
        <v>28135</v>
      </c>
      <c r="D487" t="s">
        <v>993</v>
      </c>
      <c r="E487" s="3" t="str">
        <f>HYPERLINK("http://genome.ucsc.edu/cgi-bin/hgTracks?db=mm10&amp;lastVirtModeType=default&amp;lastVirtModeExtraState=&amp;virtModeType=default&amp;virtMode=0&amp;nonVirtPosition=&amp;position=chr9:102586577-102626124","chr9:102586577-102626124")</f>
        <v>chr9:102586577-102626124</v>
      </c>
      <c r="F487" t="s">
        <v>25</v>
      </c>
      <c r="G487">
        <v>0.83310693418357196</v>
      </c>
      <c r="H487">
        <v>0.163033784894802</v>
      </c>
      <c r="I487">
        <v>5.1100263342419296</v>
      </c>
      <c r="J487" s="1">
        <v>3.2211391070893303E-7</v>
      </c>
      <c r="K487" s="1">
        <v>8.9304914664665098E-6</v>
      </c>
      <c r="L487" t="s">
        <v>26</v>
      </c>
      <c r="M487" t="s">
        <v>27</v>
      </c>
      <c r="N487">
        <v>123.651350605178</v>
      </c>
      <c r="O487">
        <v>82.637993288736794</v>
      </c>
      <c r="P487">
        <v>154.41136859250901</v>
      </c>
      <c r="Q487">
        <v>75.1669937107729</v>
      </c>
      <c r="R487">
        <v>92.538199538976102</v>
      </c>
      <c r="S487">
        <v>80.208786616461396</v>
      </c>
      <c r="T487">
        <v>169.56932447650701</v>
      </c>
      <c r="U487">
        <v>154.170485703759</v>
      </c>
      <c r="V487">
        <v>141.24549578577199</v>
      </c>
      <c r="W487">
        <v>152.66016840399899</v>
      </c>
    </row>
    <row r="488" spans="1:23" x14ac:dyDescent="0.2">
      <c r="A488" t="s">
        <v>994</v>
      </c>
      <c r="B488" s="3" t="str">
        <f>HYPERLINK("http://www.ncbi.nlm.nih.gov/gene/54169","Kat6b")</f>
        <v>Kat6b</v>
      </c>
      <c r="C488">
        <v>54169</v>
      </c>
      <c r="D488" t="s">
        <v>995</v>
      </c>
      <c r="E488" s="3" t="str">
        <f>HYPERLINK("http://genome.ucsc.edu/cgi-bin/hgTracks?db=mm10&amp;lastVirtModeType=default&amp;lastVirtModeExtraState=&amp;virtModeType=default&amp;virtMode=0&amp;nonVirtPosition=&amp;position=chr14:21499784-21672478","chr14:21499784-21672478")</f>
        <v>chr14:21499784-21672478</v>
      </c>
      <c r="F488" t="s">
        <v>30</v>
      </c>
      <c r="G488">
        <v>0.58927977451241598</v>
      </c>
      <c r="H488">
        <v>0.115371756558107</v>
      </c>
      <c r="I488">
        <v>5.1076605929600003</v>
      </c>
      <c r="J488" s="1">
        <v>3.2617185170893201E-7</v>
      </c>
      <c r="K488" s="1">
        <v>9.0217853863972007E-6</v>
      </c>
      <c r="L488" t="s">
        <v>26</v>
      </c>
      <c r="M488" t="s">
        <v>27</v>
      </c>
      <c r="N488">
        <v>427.83186080096198</v>
      </c>
      <c r="O488">
        <v>331.55635272720298</v>
      </c>
      <c r="P488">
        <v>500.03849185628098</v>
      </c>
      <c r="Q488">
        <v>345.76817106955502</v>
      </c>
      <c r="R488">
        <v>310.98903123754297</v>
      </c>
      <c r="S488">
        <v>337.91185587451201</v>
      </c>
      <c r="T488">
        <v>499.542063998358</v>
      </c>
      <c r="U488">
        <v>464.65271385716102</v>
      </c>
      <c r="V488">
        <v>551.74021791317296</v>
      </c>
      <c r="W488">
        <v>484.21897165643298</v>
      </c>
    </row>
    <row r="489" spans="1:23" x14ac:dyDescent="0.2">
      <c r="A489" t="s">
        <v>996</v>
      </c>
      <c r="B489" s="3" t="str">
        <f>HYPERLINK("http://www.ncbi.nlm.nih.gov/gene/56378","Arpc3")</f>
        <v>Arpc3</v>
      </c>
      <c r="C489">
        <v>56378</v>
      </c>
      <c r="D489" t="s">
        <v>997</v>
      </c>
      <c r="E489" s="3" t="str">
        <f>HYPERLINK("http://genome.ucsc.edu/cgi-bin/hgTracks?db=mm10&amp;lastVirtModeType=default&amp;lastVirtModeExtraState=&amp;virtModeType=default&amp;virtMode=0&amp;nonVirtPosition=&amp;position=chr5:122391877-122406181","chr5:122391877-122406181")</f>
        <v>chr5:122391877-122406181</v>
      </c>
      <c r="F489" t="s">
        <v>30</v>
      </c>
      <c r="G489">
        <v>-0.64076317953522</v>
      </c>
      <c r="H489">
        <v>0.125459683815631</v>
      </c>
      <c r="I489">
        <v>-5.1073234049980103</v>
      </c>
      <c r="J489" s="1">
        <v>3.2675423137948202E-7</v>
      </c>
      <c r="K489" s="1">
        <v>9.0217853863972007E-6</v>
      </c>
      <c r="L489" t="s">
        <v>26</v>
      </c>
      <c r="M489" t="s">
        <v>27</v>
      </c>
      <c r="N489">
        <v>380.39491672505301</v>
      </c>
      <c r="O489">
        <v>481.22373713842501</v>
      </c>
      <c r="P489">
        <v>304.77330141502398</v>
      </c>
      <c r="Q489">
        <v>492.76140321506699</v>
      </c>
      <c r="R489">
        <v>524.50954902624596</v>
      </c>
      <c r="S489">
        <v>426.40025917396201</v>
      </c>
      <c r="T489">
        <v>307.05796594394502</v>
      </c>
      <c r="U489">
        <v>286.92840394866198</v>
      </c>
      <c r="V489">
        <v>303.08929304030301</v>
      </c>
      <c r="W489">
        <v>322.017542727185</v>
      </c>
    </row>
    <row r="490" spans="1:23" x14ac:dyDescent="0.2">
      <c r="A490" t="s">
        <v>998</v>
      </c>
      <c r="B490" s="3" t="str">
        <f>HYPERLINK("http://www.ncbi.nlm.nih.gov/gene/18377","Omg")</f>
        <v>Omg</v>
      </c>
      <c r="C490">
        <v>18377</v>
      </c>
      <c r="D490" t="s">
        <v>999</v>
      </c>
      <c r="E490" s="3" t="str">
        <f>HYPERLINK("http://genome.ucsc.edu/cgi-bin/hgTracks?db=mm10&amp;lastVirtModeType=default&amp;lastVirtModeExtraState=&amp;virtModeType=default&amp;virtMode=0&amp;nonVirtPosition=&amp;position=chr11:79500981-79504082","chr11:79500981-79504082")</f>
        <v>chr11:79500981-79504082</v>
      </c>
      <c r="F490" t="s">
        <v>25</v>
      </c>
      <c r="G490">
        <v>-1.06685429132786</v>
      </c>
      <c r="H490">
        <v>0.209153434467829</v>
      </c>
      <c r="I490">
        <v>-5.10082128960667</v>
      </c>
      <c r="J490" s="1">
        <v>3.3818277028956898E-7</v>
      </c>
      <c r="K490" s="1">
        <v>9.3181182653243199E-6</v>
      </c>
      <c r="L490" t="s">
        <v>26</v>
      </c>
      <c r="M490" t="s">
        <v>27</v>
      </c>
      <c r="N490">
        <v>453.51480444529398</v>
      </c>
      <c r="O490">
        <v>662.42804943104898</v>
      </c>
      <c r="P490">
        <v>296.82987070597801</v>
      </c>
      <c r="Q490">
        <v>935.41147728961801</v>
      </c>
      <c r="R490">
        <v>605.29084616477803</v>
      </c>
      <c r="S490">
        <v>446.58182483874998</v>
      </c>
      <c r="T490">
        <v>288.72614708162001</v>
      </c>
      <c r="U490">
        <v>267.657093235692</v>
      </c>
      <c r="V490">
        <v>324.42324813294601</v>
      </c>
      <c r="W490">
        <v>306.51299437365401</v>
      </c>
    </row>
    <row r="491" spans="1:23" x14ac:dyDescent="0.2">
      <c r="A491" t="s">
        <v>1000</v>
      </c>
      <c r="B491" s="3" t="str">
        <f>HYPERLINK("http://www.ncbi.nlm.nih.gov/gene/16538","Kcns1")</f>
        <v>Kcns1</v>
      </c>
      <c r="C491">
        <v>16538</v>
      </c>
      <c r="D491" t="s">
        <v>1001</v>
      </c>
      <c r="E491" s="3" t="str">
        <f>HYPERLINK("http://genome.ucsc.edu/cgi-bin/hgTracks?db=mm10&amp;lastVirtModeType=default&amp;lastVirtModeExtraState=&amp;virtModeType=default&amp;virtMode=0&amp;nonVirtPosition=&amp;position=chr2:164163618-164171113","chr2:164163618-164171113")</f>
        <v>chr2:164163618-164171113</v>
      </c>
      <c r="F491" t="s">
        <v>25</v>
      </c>
      <c r="G491">
        <v>1.29617211278731</v>
      </c>
      <c r="H491">
        <v>0.25417505872624602</v>
      </c>
      <c r="I491">
        <v>5.0995251826943599</v>
      </c>
      <c r="J491" s="1">
        <v>3.4050656738131598E-7</v>
      </c>
      <c r="K491" s="1">
        <v>9.3628818147909696E-6</v>
      </c>
      <c r="L491" t="s">
        <v>26</v>
      </c>
      <c r="M491" t="s">
        <v>27</v>
      </c>
      <c r="N491">
        <v>35.181733300678403</v>
      </c>
      <c r="O491">
        <v>17.635210792989</v>
      </c>
      <c r="P491">
        <v>48.341625181445401</v>
      </c>
      <c r="Q491">
        <v>15.5901912881603</v>
      </c>
      <c r="R491">
        <v>19.721255639453901</v>
      </c>
      <c r="S491">
        <v>17.5941854513528</v>
      </c>
      <c r="T491">
        <v>45.829547155812598</v>
      </c>
      <c r="U491">
        <v>49.248905155367297</v>
      </c>
      <c r="V491">
        <v>52.967060919664597</v>
      </c>
      <c r="W491">
        <v>45.3209874949371</v>
      </c>
    </row>
    <row r="492" spans="1:23" x14ac:dyDescent="0.2">
      <c r="A492" t="s">
        <v>1002</v>
      </c>
      <c r="B492" s="3" t="str">
        <f>HYPERLINK("http://www.ncbi.nlm.nih.gov/gene/72401","Slc43a1")</f>
        <v>Slc43a1</v>
      </c>
      <c r="C492">
        <v>72401</v>
      </c>
      <c r="D492" t="s">
        <v>1003</v>
      </c>
      <c r="E492" s="3" t="str">
        <f>HYPERLINK("http://genome.ucsc.edu/cgi-bin/hgTracks?db=mm10&amp;lastVirtModeType=default&amp;lastVirtModeExtraState=&amp;virtModeType=default&amp;virtMode=0&amp;nonVirtPosition=&amp;position=chr2:84840322-84863586","chr2:84840322-84863586")</f>
        <v>chr2:84840322-84863586</v>
      </c>
      <c r="F492" t="s">
        <v>30</v>
      </c>
      <c r="G492">
        <v>1.6226484128082801</v>
      </c>
      <c r="H492">
        <v>0.31837904383125798</v>
      </c>
      <c r="I492">
        <v>5.0965930209536197</v>
      </c>
      <c r="J492" s="1">
        <v>3.4582067341727899E-7</v>
      </c>
      <c r="K492" s="1">
        <v>9.4895177002680002E-6</v>
      </c>
      <c r="L492" t="s">
        <v>26</v>
      </c>
      <c r="M492" t="s">
        <v>27</v>
      </c>
      <c r="N492">
        <v>22.906032029303798</v>
      </c>
      <c r="O492">
        <v>8.3754283347075091</v>
      </c>
      <c r="P492">
        <v>33.803984800251101</v>
      </c>
      <c r="Q492">
        <v>6.1247180060629702</v>
      </c>
      <c r="R492">
        <v>11.7569024004437</v>
      </c>
      <c r="S492">
        <v>7.2446645976158699</v>
      </c>
      <c r="T492">
        <v>22.914773577906299</v>
      </c>
      <c r="U492">
        <v>44.966391663596198</v>
      </c>
      <c r="V492">
        <v>37.518334818095703</v>
      </c>
      <c r="W492">
        <v>29.816439141406001</v>
      </c>
    </row>
    <row r="493" spans="1:23" x14ac:dyDescent="0.2">
      <c r="A493" t="s">
        <v>1004</v>
      </c>
      <c r="B493" s="3" t="str">
        <f>HYPERLINK("http://www.ncbi.nlm.nih.gov/gene/12288","Cacna1c")</f>
        <v>Cacna1c</v>
      </c>
      <c r="C493">
        <v>12288</v>
      </c>
      <c r="D493" t="s">
        <v>1005</v>
      </c>
      <c r="E493" s="3" t="str">
        <f>HYPERLINK("http://genome.ucsc.edu/cgi-bin/hgTracks?db=mm10&amp;lastVirtModeType=default&amp;lastVirtModeExtraState=&amp;virtModeType=default&amp;virtMode=0&amp;nonVirtPosition=&amp;position=chr6:118587239-119108495","chr6:118587239-119108495")</f>
        <v>chr6:118587239-119108495</v>
      </c>
      <c r="F493" t="s">
        <v>25</v>
      </c>
      <c r="G493">
        <v>0.68953586082463603</v>
      </c>
      <c r="H493">
        <v>0.13534895330072699</v>
      </c>
      <c r="I493">
        <v>5.0945045677049396</v>
      </c>
      <c r="J493" s="1">
        <v>3.4965440527486998E-7</v>
      </c>
      <c r="K493" s="1">
        <v>9.5750964029361598E-6</v>
      </c>
      <c r="L493" t="s">
        <v>26</v>
      </c>
      <c r="M493" t="s">
        <v>27</v>
      </c>
      <c r="N493">
        <v>595.20541805296</v>
      </c>
      <c r="O493">
        <v>435.83721990806902</v>
      </c>
      <c r="P493">
        <v>714.73156666162902</v>
      </c>
      <c r="Q493">
        <v>445.99082935058601</v>
      </c>
      <c r="R493">
        <v>358.01664083931701</v>
      </c>
      <c r="S493">
        <v>503.50418953430301</v>
      </c>
      <c r="T493">
        <v>756.187528070908</v>
      </c>
      <c r="U493">
        <v>695.90844241279899</v>
      </c>
      <c r="V493">
        <v>690.04309920340802</v>
      </c>
      <c r="W493">
        <v>716.78719695940003</v>
      </c>
    </row>
    <row r="494" spans="1:23" x14ac:dyDescent="0.2">
      <c r="A494" t="s">
        <v>1006</v>
      </c>
      <c r="B494" s="3" t="str">
        <f>HYPERLINK("http://www.ncbi.nlm.nih.gov/gene/66235","Eif1ax")</f>
        <v>Eif1ax</v>
      </c>
      <c r="C494">
        <v>66235</v>
      </c>
      <c r="D494" t="s">
        <v>1007</v>
      </c>
      <c r="E494" s="3" t="str">
        <f>HYPERLINK("http://genome.ucsc.edu/cgi-bin/hgTracks?db=mm10&amp;lastVirtModeType=default&amp;lastVirtModeExtraState=&amp;virtModeType=default&amp;virtMode=0&amp;nonVirtPosition=&amp;position=chrX:159372194-159385699","chrX:159372194-159385699")</f>
        <v>chrX:159372194-159385699</v>
      </c>
      <c r="F494" t="s">
        <v>30</v>
      </c>
      <c r="G494">
        <v>-0.634689846731327</v>
      </c>
      <c r="H494">
        <v>0.124599010154963</v>
      </c>
      <c r="I494">
        <v>-5.0938594611784396</v>
      </c>
      <c r="J494" s="1">
        <v>3.5084688461807901E-7</v>
      </c>
      <c r="K494" s="1">
        <v>9.5881441467769194E-6</v>
      </c>
      <c r="L494" t="s">
        <v>26</v>
      </c>
      <c r="M494" t="s">
        <v>27</v>
      </c>
      <c r="N494">
        <v>726.53190400667495</v>
      </c>
      <c r="O494">
        <v>915.63638358712205</v>
      </c>
      <c r="P494">
        <v>584.703544321339</v>
      </c>
      <c r="Q494">
        <v>807.34919170830096</v>
      </c>
      <c r="R494">
        <v>1050.5361177170601</v>
      </c>
      <c r="S494">
        <v>889.02384133600401</v>
      </c>
      <c r="T494">
        <v>591.20115830998304</v>
      </c>
      <c r="U494">
        <v>605.97565908560603</v>
      </c>
      <c r="V494">
        <v>587.051591859616</v>
      </c>
      <c r="W494">
        <v>554.58576803015103</v>
      </c>
    </row>
    <row r="495" spans="1:23" x14ac:dyDescent="0.2">
      <c r="A495" t="s">
        <v>1008</v>
      </c>
      <c r="B495" s="3" t="str">
        <f>HYPERLINK("http://www.ncbi.nlm.nih.gov/gene/227960","Gca")</f>
        <v>Gca</v>
      </c>
      <c r="C495">
        <v>227960</v>
      </c>
      <c r="D495" t="s">
        <v>1009</v>
      </c>
      <c r="E495" s="3" t="str">
        <f>HYPERLINK("http://genome.ucsc.edu/cgi-bin/hgTracks?db=mm10&amp;lastVirtModeType=default&amp;lastVirtModeExtraState=&amp;virtModeType=default&amp;virtMode=0&amp;nonVirtPosition=&amp;position=chr2:62664326-62694109","chr2:62664326-62694109")</f>
        <v>chr2:62664326-62694109</v>
      </c>
      <c r="F495" t="s">
        <v>30</v>
      </c>
      <c r="G495">
        <v>1.46302143895309</v>
      </c>
      <c r="H495">
        <v>0.28742217091249</v>
      </c>
      <c r="I495">
        <v>5.09014817579446</v>
      </c>
      <c r="J495" s="1">
        <v>3.5778382180336603E-7</v>
      </c>
      <c r="K495" s="1">
        <v>9.7578068386331499E-6</v>
      </c>
      <c r="L495" t="s">
        <v>26</v>
      </c>
      <c r="M495" t="s">
        <v>27</v>
      </c>
      <c r="N495">
        <v>37.285661876883097</v>
      </c>
      <c r="O495">
        <v>15.420737200120801</v>
      </c>
      <c r="P495">
        <v>53.684355384454797</v>
      </c>
      <c r="Q495">
        <v>13.363021104137401</v>
      </c>
      <c r="R495">
        <v>20.479765471740599</v>
      </c>
      <c r="S495">
        <v>12.419425024484299</v>
      </c>
      <c r="T495">
        <v>77.910230164881497</v>
      </c>
      <c r="U495">
        <v>32.118851188283003</v>
      </c>
      <c r="V495">
        <v>52.231407295780301</v>
      </c>
      <c r="W495">
        <v>52.4769328888746</v>
      </c>
    </row>
    <row r="496" spans="1:23" x14ac:dyDescent="0.2">
      <c r="A496" t="s">
        <v>1010</v>
      </c>
      <c r="B496" s="3" t="str">
        <f>HYPERLINK("http://www.ncbi.nlm.nih.gov/gene/11512","Adcy6")</f>
        <v>Adcy6</v>
      </c>
      <c r="C496">
        <v>11512</v>
      </c>
      <c r="D496" t="s">
        <v>1011</v>
      </c>
      <c r="E496" s="3" t="str">
        <f>HYPERLINK("http://genome.ucsc.edu/cgi-bin/hgTracks?db=mm10&amp;lastVirtModeType=default&amp;lastVirtModeExtraState=&amp;virtModeType=default&amp;virtMode=0&amp;nonVirtPosition=&amp;position=chr15:98589985-98607633","chr15:98589985-98607633")</f>
        <v>chr15:98589985-98607633</v>
      </c>
      <c r="F496" t="s">
        <v>25</v>
      </c>
      <c r="G496">
        <v>0.75148330629580395</v>
      </c>
      <c r="H496">
        <v>0.147722142819908</v>
      </c>
      <c r="I496">
        <v>5.0871405731770203</v>
      </c>
      <c r="J496" s="1">
        <v>3.63502405057325E-7</v>
      </c>
      <c r="K496" s="1">
        <v>9.8936193213874597E-6</v>
      </c>
      <c r="L496" t="s">
        <v>26</v>
      </c>
      <c r="M496" t="s">
        <v>27</v>
      </c>
      <c r="N496">
        <v>466.412041574049</v>
      </c>
      <c r="O496">
        <v>332.270671047836</v>
      </c>
      <c r="P496">
        <v>567.01806946870897</v>
      </c>
      <c r="Q496">
        <v>308.46307048717199</v>
      </c>
      <c r="R496">
        <v>283.68267727522198</v>
      </c>
      <c r="S496">
        <v>404.66626538111501</v>
      </c>
      <c r="T496">
        <v>527.03979229184495</v>
      </c>
      <c r="U496">
        <v>556.72675393023906</v>
      </c>
      <c r="V496">
        <v>551.00456428928806</v>
      </c>
      <c r="W496">
        <v>633.30116736346304</v>
      </c>
    </row>
    <row r="497" spans="1:23" x14ac:dyDescent="0.2">
      <c r="A497" t="s">
        <v>1012</v>
      </c>
      <c r="B497" s="3" t="str">
        <f>HYPERLINK("http://www.ncbi.nlm.nih.gov/gene/16764","Aff3")</f>
        <v>Aff3</v>
      </c>
      <c r="C497">
        <v>16764</v>
      </c>
      <c r="D497" t="s">
        <v>1013</v>
      </c>
      <c r="E497" s="3" t="str">
        <f>HYPERLINK("http://genome.ucsc.edu/cgi-bin/hgTracks?db=mm10&amp;lastVirtModeType=default&amp;lastVirtModeExtraState=&amp;virtModeType=default&amp;virtMode=0&amp;nonVirtPosition=&amp;position=chr1:38175990-38627244","chr1:38175990-38627244")</f>
        <v>chr1:38175990-38627244</v>
      </c>
      <c r="F497" t="s">
        <v>25</v>
      </c>
      <c r="G497">
        <v>1.1776526939177001</v>
      </c>
      <c r="H497">
        <v>0.23166845312930201</v>
      </c>
      <c r="I497">
        <v>5.0833537238685302</v>
      </c>
      <c r="J497" s="1">
        <v>3.7082818140085899E-7</v>
      </c>
      <c r="K497" s="1">
        <v>1.0072535856265499E-5</v>
      </c>
      <c r="L497" t="s">
        <v>26</v>
      </c>
      <c r="M497" t="s">
        <v>27</v>
      </c>
      <c r="N497">
        <v>96.180872358599601</v>
      </c>
      <c r="O497">
        <v>53.033607622487402</v>
      </c>
      <c r="P497">
        <v>128.54132091068399</v>
      </c>
      <c r="Q497">
        <v>36.191515490372097</v>
      </c>
      <c r="R497">
        <v>71.6791791510921</v>
      </c>
      <c r="S497">
        <v>51.230128225997902</v>
      </c>
      <c r="T497">
        <v>100.825003742788</v>
      </c>
      <c r="U497">
        <v>126.33414800724699</v>
      </c>
      <c r="V497">
        <v>133.15330592304599</v>
      </c>
      <c r="W497">
        <v>153.85282596965499</v>
      </c>
    </row>
    <row r="498" spans="1:23" x14ac:dyDescent="0.2">
      <c r="A498" t="s">
        <v>1014</v>
      </c>
      <c r="B498" s="3" t="str">
        <f>HYPERLINK("http://www.ncbi.nlm.nih.gov/gene/14160","Lgr5")</f>
        <v>Lgr5</v>
      </c>
      <c r="C498">
        <v>14160</v>
      </c>
      <c r="D498" t="s">
        <v>1015</v>
      </c>
      <c r="E498" s="3" t="str">
        <f>HYPERLINK("http://genome.ucsc.edu/cgi-bin/hgTracks?db=mm10&amp;lastVirtModeType=default&amp;lastVirtModeExtraState=&amp;virtModeType=default&amp;virtMode=0&amp;nonVirtPosition=&amp;position=chr10:115450313-115587780","chr10:115450313-115587780")</f>
        <v>chr10:115450313-115587780</v>
      </c>
      <c r="F498" t="s">
        <v>25</v>
      </c>
      <c r="G498">
        <v>1.170301294023</v>
      </c>
      <c r="H498">
        <v>0.23027764930435701</v>
      </c>
      <c r="I498">
        <v>5.0821314945603699</v>
      </c>
      <c r="J498" s="1">
        <v>3.73222888743744E-7</v>
      </c>
      <c r="K498" s="1">
        <v>1.0117060127869401E-5</v>
      </c>
      <c r="L498" t="s">
        <v>26</v>
      </c>
      <c r="M498" t="s">
        <v>27</v>
      </c>
      <c r="N498">
        <v>95.148423413297095</v>
      </c>
      <c r="O498">
        <v>52.1993898993492</v>
      </c>
      <c r="P498">
        <v>127.36019854875801</v>
      </c>
      <c r="Q498">
        <v>41.759440950429401</v>
      </c>
      <c r="R498">
        <v>68.265884905801997</v>
      </c>
      <c r="S498">
        <v>46.572843841816301</v>
      </c>
      <c r="T498">
        <v>105.407958458369</v>
      </c>
      <c r="U498">
        <v>167.018026179072</v>
      </c>
      <c r="V498">
        <v>136.831574042467</v>
      </c>
      <c r="W498">
        <v>100.183235515124</v>
      </c>
    </row>
    <row r="499" spans="1:23" x14ac:dyDescent="0.2">
      <c r="A499" t="s">
        <v>1016</v>
      </c>
      <c r="B499" s="3" t="str">
        <f>HYPERLINK("http://www.ncbi.nlm.nih.gov/gene/217893","Pacs2")</f>
        <v>Pacs2</v>
      </c>
      <c r="C499">
        <v>217893</v>
      </c>
      <c r="D499" t="s">
        <v>1017</v>
      </c>
      <c r="E499" s="3" t="str">
        <f>HYPERLINK("http://genome.ucsc.edu/cgi-bin/hgTracks?db=mm10&amp;lastVirtModeType=default&amp;lastVirtModeExtraState=&amp;virtModeType=default&amp;virtMode=0&amp;nonVirtPosition=&amp;position=chr12:113014507-113074401","chr12:113014507-113074401")</f>
        <v>chr12:113014507-113074401</v>
      </c>
      <c r="F499" t="s">
        <v>30</v>
      </c>
      <c r="G499">
        <v>0.57662178744034798</v>
      </c>
      <c r="H499">
        <v>0.113510115581808</v>
      </c>
      <c r="I499">
        <v>5.0799154285484702</v>
      </c>
      <c r="J499" s="1">
        <v>3.7760292995002599E-7</v>
      </c>
      <c r="K499" s="1">
        <v>1.0198692356613801E-5</v>
      </c>
      <c r="L499" t="s">
        <v>26</v>
      </c>
      <c r="M499" t="s">
        <v>27</v>
      </c>
      <c r="N499">
        <v>357.40823456888802</v>
      </c>
      <c r="O499">
        <v>279.87006687543999</v>
      </c>
      <c r="P499">
        <v>415.56186033897399</v>
      </c>
      <c r="Q499">
        <v>280.62344318688503</v>
      </c>
      <c r="R499">
        <v>272.30502979092103</v>
      </c>
      <c r="S499">
        <v>286.68172764851403</v>
      </c>
      <c r="T499">
        <v>366.63637724650101</v>
      </c>
      <c r="U499">
        <v>447.52265989007702</v>
      </c>
      <c r="V499">
        <v>441.39217433053801</v>
      </c>
      <c r="W499">
        <v>406.69622988877802</v>
      </c>
    </row>
    <row r="500" spans="1:23" x14ac:dyDescent="0.2">
      <c r="A500" t="s">
        <v>1018</v>
      </c>
      <c r="B500" s="3" t="str">
        <f>HYPERLINK("http://www.ncbi.nlm.nih.gov/gene/26557","Homer2")</f>
        <v>Homer2</v>
      </c>
      <c r="C500">
        <v>26557</v>
      </c>
      <c r="D500" t="s">
        <v>1019</v>
      </c>
      <c r="E500" s="3" t="str">
        <f>HYPERLINK("http://genome.ucsc.edu/cgi-bin/hgTracks?db=mm10&amp;lastVirtModeType=default&amp;lastVirtModeExtraState=&amp;virtModeType=default&amp;virtMode=0&amp;nonVirtPosition=&amp;position=chr7:81600480-81692965","chr7:81600480-81692965")</f>
        <v>chr7:81600480-81692965</v>
      </c>
      <c r="F500" t="s">
        <v>25</v>
      </c>
      <c r="G500">
        <v>0.93419031962214305</v>
      </c>
      <c r="H500">
        <v>0.18390914857228299</v>
      </c>
      <c r="I500">
        <v>5.0796294087293496</v>
      </c>
      <c r="J500" s="1">
        <v>3.7817184804792098E-7</v>
      </c>
      <c r="K500" s="1">
        <v>1.0198692356613801E-5</v>
      </c>
      <c r="L500" t="s">
        <v>26</v>
      </c>
      <c r="M500" t="s">
        <v>27</v>
      </c>
      <c r="N500">
        <v>108.57645639339501</v>
      </c>
      <c r="O500">
        <v>68.352326323105103</v>
      </c>
      <c r="P500">
        <v>138.74455394611201</v>
      </c>
      <c r="Q500">
        <v>72.383030980744294</v>
      </c>
      <c r="R500">
        <v>69.024394738088702</v>
      </c>
      <c r="S500">
        <v>63.649553250482299</v>
      </c>
      <c r="T500">
        <v>142.07159618301901</v>
      </c>
      <c r="U500">
        <v>169.15928292495701</v>
      </c>
      <c r="V500">
        <v>112.555004454287</v>
      </c>
      <c r="W500">
        <v>131.192332222186</v>
      </c>
    </row>
    <row r="501" spans="1:23" x14ac:dyDescent="0.2">
      <c r="A501" t="s">
        <v>1020</v>
      </c>
      <c r="B501" s="3" t="str">
        <f>HYPERLINK("http://www.ncbi.nlm.nih.gov/gene/109242","Kif24")</f>
        <v>Kif24</v>
      </c>
      <c r="C501">
        <v>109242</v>
      </c>
      <c r="D501" t="s">
        <v>1021</v>
      </c>
      <c r="E501" s="3" t="str">
        <f>HYPERLINK("http://genome.ucsc.edu/cgi-bin/hgTracks?db=mm10&amp;lastVirtModeType=default&amp;lastVirtModeExtraState=&amp;virtModeType=default&amp;virtMode=0&amp;nonVirtPosition=&amp;position=chr4:41390747-41464848","chr4:41390747-41464848")</f>
        <v>chr4:41390747-41464848</v>
      </c>
      <c r="F501" t="s">
        <v>25</v>
      </c>
      <c r="G501">
        <v>1.2447658976740701</v>
      </c>
      <c r="H501">
        <v>0.24505894765625899</v>
      </c>
      <c r="I501">
        <v>5.0794550028839804</v>
      </c>
      <c r="J501" s="1">
        <v>3.7851916221619601E-7</v>
      </c>
      <c r="K501" s="1">
        <v>1.0198692356613801E-5</v>
      </c>
      <c r="L501" t="s">
        <v>26</v>
      </c>
      <c r="M501" t="s">
        <v>27</v>
      </c>
      <c r="N501">
        <v>84.424146742262707</v>
      </c>
      <c r="O501">
        <v>42.523146069066698</v>
      </c>
      <c r="P501">
        <v>115.84989724716</v>
      </c>
      <c r="Q501">
        <v>30.066797484309099</v>
      </c>
      <c r="R501">
        <v>40.580276027337902</v>
      </c>
      <c r="S501">
        <v>56.922364695553199</v>
      </c>
      <c r="T501">
        <v>164.98636976092499</v>
      </c>
      <c r="U501">
        <v>89.932783327192496</v>
      </c>
      <c r="V501">
        <v>96.370624728834201</v>
      </c>
      <c r="W501">
        <v>112.109811171687</v>
      </c>
    </row>
    <row r="502" spans="1:23" x14ac:dyDescent="0.2">
      <c r="A502" t="s">
        <v>1022</v>
      </c>
      <c r="B502" s="3" t="str">
        <f>HYPERLINK("http://www.ncbi.nlm.nih.gov/gene/15024","H2-T10")</f>
        <v>H2-T10</v>
      </c>
      <c r="C502">
        <v>15024</v>
      </c>
      <c r="D502" t="s">
        <v>1023</v>
      </c>
      <c r="E502" s="3" t="str">
        <f>HYPERLINK("http://genome.ucsc.edu/cgi-bin/hgTracks?db=mm10&amp;lastVirtModeType=default&amp;lastVirtModeExtraState=&amp;virtModeType=default&amp;virtMode=0&amp;nonVirtPosition=&amp;position=chr17:36115870-36121444","chr17:36115870-36121444")</f>
        <v>chr17:36115870-36121444</v>
      </c>
      <c r="F502" t="s">
        <v>25</v>
      </c>
      <c r="G502">
        <v>1.3919702844370501</v>
      </c>
      <c r="H502">
        <v>0.27411252121714202</v>
      </c>
      <c r="I502">
        <v>5.0780981410709902</v>
      </c>
      <c r="J502" s="1">
        <v>3.8123176854105202E-7</v>
      </c>
      <c r="K502" s="1">
        <v>1.02511538404282E-5</v>
      </c>
      <c r="L502" t="s">
        <v>26</v>
      </c>
      <c r="M502" t="s">
        <v>27</v>
      </c>
      <c r="N502">
        <v>49.9625120151358</v>
      </c>
      <c r="O502">
        <v>21.6875084224699</v>
      </c>
      <c r="P502">
        <v>71.168764709635298</v>
      </c>
      <c r="Q502">
        <v>21.158116748217498</v>
      </c>
      <c r="R502">
        <v>20.1005105555973</v>
      </c>
      <c r="S502">
        <v>23.803897963594999</v>
      </c>
      <c r="T502">
        <v>119.15682260511301</v>
      </c>
      <c r="U502">
        <v>53.531418647138402</v>
      </c>
      <c r="V502">
        <v>65.473172525696498</v>
      </c>
      <c r="W502">
        <v>46.513645060593397</v>
      </c>
    </row>
    <row r="503" spans="1:23" x14ac:dyDescent="0.2">
      <c r="A503" t="s">
        <v>1024</v>
      </c>
      <c r="B503" s="3" t="str">
        <f>HYPERLINK("http://www.ncbi.nlm.nih.gov/gene/19353","Rac1")</f>
        <v>Rac1</v>
      </c>
      <c r="C503">
        <v>19353</v>
      </c>
      <c r="D503" t="s">
        <v>1025</v>
      </c>
      <c r="E503" s="3" t="str">
        <f>HYPERLINK("http://genome.ucsc.edu/cgi-bin/hgTracks?db=mm10&amp;lastVirtModeType=default&amp;lastVirtModeExtraState=&amp;virtModeType=default&amp;virtMode=0&amp;nonVirtPosition=&amp;position=chr5:143505480-143527993","chr5:143505480-143527993")</f>
        <v>chr5:143505480-143527993</v>
      </c>
      <c r="F503" t="s">
        <v>25</v>
      </c>
      <c r="G503">
        <v>-0.543051364633374</v>
      </c>
      <c r="H503">
        <v>0.106979238158057</v>
      </c>
      <c r="I503">
        <v>-5.0762313695956696</v>
      </c>
      <c r="J503" s="1">
        <v>3.84994451597063E-7</v>
      </c>
      <c r="K503" s="1">
        <v>1.03315845718162E-5</v>
      </c>
      <c r="L503" t="s">
        <v>26</v>
      </c>
      <c r="M503" t="s">
        <v>27</v>
      </c>
      <c r="N503">
        <v>865.173022136437</v>
      </c>
      <c r="O503">
        <v>1058.27664940307</v>
      </c>
      <c r="P503">
        <v>720.34530168646495</v>
      </c>
      <c r="Q503">
        <v>1168.7075540660201</v>
      </c>
      <c r="R503">
        <v>1025.5052932516001</v>
      </c>
      <c r="S503">
        <v>980.617100891576</v>
      </c>
      <c r="T503">
        <v>714.94093563067702</v>
      </c>
      <c r="U503">
        <v>717.32100987165404</v>
      </c>
      <c r="V503">
        <v>727.56143402150406</v>
      </c>
      <c r="W503">
        <v>721.55782722202503</v>
      </c>
    </row>
    <row r="504" spans="1:23" x14ac:dyDescent="0.2">
      <c r="A504" t="s">
        <v>1026</v>
      </c>
      <c r="B504" s="3" t="str">
        <f>HYPERLINK("http://www.ncbi.nlm.nih.gov/gene/54198","Snx3")</f>
        <v>Snx3</v>
      </c>
      <c r="C504">
        <v>54198</v>
      </c>
      <c r="D504" t="s">
        <v>1027</v>
      </c>
      <c r="E504" s="3" t="str">
        <f>HYPERLINK("http://genome.ucsc.edu/cgi-bin/hgTracks?db=mm10&amp;lastVirtModeType=default&amp;lastVirtModeExtraState=&amp;virtModeType=default&amp;virtMode=0&amp;nonVirtPosition=&amp;position=chr10:42502053-42535369","chr10:42502053-42535369")</f>
        <v>chr10:42502053-42535369</v>
      </c>
      <c r="F504" t="s">
        <v>30</v>
      </c>
      <c r="G504">
        <v>-0.61036462683599602</v>
      </c>
      <c r="H504">
        <v>0.12052005323630301</v>
      </c>
      <c r="I504">
        <v>-5.0644238070427798</v>
      </c>
      <c r="J504" s="1">
        <v>4.0963743046350601E-7</v>
      </c>
      <c r="K504" s="1">
        <v>1.09709096626736E-5</v>
      </c>
      <c r="L504" t="s">
        <v>26</v>
      </c>
      <c r="M504" t="s">
        <v>27</v>
      </c>
      <c r="N504">
        <v>510.21879603733203</v>
      </c>
      <c r="O504">
        <v>638.68714785584302</v>
      </c>
      <c r="P504">
        <v>413.86753217344898</v>
      </c>
      <c r="Q504">
        <v>689.309171955088</v>
      </c>
      <c r="R504">
        <v>650.80143610197899</v>
      </c>
      <c r="S504">
        <v>575.95083551046196</v>
      </c>
      <c r="T504">
        <v>421.63183383347598</v>
      </c>
      <c r="U504">
        <v>406.83878171825199</v>
      </c>
      <c r="V504">
        <v>446.54174969772799</v>
      </c>
      <c r="W504">
        <v>380.45776344434103</v>
      </c>
    </row>
    <row r="505" spans="1:23" x14ac:dyDescent="0.2">
      <c r="A505" t="s">
        <v>1028</v>
      </c>
      <c r="B505" s="3" t="str">
        <f>HYPERLINK("http://www.ncbi.nlm.nih.gov/gene/67166","Arl8b")</f>
        <v>Arl8b</v>
      </c>
      <c r="C505">
        <v>67166</v>
      </c>
      <c r="D505" t="s">
        <v>1029</v>
      </c>
      <c r="E505" s="3" t="str">
        <f>HYPERLINK("http://genome.ucsc.edu/cgi-bin/hgTracks?db=mm10&amp;lastVirtModeType=default&amp;lastVirtModeExtraState=&amp;virtModeType=default&amp;virtMode=0&amp;nonVirtPosition=&amp;position=chr6:108783058-108823723","chr6:108783058-108823723")</f>
        <v>chr6:108783058-108823723</v>
      </c>
      <c r="F505" t="s">
        <v>30</v>
      </c>
      <c r="G505">
        <v>-0.72512754059021201</v>
      </c>
      <c r="H505">
        <v>0.14319978697074701</v>
      </c>
      <c r="I505">
        <v>-5.0637473415958301</v>
      </c>
      <c r="J505" s="1">
        <v>4.1109440844419902E-7</v>
      </c>
      <c r="K505" s="1">
        <v>1.0981291310686199E-5</v>
      </c>
      <c r="L505" t="s">
        <v>26</v>
      </c>
      <c r="M505" t="s">
        <v>27</v>
      </c>
      <c r="N505">
        <v>533.45781137788299</v>
      </c>
      <c r="O505">
        <v>699.24124100223901</v>
      </c>
      <c r="P505">
        <v>409.12023915961498</v>
      </c>
      <c r="Q505">
        <v>790.08862278212405</v>
      </c>
      <c r="R505">
        <v>677.34928023201303</v>
      </c>
      <c r="S505">
        <v>630.28581999257995</v>
      </c>
      <c r="T505">
        <v>362.05342253091999</v>
      </c>
      <c r="U505">
        <v>355.44861981699898</v>
      </c>
      <c r="V505">
        <v>469.34701203813898</v>
      </c>
      <c r="W505">
        <v>449.63190225240203</v>
      </c>
    </row>
    <row r="506" spans="1:23" x14ac:dyDescent="0.2">
      <c r="A506" t="s">
        <v>1030</v>
      </c>
      <c r="B506" s="3" t="str">
        <f>HYPERLINK("http://www.ncbi.nlm.nih.gov/gene/78830","Slc25a12")</f>
        <v>Slc25a12</v>
      </c>
      <c r="C506">
        <v>78830</v>
      </c>
      <c r="D506" t="s">
        <v>1031</v>
      </c>
      <c r="E506" s="3" t="str">
        <f>HYPERLINK("http://genome.ucsc.edu/cgi-bin/hgTracks?db=mm10&amp;lastVirtModeType=default&amp;lastVirtModeExtraState=&amp;virtModeType=default&amp;virtMode=0&amp;nonVirtPosition=&amp;position=chr2:71274294-71367554","chr2:71274294-71367554")</f>
        <v>chr2:71274294-71367554</v>
      </c>
      <c r="F506" t="s">
        <v>25</v>
      </c>
      <c r="G506">
        <v>-0.67596613926730198</v>
      </c>
      <c r="H506">
        <v>0.133498254635667</v>
      </c>
      <c r="I506">
        <v>-5.0634829729579502</v>
      </c>
      <c r="J506" s="1">
        <v>4.11665166004366E-7</v>
      </c>
      <c r="K506" s="1">
        <v>1.0981291310686199E-5</v>
      </c>
      <c r="L506" t="s">
        <v>26</v>
      </c>
      <c r="M506" t="s">
        <v>27</v>
      </c>
      <c r="N506">
        <v>424.97145917031901</v>
      </c>
      <c r="O506">
        <v>541.38701412386399</v>
      </c>
      <c r="P506">
        <v>337.65979295516098</v>
      </c>
      <c r="Q506">
        <v>467.705738644809</v>
      </c>
      <c r="R506">
        <v>575.32970778945401</v>
      </c>
      <c r="S506">
        <v>581.12559593732999</v>
      </c>
      <c r="T506">
        <v>348.304558384176</v>
      </c>
      <c r="U506">
        <v>374.71993052996902</v>
      </c>
      <c r="V506">
        <v>316.33105827021899</v>
      </c>
      <c r="W506">
        <v>311.283624636279</v>
      </c>
    </row>
    <row r="507" spans="1:23" x14ac:dyDescent="0.2">
      <c r="A507" t="s">
        <v>1032</v>
      </c>
      <c r="B507" s="3" t="str">
        <f>HYPERLINK("http://www.ncbi.nlm.nih.gov/gene/214444","Cdk5rap2")</f>
        <v>Cdk5rap2</v>
      </c>
      <c r="C507">
        <v>214444</v>
      </c>
      <c r="D507" t="s">
        <v>1033</v>
      </c>
      <c r="E507" s="3" t="str">
        <f>HYPERLINK("http://genome.ucsc.edu/cgi-bin/hgTracks?db=mm10&amp;lastVirtModeType=default&amp;lastVirtModeExtraState=&amp;virtModeType=default&amp;virtMode=0&amp;nonVirtPosition=&amp;position=chr4:70216854-70410435","chr4:70216854-70410435")</f>
        <v>chr4:70216854-70410435</v>
      </c>
      <c r="F507" t="s">
        <v>25</v>
      </c>
      <c r="G507">
        <v>0.64097743058221202</v>
      </c>
      <c r="H507">
        <v>0.126613852596861</v>
      </c>
      <c r="I507">
        <v>5.0624589445444501</v>
      </c>
      <c r="J507" s="1">
        <v>4.13883213030731E-7</v>
      </c>
      <c r="K507" s="1">
        <v>1.10185091564503E-5</v>
      </c>
      <c r="L507" t="s">
        <v>26</v>
      </c>
      <c r="M507" t="s">
        <v>27</v>
      </c>
      <c r="N507">
        <v>1262.0966287452</v>
      </c>
      <c r="O507">
        <v>948.50745509355795</v>
      </c>
      <c r="P507">
        <v>1497.2885089839299</v>
      </c>
      <c r="Q507">
        <v>981.62525860809296</v>
      </c>
      <c r="R507">
        <v>833.60230568307099</v>
      </c>
      <c r="S507">
        <v>1030.2948009895099</v>
      </c>
      <c r="T507">
        <v>1604.0341504534399</v>
      </c>
      <c r="U507">
        <v>1284.7540475313201</v>
      </c>
      <c r="V507">
        <v>1502.2046999715999</v>
      </c>
      <c r="W507">
        <v>1598.1611379793601</v>
      </c>
    </row>
    <row r="508" spans="1:23" x14ac:dyDescent="0.2">
      <c r="A508" t="s">
        <v>1034</v>
      </c>
      <c r="B508" s="3" t="str">
        <f>HYPERLINK("http://www.ncbi.nlm.nih.gov/gene/12020","Nkx3-2")</f>
        <v>Nkx3-2</v>
      </c>
      <c r="C508">
        <v>12020</v>
      </c>
      <c r="D508" t="s">
        <v>1035</v>
      </c>
      <c r="E508" s="3" t="str">
        <f>HYPERLINK("http://genome.ucsc.edu/cgi-bin/hgTracks?db=mm10&amp;lastVirtModeType=default&amp;lastVirtModeExtraState=&amp;virtModeType=default&amp;virtMode=0&amp;nonVirtPosition=&amp;position=chr5:41761482-41764220","chr5:41761482-41764220")</f>
        <v>chr5:41761482-41764220</v>
      </c>
      <c r="F508" t="s">
        <v>25</v>
      </c>
      <c r="G508">
        <v>1.7699384923507899</v>
      </c>
      <c r="H508">
        <v>0.34982456854295801</v>
      </c>
      <c r="I508">
        <v>5.0595031095806204</v>
      </c>
      <c r="J508" s="1">
        <v>4.2035042344199701E-7</v>
      </c>
      <c r="K508" s="1">
        <v>1.11518498368151E-5</v>
      </c>
      <c r="L508" t="s">
        <v>26</v>
      </c>
      <c r="M508" t="s">
        <v>27</v>
      </c>
      <c r="N508">
        <v>24.580180771239601</v>
      </c>
      <c r="O508">
        <v>7.1919096333281098</v>
      </c>
      <c r="P508">
        <v>37.621384124673199</v>
      </c>
      <c r="Q508">
        <v>13.9198136501431</v>
      </c>
      <c r="R508">
        <v>4.5510589937201402</v>
      </c>
      <c r="S508">
        <v>3.10485625612109</v>
      </c>
      <c r="T508">
        <v>41.246592440231403</v>
      </c>
      <c r="U508">
        <v>29.9775944423975</v>
      </c>
      <c r="V508">
        <v>37.518334818095703</v>
      </c>
      <c r="W508">
        <v>41.743014797968399</v>
      </c>
    </row>
    <row r="509" spans="1:23" x14ac:dyDescent="0.2">
      <c r="A509" t="s">
        <v>1036</v>
      </c>
      <c r="B509" s="3" t="str">
        <f>HYPERLINK("http://www.ncbi.nlm.nih.gov/gene/233908","Fus")</f>
        <v>Fus</v>
      </c>
      <c r="C509">
        <v>233908</v>
      </c>
      <c r="D509" t="s">
        <v>1037</v>
      </c>
      <c r="E509" s="3" t="str">
        <f>HYPERLINK("http://genome.ucsc.edu/cgi-bin/hgTracks?db=mm10&amp;lastVirtModeType=default&amp;lastVirtModeExtraState=&amp;virtModeType=default&amp;virtMode=0&amp;nonVirtPosition=&amp;position=chr7:127967478-127982031","chr7:127967478-127982031")</f>
        <v>chr7:127967478-127982031</v>
      </c>
      <c r="F509" t="s">
        <v>30</v>
      </c>
      <c r="G509">
        <v>1.14751526286012</v>
      </c>
      <c r="H509">
        <v>0.226808152733883</v>
      </c>
      <c r="I509">
        <v>5.0594092365211898</v>
      </c>
      <c r="J509" s="1">
        <v>4.2055740180655901E-7</v>
      </c>
      <c r="K509" s="1">
        <v>1.11518498368151E-5</v>
      </c>
      <c r="L509" t="s">
        <v>26</v>
      </c>
      <c r="M509" t="s">
        <v>27</v>
      </c>
      <c r="N509">
        <v>613.40747092534298</v>
      </c>
      <c r="O509">
        <v>341.40776545457902</v>
      </c>
      <c r="P509">
        <v>817.407250028416</v>
      </c>
      <c r="Q509">
        <v>204.34286438410101</v>
      </c>
      <c r="R509">
        <v>301.886913250102</v>
      </c>
      <c r="S509">
        <v>517.993518729534</v>
      </c>
      <c r="T509">
        <v>847.84662238253395</v>
      </c>
      <c r="U509">
        <v>783.69996899410603</v>
      </c>
      <c r="V509">
        <v>834.23120948471706</v>
      </c>
      <c r="W509">
        <v>803.85119925230595</v>
      </c>
    </row>
    <row r="510" spans="1:23" x14ac:dyDescent="0.2">
      <c r="A510" t="s">
        <v>1038</v>
      </c>
      <c r="B510" s="3" t="str">
        <f>HYPERLINK("http://www.ncbi.nlm.nih.gov/gene/22630","Ywhaq")</f>
        <v>Ywhaq</v>
      </c>
      <c r="C510">
        <v>22630</v>
      </c>
      <c r="D510" t="s">
        <v>1039</v>
      </c>
      <c r="E510" s="3" t="str">
        <f>HYPERLINK("http://genome.ucsc.edu/cgi-bin/hgTracks?db=mm10&amp;lastVirtModeType=default&amp;lastVirtModeExtraState=&amp;virtModeType=default&amp;virtMode=0&amp;nonVirtPosition=&amp;position=chr12:21390328-21417436","chr12:21390328-21417436")</f>
        <v>chr12:21390328-21417436</v>
      </c>
      <c r="F510" t="s">
        <v>25</v>
      </c>
      <c r="G510">
        <v>-0.86031098633842795</v>
      </c>
      <c r="H510">
        <v>0.17007344011352499</v>
      </c>
      <c r="I510">
        <v>-5.0584675994333104</v>
      </c>
      <c r="J510" s="1">
        <v>4.2263904133866198E-7</v>
      </c>
      <c r="K510" s="1">
        <v>1.11849000050712E-5</v>
      </c>
      <c r="L510" t="s">
        <v>26</v>
      </c>
      <c r="M510" t="s">
        <v>27</v>
      </c>
      <c r="N510">
        <v>188.261731020757</v>
      </c>
      <c r="O510">
        <v>255.78655773716301</v>
      </c>
      <c r="P510">
        <v>137.61811098345299</v>
      </c>
      <c r="Q510">
        <v>276.16910281883997</v>
      </c>
      <c r="R510">
        <v>283.68267727522198</v>
      </c>
      <c r="S510">
        <v>207.50789311742599</v>
      </c>
      <c r="T510">
        <v>155.82046032976299</v>
      </c>
      <c r="U510">
        <v>113.486607531933</v>
      </c>
      <c r="V510">
        <v>146.395071152962</v>
      </c>
      <c r="W510">
        <v>134.770304919155</v>
      </c>
    </row>
    <row r="511" spans="1:23" x14ac:dyDescent="0.2">
      <c r="A511" t="s">
        <v>1038</v>
      </c>
      <c r="B511" s="3" t="str">
        <f>HYPERLINK("http://www.ncbi.nlm.nih.gov/gene/214444","Cdk5rap2")</f>
        <v>Cdk5rap2</v>
      </c>
      <c r="C511">
        <v>214444</v>
      </c>
      <c r="D511" t="s">
        <v>1033</v>
      </c>
      <c r="E511" s="3" t="str">
        <f>HYPERLINK("http://genome.ucsc.edu/cgi-bin/hgTracks?db=mm10&amp;lastVirtModeType=default&amp;lastVirtModeExtraState=&amp;virtModeType=default&amp;virtMode=0&amp;nonVirtPosition=&amp;position=chr4:70216854-70410435","chr4:70216854-70410435")</f>
        <v>chr4:70216854-70410435</v>
      </c>
      <c r="F511" t="s">
        <v>25</v>
      </c>
      <c r="G511">
        <v>-0.86031098633842795</v>
      </c>
      <c r="H511">
        <v>0.17007344011352499</v>
      </c>
      <c r="I511">
        <v>-5.0584675994333104</v>
      </c>
      <c r="J511" s="1">
        <v>4.2263904133866198E-7</v>
      </c>
      <c r="K511" s="1">
        <v>1.11849000050712E-5</v>
      </c>
      <c r="L511" t="s">
        <v>26</v>
      </c>
      <c r="M511" t="s">
        <v>27</v>
      </c>
      <c r="N511">
        <v>188.261731020757</v>
      </c>
      <c r="O511">
        <v>255.78655773716301</v>
      </c>
      <c r="P511">
        <v>137.61811098345299</v>
      </c>
      <c r="Q511">
        <v>276.16910281883997</v>
      </c>
      <c r="R511">
        <v>283.68267727522198</v>
      </c>
      <c r="S511">
        <v>207.50789311742599</v>
      </c>
      <c r="T511">
        <v>155.82046032976299</v>
      </c>
      <c r="U511">
        <v>113.486607531933</v>
      </c>
      <c r="V511">
        <v>146.395071152962</v>
      </c>
      <c r="W511">
        <v>134.770304919155</v>
      </c>
    </row>
    <row r="512" spans="1:23" x14ac:dyDescent="0.2">
      <c r="A512" t="s">
        <v>1040</v>
      </c>
      <c r="B512" s="3" t="str">
        <f>HYPERLINK("http://www.ncbi.nlm.nih.gov/gene/56496","Tspan6")</f>
        <v>Tspan6</v>
      </c>
      <c r="C512">
        <v>56496</v>
      </c>
      <c r="D512" t="s">
        <v>1041</v>
      </c>
      <c r="E512" s="3" t="str">
        <f>HYPERLINK("http://genome.ucsc.edu/cgi-bin/hgTracks?db=mm10&amp;lastVirtModeType=default&amp;lastVirtModeExtraState=&amp;virtModeType=default&amp;virtMode=0&amp;nonVirtPosition=&amp;position=chrX:133891069-133898429","chrX:133891069-133898429")</f>
        <v>chrX:133891069-133898429</v>
      </c>
      <c r="F512" t="s">
        <v>25</v>
      </c>
      <c r="G512">
        <v>-0.742019821071636</v>
      </c>
      <c r="H512">
        <v>0.14673399398950801</v>
      </c>
      <c r="I512">
        <v>-5.0569046810290903</v>
      </c>
      <c r="J512" s="1">
        <v>4.26116083594868E-7</v>
      </c>
      <c r="K512" s="1">
        <v>1.12546754939228E-5</v>
      </c>
      <c r="L512" t="s">
        <v>26</v>
      </c>
      <c r="M512" t="s">
        <v>27</v>
      </c>
      <c r="N512">
        <v>453.20581296984699</v>
      </c>
      <c r="O512">
        <v>593.96430072378803</v>
      </c>
      <c r="P512">
        <v>347.63694715439198</v>
      </c>
      <c r="Q512">
        <v>698.21785269117902</v>
      </c>
      <c r="R512">
        <v>556.36696198228697</v>
      </c>
      <c r="S512">
        <v>527.30808749789799</v>
      </c>
      <c r="T512">
        <v>362.05342253091999</v>
      </c>
      <c r="U512">
        <v>312.62348489928797</v>
      </c>
      <c r="V512">
        <v>395.04599602583198</v>
      </c>
      <c r="W512">
        <v>320.82488516152898</v>
      </c>
    </row>
    <row r="513" spans="1:23" x14ac:dyDescent="0.2">
      <c r="A513" t="s">
        <v>1042</v>
      </c>
      <c r="B513" s="3" t="str">
        <f>HYPERLINK("http://www.ncbi.nlm.nih.gov/gene/11819","Nr2f2")</f>
        <v>Nr2f2</v>
      </c>
      <c r="C513">
        <v>11819</v>
      </c>
      <c r="D513" t="s">
        <v>1043</v>
      </c>
      <c r="E513" s="3" t="str">
        <f>HYPERLINK("http://genome.ucsc.edu/cgi-bin/hgTracks?db=mm10&amp;lastVirtModeType=default&amp;lastVirtModeExtraState=&amp;virtModeType=default&amp;virtMode=0&amp;nonVirtPosition=&amp;position=chr7:70351949-70360593","chr7:70351949-70360593")</f>
        <v>chr7:70351949-70360593</v>
      </c>
      <c r="F513" t="s">
        <v>25</v>
      </c>
      <c r="G513">
        <v>1.02785539871145</v>
      </c>
      <c r="H513">
        <v>0.20335571898713201</v>
      </c>
      <c r="I513">
        <v>5.0544700873472204</v>
      </c>
      <c r="J513" s="1">
        <v>4.3158739145288202E-7</v>
      </c>
      <c r="K513" s="1">
        <v>1.13767455884755E-5</v>
      </c>
      <c r="L513" t="s">
        <v>26</v>
      </c>
      <c r="M513" t="s">
        <v>27</v>
      </c>
      <c r="N513">
        <v>96.256866594463105</v>
      </c>
      <c r="O513">
        <v>58.0066375591108</v>
      </c>
      <c r="P513">
        <v>124.944538370977</v>
      </c>
      <c r="Q513">
        <v>61.803972606635497</v>
      </c>
      <c r="R513">
        <v>69.782904570375393</v>
      </c>
      <c r="S513">
        <v>42.433035500321502</v>
      </c>
      <c r="T513">
        <v>128.322732036275</v>
      </c>
      <c r="U513">
        <v>111.345350786048</v>
      </c>
      <c r="V513">
        <v>126.532423308088</v>
      </c>
      <c r="W513">
        <v>133.577647353499</v>
      </c>
    </row>
    <row r="514" spans="1:23" x14ac:dyDescent="0.2">
      <c r="A514" t="s">
        <v>1044</v>
      </c>
      <c r="B514" s="3" t="str">
        <f>HYPERLINK("http://www.ncbi.nlm.nih.gov/gene/11973","Atp6v1e1")</f>
        <v>Atp6v1e1</v>
      </c>
      <c r="C514">
        <v>11973</v>
      </c>
      <c r="D514" t="s">
        <v>1045</v>
      </c>
      <c r="E514" s="3" t="str">
        <f>HYPERLINK("http://genome.ucsc.edu/cgi-bin/hgTracks?db=mm10&amp;lastVirtModeType=default&amp;lastVirtModeExtraState=&amp;virtModeType=default&amp;virtMode=0&amp;nonVirtPosition=&amp;position=chr6:120795243-120822685","chr6:120795243-120822685")</f>
        <v>chr6:120795243-120822685</v>
      </c>
      <c r="F514" t="s">
        <v>25</v>
      </c>
      <c r="G514">
        <v>-0.64226669047573204</v>
      </c>
      <c r="H514">
        <v>0.12730155623559899</v>
      </c>
      <c r="I514">
        <v>-5.0452383259720701</v>
      </c>
      <c r="J514" s="1">
        <v>4.5295641371839698E-7</v>
      </c>
      <c r="K514" s="1">
        <v>1.18932143845158E-5</v>
      </c>
      <c r="L514" t="s">
        <v>26</v>
      </c>
      <c r="M514" t="s">
        <v>27</v>
      </c>
      <c r="N514">
        <v>391.22984108893201</v>
      </c>
      <c r="O514">
        <v>491.09218654097202</v>
      </c>
      <c r="P514">
        <v>316.33308199990199</v>
      </c>
      <c r="Q514">
        <v>461.581020638746</v>
      </c>
      <c r="R514">
        <v>525.26805885853196</v>
      </c>
      <c r="S514">
        <v>486.42748012563698</v>
      </c>
      <c r="T514">
        <v>339.13864895301401</v>
      </c>
      <c r="U514">
        <v>353.307363071113</v>
      </c>
      <c r="V514">
        <v>294.99710317757598</v>
      </c>
      <c r="W514">
        <v>277.88921279790401</v>
      </c>
    </row>
    <row r="515" spans="1:23" x14ac:dyDescent="0.2">
      <c r="A515" t="s">
        <v>1046</v>
      </c>
      <c r="B515" s="3" t="str">
        <f>HYPERLINK("http://www.ncbi.nlm.nih.gov/gene/16180","Il1rap")</f>
        <v>Il1rap</v>
      </c>
      <c r="C515">
        <v>16180</v>
      </c>
      <c r="D515" t="s">
        <v>1047</v>
      </c>
      <c r="E515" s="3" t="str">
        <f>HYPERLINK("http://genome.ucsc.edu/cgi-bin/hgTracks?db=mm10&amp;lastVirtModeType=default&amp;lastVirtModeExtraState=&amp;virtModeType=default&amp;virtMode=0&amp;nonVirtPosition=&amp;position=chr16:26581704-26702354","chr16:26581704-26702354")</f>
        <v>chr16:26581704-26702354</v>
      </c>
      <c r="F515" t="s">
        <v>30</v>
      </c>
      <c r="G515">
        <v>-0.87565703871237099</v>
      </c>
      <c r="H515">
        <v>0.17367017232082199</v>
      </c>
      <c r="I515">
        <v>-5.0420692684911099</v>
      </c>
      <c r="J515" s="1">
        <v>4.6052451214718601E-7</v>
      </c>
      <c r="K515" s="1">
        <v>1.2068265640240701E-5</v>
      </c>
      <c r="L515" t="s">
        <v>26</v>
      </c>
      <c r="M515" t="s">
        <v>27</v>
      </c>
      <c r="N515">
        <v>2298.39776137948</v>
      </c>
      <c r="O515">
        <v>3149.50707110753</v>
      </c>
      <c r="P515">
        <v>1660.06577908345</v>
      </c>
      <c r="Q515">
        <v>2456.56871297726</v>
      </c>
      <c r="R515">
        <v>3239.2162387803101</v>
      </c>
      <c r="S515">
        <v>3752.73626156502</v>
      </c>
      <c r="T515">
        <v>1379.4693693899601</v>
      </c>
      <c r="U515">
        <v>2019.20511137006</v>
      </c>
      <c r="V515">
        <v>1712.6016364024899</v>
      </c>
      <c r="W515">
        <v>1528.9869991713001</v>
      </c>
    </row>
    <row r="516" spans="1:23" x14ac:dyDescent="0.2">
      <c r="A516" t="s">
        <v>1048</v>
      </c>
      <c r="B516" s="3" t="str">
        <f>HYPERLINK("http://www.ncbi.nlm.nih.gov/gene/68339","Ccdc88c")</f>
        <v>Ccdc88c</v>
      </c>
      <c r="C516">
        <v>68339</v>
      </c>
      <c r="D516" t="s">
        <v>1049</v>
      </c>
      <c r="E516" s="3" t="str">
        <f>HYPERLINK("http://genome.ucsc.edu/cgi-bin/hgTracks?db=mm10&amp;lastVirtModeType=default&amp;lastVirtModeExtraState=&amp;virtModeType=default&amp;virtMode=0&amp;nonVirtPosition=&amp;position=chr12:100912699-101028983","chr12:100912699-101028983")</f>
        <v>chr12:100912699-101028983</v>
      </c>
      <c r="F516" t="s">
        <v>25</v>
      </c>
      <c r="G516">
        <v>0.81356696977073395</v>
      </c>
      <c r="H516">
        <v>0.16167323347012399</v>
      </c>
      <c r="I516">
        <v>5.0321686052074703</v>
      </c>
      <c r="J516" s="1">
        <v>4.8496245376524501E-7</v>
      </c>
      <c r="K516" s="1">
        <v>1.26838519890047E-5</v>
      </c>
      <c r="L516" t="s">
        <v>26</v>
      </c>
      <c r="M516" t="s">
        <v>27</v>
      </c>
      <c r="N516">
        <v>299.66793576792497</v>
      </c>
      <c r="O516">
        <v>205.896300104983</v>
      </c>
      <c r="P516">
        <v>369.99666251513099</v>
      </c>
      <c r="Q516">
        <v>221.603433310279</v>
      </c>
      <c r="R516">
        <v>157.01153528334501</v>
      </c>
      <c r="S516">
        <v>239.07393172132399</v>
      </c>
      <c r="T516">
        <v>384.96819610882602</v>
      </c>
      <c r="U516">
        <v>338.31856584991499</v>
      </c>
      <c r="V516">
        <v>396.51730327360002</v>
      </c>
      <c r="W516">
        <v>360.18258482818402</v>
      </c>
    </row>
    <row r="517" spans="1:23" x14ac:dyDescent="0.2">
      <c r="A517" t="s">
        <v>1050</v>
      </c>
      <c r="B517" s="3" t="str">
        <f>HYPERLINK("http://www.ncbi.nlm.nih.gov/gene/16009","Igfbp3")</f>
        <v>Igfbp3</v>
      </c>
      <c r="C517">
        <v>16009</v>
      </c>
      <c r="D517" t="s">
        <v>1051</v>
      </c>
      <c r="E517" s="3" t="str">
        <f>HYPERLINK("http://genome.ucsc.edu/cgi-bin/hgTracks?db=mm10&amp;lastVirtModeType=default&amp;lastVirtModeExtraState=&amp;virtModeType=default&amp;virtMode=0&amp;nonVirtPosition=&amp;position=chr11:7206090-7213923","chr11:7206090-7213923")</f>
        <v>chr11:7206090-7213923</v>
      </c>
      <c r="F517" t="s">
        <v>25</v>
      </c>
      <c r="G517">
        <v>-1.2594378593553901</v>
      </c>
      <c r="H517">
        <v>0.25032308175247597</v>
      </c>
      <c r="I517">
        <v>-5.0312494179052401</v>
      </c>
      <c r="J517" s="1">
        <v>4.8729370913189904E-7</v>
      </c>
      <c r="K517" s="1">
        <v>1.2719980621803601E-5</v>
      </c>
      <c r="L517" t="s">
        <v>26</v>
      </c>
      <c r="M517" t="s">
        <v>27</v>
      </c>
      <c r="N517">
        <v>1492.0042229717801</v>
      </c>
      <c r="O517">
        <v>2322.7025837210799</v>
      </c>
      <c r="P517">
        <v>868.98045240981196</v>
      </c>
      <c r="Q517">
        <v>1376.9479662721601</v>
      </c>
      <c r="R517">
        <v>3271.83216156863</v>
      </c>
      <c r="S517">
        <v>2319.3276233224501</v>
      </c>
      <c r="T517">
        <v>604.95002245672697</v>
      </c>
      <c r="U517">
        <v>1141.28984555699</v>
      </c>
      <c r="V517">
        <v>1009.31677196916</v>
      </c>
      <c r="W517">
        <v>720.36516965636895</v>
      </c>
    </row>
    <row r="518" spans="1:23" x14ac:dyDescent="0.2">
      <c r="A518" t="s">
        <v>1052</v>
      </c>
      <c r="B518" s="3" t="str">
        <f>HYPERLINK("http://www.ncbi.nlm.nih.gov/gene/12298","Cacnb4")</f>
        <v>Cacnb4</v>
      </c>
      <c r="C518">
        <v>12298</v>
      </c>
      <c r="D518" t="s">
        <v>1053</v>
      </c>
      <c r="E518" s="3" t="str">
        <f>HYPERLINK("http://genome.ucsc.edu/cgi-bin/hgTracks?db=mm10&amp;lastVirtModeType=default&amp;lastVirtModeExtraState=&amp;virtModeType=default&amp;virtMode=0&amp;nonVirtPosition=&amp;position=chr2:52428319-52676609","chr2:52428319-52676609")</f>
        <v>chr2:52428319-52676609</v>
      </c>
      <c r="F518" t="s">
        <v>25</v>
      </c>
      <c r="G518">
        <v>-0.96137707915562298</v>
      </c>
      <c r="H518">
        <v>0.19125889157265</v>
      </c>
      <c r="I518">
        <v>-5.0265745621057496</v>
      </c>
      <c r="J518" s="1">
        <v>4.99318395561736E-7</v>
      </c>
      <c r="K518" s="1">
        <v>1.30085070719206E-5</v>
      </c>
      <c r="L518" t="s">
        <v>26</v>
      </c>
      <c r="M518" t="s">
        <v>27</v>
      </c>
      <c r="N518">
        <v>312.09520226818699</v>
      </c>
      <c r="O518">
        <v>436.40765727480198</v>
      </c>
      <c r="P518">
        <v>218.86086101322601</v>
      </c>
      <c r="Q518">
        <v>468.26253119081503</v>
      </c>
      <c r="R518">
        <v>529.43986293610897</v>
      </c>
      <c r="S518">
        <v>311.520577697482</v>
      </c>
      <c r="T518">
        <v>265.81137350371301</v>
      </c>
      <c r="U518">
        <v>218.408188080325</v>
      </c>
      <c r="V518">
        <v>211.132590054774</v>
      </c>
      <c r="W518">
        <v>180.09129241409201</v>
      </c>
    </row>
    <row r="519" spans="1:23" x14ac:dyDescent="0.2">
      <c r="A519" t="s">
        <v>1054</v>
      </c>
      <c r="B519" s="3" t="str">
        <f>HYPERLINK("http://www.ncbi.nlm.nih.gov/gene/233489","Picalm")</f>
        <v>Picalm</v>
      </c>
      <c r="C519">
        <v>233489</v>
      </c>
      <c r="D519" t="s">
        <v>1055</v>
      </c>
      <c r="E519" s="3" t="str">
        <f>HYPERLINK("http://genome.ucsc.edu/cgi-bin/hgTracks?db=mm10&amp;lastVirtModeType=default&amp;lastVirtModeExtraState=&amp;virtModeType=default&amp;virtMode=0&amp;nonVirtPosition=&amp;position=chr7:90130231-90209447","chr7:90130231-90209447")</f>
        <v>chr7:90130231-90209447</v>
      </c>
      <c r="F519" t="s">
        <v>30</v>
      </c>
      <c r="G519">
        <v>-0.55802394621338902</v>
      </c>
      <c r="H519">
        <v>0.111040068876508</v>
      </c>
      <c r="I519">
        <v>-5.0254286750667401</v>
      </c>
      <c r="J519" s="1">
        <v>5.0230923304003996E-7</v>
      </c>
      <c r="K519" s="1">
        <v>1.3057678719469699E-5</v>
      </c>
      <c r="L519" t="s">
        <v>26</v>
      </c>
      <c r="M519" t="s">
        <v>27</v>
      </c>
      <c r="N519">
        <v>1603.7653171296499</v>
      </c>
      <c r="O519">
        <v>1974.26647808145</v>
      </c>
      <c r="P519">
        <v>1325.88944641579</v>
      </c>
      <c r="Q519">
        <v>1884.1859756833701</v>
      </c>
      <c r="R519">
        <v>2146.2035704551899</v>
      </c>
      <c r="S519">
        <v>1892.4098881058001</v>
      </c>
      <c r="T519">
        <v>1283.2273203627501</v>
      </c>
      <c r="U519">
        <v>1216.23383166298</v>
      </c>
      <c r="V519">
        <v>1449.23763905193</v>
      </c>
      <c r="W519">
        <v>1354.8589945854901</v>
      </c>
    </row>
    <row r="520" spans="1:23" x14ac:dyDescent="0.2">
      <c r="A520" t="s">
        <v>1056</v>
      </c>
      <c r="B520" s="3" t="str">
        <f>HYPERLINK("http://www.ncbi.nlm.nih.gov/gene/230587","Glis1")</f>
        <v>Glis1</v>
      </c>
      <c r="C520">
        <v>230587</v>
      </c>
      <c r="D520" t="s">
        <v>1057</v>
      </c>
      <c r="E520" s="3" t="str">
        <f>HYPERLINK("http://genome.ucsc.edu/cgi-bin/hgTracks?db=mm10&amp;lastVirtModeType=default&amp;lastVirtModeExtraState=&amp;virtModeType=default&amp;virtMode=0&amp;nonVirtPosition=&amp;position=chr4:107434718-107635059","chr4:107434718-107635059")</f>
        <v>chr4:107434718-107635059</v>
      </c>
      <c r="F520" t="s">
        <v>30</v>
      </c>
      <c r="G520">
        <v>1.7370999140964001</v>
      </c>
      <c r="H520">
        <v>0.34568427168386001</v>
      </c>
      <c r="I520">
        <v>5.0251054398131298</v>
      </c>
      <c r="J520" s="1">
        <v>5.0315601667137495E-7</v>
      </c>
      <c r="K520" s="1">
        <v>1.3057678719469699E-5</v>
      </c>
      <c r="L520" t="s">
        <v>26</v>
      </c>
      <c r="M520" t="s">
        <v>27</v>
      </c>
      <c r="N520">
        <v>17.505447269340301</v>
      </c>
      <c r="O520">
        <v>4.9859048358843703</v>
      </c>
      <c r="P520">
        <v>26.895104094432298</v>
      </c>
      <c r="Q520">
        <v>6.6815105520687004</v>
      </c>
      <c r="R520">
        <v>5.6888237421501699</v>
      </c>
      <c r="S520">
        <v>2.5873802134342401</v>
      </c>
      <c r="T520">
        <v>36.663637724650101</v>
      </c>
      <c r="U520">
        <v>27.836337696512</v>
      </c>
      <c r="V520">
        <v>22.805262340411101</v>
      </c>
      <c r="W520">
        <v>20.275178616156101</v>
      </c>
    </row>
    <row r="521" spans="1:23" x14ac:dyDescent="0.2">
      <c r="A521" t="s">
        <v>1058</v>
      </c>
      <c r="B521" s="3" t="str">
        <f>HYPERLINK("http://www.ncbi.nlm.nih.gov/gene/243961","Shank1")</f>
        <v>Shank1</v>
      </c>
      <c r="C521">
        <v>243961</v>
      </c>
      <c r="D521" t="s">
        <v>1059</v>
      </c>
      <c r="E521" s="3" t="str">
        <f>HYPERLINK("http://genome.ucsc.edu/cgi-bin/hgTracks?db=mm10&amp;lastVirtModeType=default&amp;lastVirtModeExtraState=&amp;virtModeType=default&amp;virtMode=0&amp;nonVirtPosition=&amp;position=chr7:44310263-44358353","chr7:44310263-44358353")</f>
        <v>chr7:44310263-44358353</v>
      </c>
      <c r="F521" t="s">
        <v>30</v>
      </c>
      <c r="G521">
        <v>1.3271365407509399</v>
      </c>
      <c r="H521">
        <v>0.26425314387433102</v>
      </c>
      <c r="I521">
        <v>5.0222166566997704</v>
      </c>
      <c r="J521" s="1">
        <v>5.1078517718153405E-7</v>
      </c>
      <c r="K521" s="1">
        <v>1.3230027674348001E-5</v>
      </c>
      <c r="L521" t="s">
        <v>26</v>
      </c>
      <c r="M521" t="s">
        <v>27</v>
      </c>
      <c r="N521">
        <v>215.32071092232201</v>
      </c>
      <c r="O521">
        <v>104.04167319318</v>
      </c>
      <c r="P521">
        <v>298.77998921917799</v>
      </c>
      <c r="Q521">
        <v>75.723786256778595</v>
      </c>
      <c r="R521">
        <v>142.22059355375399</v>
      </c>
      <c r="S521">
        <v>94.180639769006305</v>
      </c>
      <c r="T521">
        <v>252.062509356969</v>
      </c>
      <c r="U521">
        <v>391.84998449705301</v>
      </c>
      <c r="V521">
        <v>164.786411750068</v>
      </c>
      <c r="W521">
        <v>386.42105127262198</v>
      </c>
    </row>
    <row r="522" spans="1:23" x14ac:dyDescent="0.2">
      <c r="A522" t="s">
        <v>1060</v>
      </c>
      <c r="B522" s="3" t="str">
        <f>HYPERLINK("http://www.ncbi.nlm.nih.gov/gene/75616","Smim15")</f>
        <v>Smim15</v>
      </c>
      <c r="C522">
        <v>75616</v>
      </c>
      <c r="D522" t="s">
        <v>1061</v>
      </c>
      <c r="E522" s="3" t="str">
        <f>HYPERLINK("http://genome.ucsc.edu/cgi-bin/hgTracks?db=mm10&amp;lastVirtModeType=default&amp;lastVirtModeExtraState=&amp;virtModeType=default&amp;virtMode=0&amp;nonVirtPosition=&amp;position=chr13:108044473-108049146","chr13:108044473-108049146")</f>
        <v>chr13:108044473-108049146</v>
      </c>
      <c r="F522" t="s">
        <v>30</v>
      </c>
      <c r="G522">
        <v>-0.87104219088541401</v>
      </c>
      <c r="H522">
        <v>0.17351270059316801</v>
      </c>
      <c r="I522">
        <v>-5.0200486068609598</v>
      </c>
      <c r="J522" s="1">
        <v>5.1658406164957003E-7</v>
      </c>
      <c r="K522" s="1">
        <v>1.3354396080211201E-5</v>
      </c>
      <c r="L522" t="s">
        <v>26</v>
      </c>
      <c r="M522" t="s">
        <v>27</v>
      </c>
      <c r="N522">
        <v>215.136785318184</v>
      </c>
      <c r="O522">
        <v>295.90382430780602</v>
      </c>
      <c r="P522">
        <v>154.56150607596601</v>
      </c>
      <c r="Q522">
        <v>335.189112695446</v>
      </c>
      <c r="R522">
        <v>294.301814927235</v>
      </c>
      <c r="S522">
        <v>258.220545300737</v>
      </c>
      <c r="T522">
        <v>160.40341504534399</v>
      </c>
      <c r="U522">
        <v>117.769121023704</v>
      </c>
      <c r="V522">
        <v>189.79863496213099</v>
      </c>
      <c r="W522">
        <v>150.27485327268599</v>
      </c>
    </row>
    <row r="523" spans="1:23" x14ac:dyDescent="0.2">
      <c r="A523" t="s">
        <v>1062</v>
      </c>
      <c r="B523" s="3" t="str">
        <f>HYPERLINK("http://www.ncbi.nlm.nih.gov/gene/54214","Golga4")</f>
        <v>Golga4</v>
      </c>
      <c r="C523">
        <v>54214</v>
      </c>
      <c r="D523" t="s">
        <v>1063</v>
      </c>
      <c r="E523" s="3" t="str">
        <f>HYPERLINK("http://genome.ucsc.edu/cgi-bin/hgTracks?db=mm10&amp;lastVirtModeType=default&amp;lastVirtModeExtraState=&amp;virtModeType=default&amp;virtMode=0&amp;nonVirtPosition=&amp;position=chr9:118506317-118582519","chr9:118506317-118582519")</f>
        <v>chr9:118506317-118582519</v>
      </c>
      <c r="F523" t="s">
        <v>30</v>
      </c>
      <c r="G523">
        <v>0.64571167598866597</v>
      </c>
      <c r="H523">
        <v>0.128675778876674</v>
      </c>
      <c r="I523">
        <v>5.0181291430730797</v>
      </c>
      <c r="J523" s="1">
        <v>5.2177099279845301E-7</v>
      </c>
      <c r="K523" s="1">
        <v>1.34624958854799E-5</v>
      </c>
      <c r="L523" t="s">
        <v>26</v>
      </c>
      <c r="M523" t="s">
        <v>27</v>
      </c>
      <c r="N523">
        <v>648.21039518727696</v>
      </c>
      <c r="O523">
        <v>488.60350403707599</v>
      </c>
      <c r="P523">
        <v>767.91556354992701</v>
      </c>
      <c r="Q523">
        <v>486.07989266299802</v>
      </c>
      <c r="R523">
        <v>442.59048713928303</v>
      </c>
      <c r="S523">
        <v>537.14013230894795</v>
      </c>
      <c r="T523">
        <v>701.19207148393298</v>
      </c>
      <c r="U523">
        <v>710.89723963399797</v>
      </c>
      <c r="V523">
        <v>765.07976883959896</v>
      </c>
      <c r="W523">
        <v>894.49317424217998</v>
      </c>
    </row>
    <row r="524" spans="1:23" x14ac:dyDescent="0.2">
      <c r="A524" t="s">
        <v>1064</v>
      </c>
      <c r="B524" s="3" t="str">
        <f>HYPERLINK("http://www.ncbi.nlm.nih.gov/gene/29811","Ndrg2")</f>
        <v>Ndrg2</v>
      </c>
      <c r="C524">
        <v>29811</v>
      </c>
      <c r="D524" t="s">
        <v>1065</v>
      </c>
      <c r="E524" s="3" t="str">
        <f>HYPERLINK("http://genome.ucsc.edu/cgi-bin/hgTracks?db=mm10&amp;lastVirtModeType=default&amp;lastVirtModeExtraState=&amp;virtModeType=default&amp;virtMode=0&amp;nonVirtPosition=&amp;position=chr14:51905270-51913488","chr14:51905270-51913488")</f>
        <v>chr14:51905270-51913488</v>
      </c>
      <c r="F524" t="s">
        <v>25</v>
      </c>
      <c r="G524">
        <v>-1.0403913233122899</v>
      </c>
      <c r="H524">
        <v>0.20738422551263699</v>
      </c>
      <c r="I524">
        <v>-5.0167331711972096</v>
      </c>
      <c r="J524" s="1">
        <v>5.2557480706571703E-7</v>
      </c>
      <c r="K524" s="1">
        <v>1.3534562002725E-5</v>
      </c>
      <c r="L524" t="s">
        <v>26</v>
      </c>
      <c r="M524" t="s">
        <v>27</v>
      </c>
      <c r="N524">
        <v>1576.7980487550501</v>
      </c>
      <c r="O524">
        <v>2281.73324323922</v>
      </c>
      <c r="P524">
        <v>1048.09665289191</v>
      </c>
      <c r="Q524">
        <v>3061.8022104854799</v>
      </c>
      <c r="R524">
        <v>2255.8082412206099</v>
      </c>
      <c r="S524">
        <v>1527.5892780115701</v>
      </c>
      <c r="T524">
        <v>1049.4966298681099</v>
      </c>
      <c r="U524">
        <v>880.05652255895495</v>
      </c>
      <c r="V524">
        <v>984.30454875709995</v>
      </c>
      <c r="W524">
        <v>1278.52891038349</v>
      </c>
    </row>
    <row r="525" spans="1:23" x14ac:dyDescent="0.2">
      <c r="A525" t="s">
        <v>1066</v>
      </c>
      <c r="B525" s="3" t="str">
        <f>HYPERLINK("http://www.ncbi.nlm.nih.gov/gene/26920","Cntrl")</f>
        <v>Cntrl</v>
      </c>
      <c r="C525">
        <v>26920</v>
      </c>
      <c r="D525" t="s">
        <v>1067</v>
      </c>
      <c r="E525" s="3" t="str">
        <f>HYPERLINK("http://genome.ucsc.edu/cgi-bin/hgTracks?db=mm10&amp;lastVirtModeType=default&amp;lastVirtModeExtraState=&amp;virtModeType=default&amp;virtMode=0&amp;nonVirtPosition=&amp;position=chr2:35109491-35178822","chr2:35109491-35178822")</f>
        <v>chr2:35109491-35178822</v>
      </c>
      <c r="F525" t="s">
        <v>30</v>
      </c>
      <c r="G525">
        <v>0.75941375561578695</v>
      </c>
      <c r="H525">
        <v>0.15143240577504599</v>
      </c>
      <c r="I525">
        <v>5.0148695170563498</v>
      </c>
      <c r="J525" s="1">
        <v>5.3069468343356201E-7</v>
      </c>
      <c r="K525" s="1">
        <v>1.36401775544315E-5</v>
      </c>
      <c r="L525" t="s">
        <v>26</v>
      </c>
      <c r="M525" t="s">
        <v>27</v>
      </c>
      <c r="N525">
        <v>347.07558831524602</v>
      </c>
      <c r="O525">
        <v>242.61580770299199</v>
      </c>
      <c r="P525">
        <v>425.42042377443602</v>
      </c>
      <c r="Q525">
        <v>212.137960028181</v>
      </c>
      <c r="R525">
        <v>241.964636499454</v>
      </c>
      <c r="S525">
        <v>273.74482658134201</v>
      </c>
      <c r="T525">
        <v>522.45683757626398</v>
      </c>
      <c r="U525">
        <v>351.16610632522799</v>
      </c>
      <c r="V525">
        <v>389.16076703475801</v>
      </c>
      <c r="W525">
        <v>438.89798416149603</v>
      </c>
    </row>
    <row r="526" spans="1:23" x14ac:dyDescent="0.2">
      <c r="A526" t="s">
        <v>1068</v>
      </c>
      <c r="B526" s="3" t="str">
        <f>HYPERLINK("http://www.ncbi.nlm.nih.gov/gene/20410","Sorbs3")</f>
        <v>Sorbs3</v>
      </c>
      <c r="C526">
        <v>20410</v>
      </c>
      <c r="D526" t="s">
        <v>1069</v>
      </c>
      <c r="E526" s="3" t="str">
        <f>HYPERLINK("http://genome.ucsc.edu/cgi-bin/hgTracks?db=mm10&amp;lastVirtModeType=default&amp;lastVirtModeExtraState=&amp;virtModeType=default&amp;virtMode=0&amp;nonVirtPosition=&amp;position=chr14:70180467-70207671","chr14:70180467-70207671")</f>
        <v>chr14:70180467-70207671</v>
      </c>
      <c r="F526" t="s">
        <v>25</v>
      </c>
      <c r="G526">
        <v>0.94627364874216002</v>
      </c>
      <c r="H526">
        <v>0.18888587654673999</v>
      </c>
      <c r="I526">
        <v>5.0097639169332098</v>
      </c>
      <c r="J526" s="1">
        <v>5.4496845891416699E-7</v>
      </c>
      <c r="K526" s="1">
        <v>1.39802157726429E-5</v>
      </c>
      <c r="L526" t="s">
        <v>26</v>
      </c>
      <c r="M526" t="s">
        <v>27</v>
      </c>
      <c r="N526">
        <v>126.60906590258701</v>
      </c>
      <c r="O526">
        <v>79.944201675927104</v>
      </c>
      <c r="P526">
        <v>161.60771407258099</v>
      </c>
      <c r="Q526">
        <v>87.973222268904493</v>
      </c>
      <c r="R526">
        <v>61.8185513313652</v>
      </c>
      <c r="S526">
        <v>90.040831427511506</v>
      </c>
      <c r="T526">
        <v>164.98636976092499</v>
      </c>
      <c r="U526">
        <v>188.43059363792699</v>
      </c>
      <c r="V526">
        <v>152.280300144036</v>
      </c>
      <c r="W526">
        <v>140.73359274743601</v>
      </c>
    </row>
    <row r="527" spans="1:23" x14ac:dyDescent="0.2">
      <c r="A527" t="s">
        <v>1070</v>
      </c>
      <c r="B527" s="3" t="str">
        <f>HYPERLINK("http://www.ncbi.nlm.nih.gov/gene/11785","Apbb1")</f>
        <v>Apbb1</v>
      </c>
      <c r="C527">
        <v>11785</v>
      </c>
      <c r="D527" t="s">
        <v>1071</v>
      </c>
      <c r="E527" s="3" t="str">
        <f>HYPERLINK("http://genome.ucsc.edu/cgi-bin/hgTracks?db=mm10&amp;lastVirtModeType=default&amp;lastVirtModeExtraState=&amp;virtModeType=default&amp;virtMode=0&amp;nonVirtPosition=&amp;position=chr7:105558482-105568777","chr7:105558482-105568777")</f>
        <v>chr7:105558482-105568777</v>
      </c>
      <c r="F527" t="s">
        <v>25</v>
      </c>
      <c r="G527">
        <v>-0.61687301235024194</v>
      </c>
      <c r="H527">
        <v>0.12316676758401</v>
      </c>
      <c r="I527">
        <v>-5.0084371332509301</v>
      </c>
      <c r="J527" s="1">
        <v>5.4873792988875798E-7</v>
      </c>
      <c r="K527" s="1">
        <v>1.40499992717789E-5</v>
      </c>
      <c r="L527" t="s">
        <v>26</v>
      </c>
      <c r="M527" t="s">
        <v>27</v>
      </c>
      <c r="N527">
        <v>435.796244017898</v>
      </c>
      <c r="O527">
        <v>552.17122839747003</v>
      </c>
      <c r="P527">
        <v>348.515005733218</v>
      </c>
      <c r="Q527">
        <v>588.52972112805105</v>
      </c>
      <c r="R527">
        <v>546.88558907870299</v>
      </c>
      <c r="S527">
        <v>521.09837498565605</v>
      </c>
      <c r="T527">
        <v>279.560237650457</v>
      </c>
      <c r="U527">
        <v>374.71993052996902</v>
      </c>
      <c r="V527">
        <v>379.597269924263</v>
      </c>
      <c r="W527">
        <v>360.18258482818402</v>
      </c>
    </row>
    <row r="528" spans="1:23" x14ac:dyDescent="0.2">
      <c r="A528" t="s">
        <v>1072</v>
      </c>
      <c r="B528" s="3" t="str">
        <f>HYPERLINK("http://www.ncbi.nlm.nih.gov/gene/231769","Sfswap")</f>
        <v>Sfswap</v>
      </c>
      <c r="C528">
        <v>231769</v>
      </c>
      <c r="D528" t="s">
        <v>1073</v>
      </c>
      <c r="E528" s="3" t="str">
        <f>HYPERLINK("http://genome.ucsc.edu/cgi-bin/hgTracks?db=mm10&amp;lastVirtModeType=default&amp;lastVirtModeExtraState=&amp;virtModeType=default&amp;virtMode=0&amp;nonVirtPosition=&amp;position=chr5:129501230-129571384","chr5:129501230-129571384")</f>
        <v>chr5:129501230-129571384</v>
      </c>
      <c r="F528" t="s">
        <v>30</v>
      </c>
      <c r="G528">
        <v>0.74320573094702003</v>
      </c>
      <c r="H528">
        <v>0.14846452092760901</v>
      </c>
      <c r="I528">
        <v>5.0059483996813299</v>
      </c>
      <c r="J528" s="1">
        <v>5.5587648001309001E-7</v>
      </c>
      <c r="K528" s="1">
        <v>1.42056143966704E-5</v>
      </c>
      <c r="L528" t="s">
        <v>26</v>
      </c>
      <c r="M528" t="s">
        <v>27</v>
      </c>
      <c r="N528">
        <v>566.53013367733502</v>
      </c>
      <c r="O528">
        <v>403.13877969781203</v>
      </c>
      <c r="P528">
        <v>689.07364916197696</v>
      </c>
      <c r="Q528">
        <v>334.07552760343498</v>
      </c>
      <c r="R528">
        <v>381.151190724061</v>
      </c>
      <c r="S528">
        <v>494.18962076593999</v>
      </c>
      <c r="T528">
        <v>696.60911676835201</v>
      </c>
      <c r="U528">
        <v>704.47346939634099</v>
      </c>
      <c r="V528">
        <v>625.30558030159602</v>
      </c>
      <c r="W528">
        <v>729.90643018161904</v>
      </c>
    </row>
    <row r="529" spans="1:23" x14ac:dyDescent="0.2">
      <c r="A529" t="s">
        <v>1074</v>
      </c>
      <c r="B529" s="3" t="str">
        <f>HYPERLINK("http://www.ncbi.nlm.nih.gov/gene/210162","Zkscan2")</f>
        <v>Zkscan2</v>
      </c>
      <c r="C529">
        <v>210162</v>
      </c>
      <c r="D529" t="s">
        <v>1075</v>
      </c>
      <c r="E529" s="3" t="str">
        <f>HYPERLINK("http://genome.ucsc.edu/cgi-bin/hgTracks?db=mm10&amp;lastVirtModeType=default&amp;lastVirtModeExtraState=&amp;virtModeType=default&amp;virtMode=0&amp;nonVirtPosition=&amp;position=chr7:123478638-123500449","chr7:123478638-123500449")</f>
        <v>chr7:123478638-123500449</v>
      </c>
      <c r="F529" t="s">
        <v>25</v>
      </c>
      <c r="G529">
        <v>0.77746989377173903</v>
      </c>
      <c r="H529">
        <v>0.15533014492025801</v>
      </c>
      <c r="I529">
        <v>5.00527372951895</v>
      </c>
      <c r="J529" s="1">
        <v>5.5782704143670999E-7</v>
      </c>
      <c r="K529" s="1">
        <v>1.4228308403578999E-5</v>
      </c>
      <c r="L529" t="s">
        <v>26</v>
      </c>
      <c r="M529" t="s">
        <v>27</v>
      </c>
      <c r="N529">
        <v>156.47856697359001</v>
      </c>
      <c r="O529">
        <v>107.791527264435</v>
      </c>
      <c r="P529">
        <v>192.99384675545701</v>
      </c>
      <c r="Q529">
        <v>113.028886839162</v>
      </c>
      <c r="R529">
        <v>100.123297861843</v>
      </c>
      <c r="S529">
        <v>110.222397092299</v>
      </c>
      <c r="T529">
        <v>215.39887163231899</v>
      </c>
      <c r="U529">
        <v>199.136877367355</v>
      </c>
      <c r="V529">
        <v>161.84379725453101</v>
      </c>
      <c r="W529">
        <v>195.595840767623</v>
      </c>
    </row>
    <row r="530" spans="1:23" x14ac:dyDescent="0.2">
      <c r="A530" t="s">
        <v>1076</v>
      </c>
      <c r="B530" s="3" t="str">
        <f>HYPERLINK("http://www.ncbi.nlm.nih.gov/gene/75691","Anks6")</f>
        <v>Anks6</v>
      </c>
      <c r="C530">
        <v>75691</v>
      </c>
      <c r="D530" t="s">
        <v>1077</v>
      </c>
      <c r="E530" s="3" t="str">
        <f>HYPERLINK("http://genome.ucsc.edu/cgi-bin/hgTracks?db=mm10&amp;lastVirtModeType=default&amp;lastVirtModeExtraState=&amp;virtModeType=default&amp;virtMode=0&amp;nonVirtPosition=&amp;position=chr4:47015688-47057306","chr4:47015688-47057306")</f>
        <v>chr4:47015688-47057306</v>
      </c>
      <c r="F530" t="s">
        <v>25</v>
      </c>
      <c r="G530">
        <v>1.0094018982639299</v>
      </c>
      <c r="H530">
        <v>0.20170261054017899</v>
      </c>
      <c r="I530">
        <v>5.00440671323316</v>
      </c>
      <c r="J530" s="1">
        <v>5.6034339189122702E-7</v>
      </c>
      <c r="K530" s="1">
        <v>1.4265320077595901E-5</v>
      </c>
      <c r="L530" t="s">
        <v>26</v>
      </c>
      <c r="M530" t="s">
        <v>27</v>
      </c>
      <c r="N530">
        <v>84.006101294782397</v>
      </c>
      <c r="O530">
        <v>50.096826824372897</v>
      </c>
      <c r="P530">
        <v>109.43805714758901</v>
      </c>
      <c r="Q530">
        <v>56.792839692583897</v>
      </c>
      <c r="R530">
        <v>45.889844853344698</v>
      </c>
      <c r="S530">
        <v>47.607795927189997</v>
      </c>
      <c r="T530">
        <v>146.65455089860001</v>
      </c>
      <c r="U530">
        <v>83.509013089535898</v>
      </c>
      <c r="V530">
        <v>107.405429087098</v>
      </c>
      <c r="W530">
        <v>100.183235515124</v>
      </c>
    </row>
    <row r="531" spans="1:23" x14ac:dyDescent="0.2">
      <c r="A531" t="s">
        <v>1078</v>
      </c>
      <c r="B531" s="3" t="str">
        <f>HYPERLINK("http://www.ncbi.nlm.nih.gov/gene/70536","Qpct")</f>
        <v>Qpct</v>
      </c>
      <c r="C531">
        <v>70536</v>
      </c>
      <c r="D531" t="s">
        <v>1079</v>
      </c>
      <c r="E531" s="3" t="str">
        <f>HYPERLINK("http://genome.ucsc.edu/cgi-bin/hgTracks?db=mm10&amp;lastVirtModeType=default&amp;lastVirtModeExtraState=&amp;virtModeType=default&amp;virtMode=0&amp;nonVirtPosition=&amp;position=chr17:79051905-79090378","chr17:79051905-79090378")</f>
        <v>chr17:79051905-79090378</v>
      </c>
      <c r="F531" t="s">
        <v>30</v>
      </c>
      <c r="G531">
        <v>-1.10320819198982</v>
      </c>
      <c r="H531">
        <v>0.22047812088117</v>
      </c>
      <c r="I531">
        <v>-5.0037082481504296</v>
      </c>
      <c r="J531" s="1">
        <v>5.6237851022911096E-7</v>
      </c>
      <c r="K531" s="1">
        <v>1.42899632456889E-5</v>
      </c>
      <c r="L531" t="s">
        <v>26</v>
      </c>
      <c r="M531" t="s">
        <v>27</v>
      </c>
      <c r="N531">
        <v>281.54559418945001</v>
      </c>
      <c r="O531">
        <v>418.29664577675499</v>
      </c>
      <c r="P531">
        <v>178.98230549897099</v>
      </c>
      <c r="Q531">
        <v>553.45179072969097</v>
      </c>
      <c r="R531">
        <v>432.350604403413</v>
      </c>
      <c r="S531">
        <v>269.08754219716099</v>
      </c>
      <c r="T531">
        <v>132.90568675185699</v>
      </c>
      <c r="U531">
        <v>214.12567458855401</v>
      </c>
      <c r="V531">
        <v>197.155171200974</v>
      </c>
      <c r="W531">
        <v>171.74268945449899</v>
      </c>
    </row>
    <row r="532" spans="1:23" x14ac:dyDescent="0.2">
      <c r="A532" t="s">
        <v>1080</v>
      </c>
      <c r="B532" s="3" t="str">
        <f>HYPERLINK("http://www.ncbi.nlm.nih.gov/gene/12394","Runx1")</f>
        <v>Runx1</v>
      </c>
      <c r="C532">
        <v>12394</v>
      </c>
      <c r="D532" t="s">
        <v>1081</v>
      </c>
      <c r="E532" s="3" t="str">
        <f>HYPERLINK("http://genome.ucsc.edu/cgi-bin/hgTracks?db=mm10&amp;lastVirtModeType=default&amp;lastVirtModeExtraState=&amp;virtModeType=default&amp;virtMode=0&amp;nonVirtPosition=&amp;position=chr16:92601465-92826074","chr16:92601465-92826074")</f>
        <v>chr16:92601465-92826074</v>
      </c>
      <c r="F532" t="s">
        <v>25</v>
      </c>
      <c r="G532">
        <v>1.2169409111367899</v>
      </c>
      <c r="H532">
        <v>0.243234793210826</v>
      </c>
      <c r="I532">
        <v>5.00315310598676</v>
      </c>
      <c r="J532" s="1">
        <v>5.64001109248381E-7</v>
      </c>
      <c r="K532" s="1">
        <v>1.43040508597445E-5</v>
      </c>
      <c r="L532" t="s">
        <v>26</v>
      </c>
      <c r="M532" t="s">
        <v>27</v>
      </c>
      <c r="N532">
        <v>146.661124723754</v>
      </c>
      <c r="O532">
        <v>78.414640071955304</v>
      </c>
      <c r="P532">
        <v>197.845988212603</v>
      </c>
      <c r="Q532">
        <v>90.757184998933198</v>
      </c>
      <c r="R532">
        <v>45.131335021058</v>
      </c>
      <c r="S532">
        <v>99.355400195874793</v>
      </c>
      <c r="T532">
        <v>183.31818862325099</v>
      </c>
      <c r="U532">
        <v>167.018026179072</v>
      </c>
      <c r="V532">
        <v>253.80050024005899</v>
      </c>
      <c r="W532">
        <v>187.24723780803001</v>
      </c>
    </row>
    <row r="533" spans="1:23" x14ac:dyDescent="0.2">
      <c r="A533" t="s">
        <v>1082</v>
      </c>
      <c r="B533" s="3" t="str">
        <f>HYPERLINK("http://www.ncbi.nlm.nih.gov/gene/71306","Mfap3l")</f>
        <v>Mfap3l</v>
      </c>
      <c r="C533">
        <v>71306</v>
      </c>
      <c r="D533" t="s">
        <v>1083</v>
      </c>
      <c r="E533" s="3" t="str">
        <f>HYPERLINK("http://genome.ucsc.edu/cgi-bin/hgTracks?db=mm10&amp;lastVirtModeType=default&amp;lastVirtModeExtraState=&amp;virtModeType=default&amp;virtMode=0&amp;nonVirtPosition=&amp;position=chr8:60655103-60676731","chr8:60655103-60676731")</f>
        <v>chr8:60655103-60676731</v>
      </c>
      <c r="F533" t="s">
        <v>30</v>
      </c>
      <c r="G533">
        <v>-0.85291145886312503</v>
      </c>
      <c r="H533">
        <v>0.17071920526509601</v>
      </c>
      <c r="I533">
        <v>-4.9959900969472502</v>
      </c>
      <c r="J533" s="1">
        <v>5.8534664361635997E-7</v>
      </c>
      <c r="K533" s="1">
        <v>1.47957667806112E-5</v>
      </c>
      <c r="L533" t="s">
        <v>26</v>
      </c>
      <c r="M533" t="s">
        <v>27</v>
      </c>
      <c r="N533">
        <v>194.79294100028699</v>
      </c>
      <c r="O533">
        <v>268.41199334136098</v>
      </c>
      <c r="P533">
        <v>139.57865174448199</v>
      </c>
      <c r="Q533">
        <v>302.89514502711398</v>
      </c>
      <c r="R533">
        <v>271.54651995863497</v>
      </c>
      <c r="S533">
        <v>230.79431503833399</v>
      </c>
      <c r="T533">
        <v>114.573867889532</v>
      </c>
      <c r="U533">
        <v>134.89917499078899</v>
      </c>
      <c r="V533">
        <v>172.878601612794</v>
      </c>
      <c r="W533">
        <v>135.96296248481099</v>
      </c>
    </row>
    <row r="534" spans="1:23" x14ac:dyDescent="0.2">
      <c r="A534" t="s">
        <v>1084</v>
      </c>
      <c r="B534" s="3" t="str">
        <f>HYPERLINK("http://www.ncbi.nlm.nih.gov/gene/212167","Gsap")</f>
        <v>Gsap</v>
      </c>
      <c r="C534">
        <v>212167</v>
      </c>
      <c r="D534" t="s">
        <v>1085</v>
      </c>
      <c r="E534" s="3" t="str">
        <f>HYPERLINK("http://genome.ucsc.edu/cgi-bin/hgTracks?db=mm10&amp;lastVirtModeType=default&amp;lastVirtModeExtraState=&amp;virtModeType=default&amp;virtMode=0&amp;nonVirtPosition=&amp;position=chr5:21186266-21291701","chr5:21186266-21291701")</f>
        <v>chr5:21186266-21291701</v>
      </c>
      <c r="F534" t="s">
        <v>30</v>
      </c>
      <c r="G534">
        <v>0.71678623239136696</v>
      </c>
      <c r="H534">
        <v>0.14347469706131899</v>
      </c>
      <c r="I534">
        <v>4.9959069234697404</v>
      </c>
      <c r="J534" s="1">
        <v>5.8559901379463398E-7</v>
      </c>
      <c r="K534" s="1">
        <v>1.47957667806112E-5</v>
      </c>
      <c r="L534" t="s">
        <v>26</v>
      </c>
      <c r="M534" t="s">
        <v>27</v>
      </c>
      <c r="N534">
        <v>541.02279160030605</v>
      </c>
      <c r="O534">
        <v>391.13785512374</v>
      </c>
      <c r="P534">
        <v>653.43649395773105</v>
      </c>
      <c r="Q534">
        <v>427.61667533239699</v>
      </c>
      <c r="R534">
        <v>327.67624754784998</v>
      </c>
      <c r="S534">
        <v>418.12064249097301</v>
      </c>
      <c r="T534">
        <v>705.77502619951497</v>
      </c>
      <c r="U534">
        <v>537.45544321726902</v>
      </c>
      <c r="V534">
        <v>696.66398181836598</v>
      </c>
      <c r="W534">
        <v>673.851524595775</v>
      </c>
    </row>
    <row r="535" spans="1:23" x14ac:dyDescent="0.2">
      <c r="A535" t="s">
        <v>1086</v>
      </c>
      <c r="B535" s="3" t="str">
        <f>HYPERLINK("http://www.ncbi.nlm.nih.gov/gene/338370","Nalcn")</f>
        <v>Nalcn</v>
      </c>
      <c r="C535">
        <v>338370</v>
      </c>
      <c r="D535" t="s">
        <v>1087</v>
      </c>
      <c r="E535" s="3" t="str">
        <f>HYPERLINK("http://genome.ucsc.edu/cgi-bin/hgTracks?db=mm10&amp;lastVirtModeType=default&amp;lastVirtModeExtraState=&amp;virtModeType=default&amp;virtMode=0&amp;nonVirtPosition=&amp;position=chr14:123276640-123627144","chr14:123276640-123627144")</f>
        <v>chr14:123276640-123627144</v>
      </c>
      <c r="F535" t="s">
        <v>25</v>
      </c>
      <c r="G535">
        <v>-0.99426724586372695</v>
      </c>
      <c r="H535">
        <v>0.19927009253344399</v>
      </c>
      <c r="I535">
        <v>-4.9895457628537896</v>
      </c>
      <c r="J535" s="1">
        <v>6.0521435991819E-7</v>
      </c>
      <c r="K535" s="1">
        <v>1.5262571551157199E-5</v>
      </c>
      <c r="L535" t="s">
        <v>26</v>
      </c>
      <c r="M535" t="s">
        <v>27</v>
      </c>
      <c r="N535">
        <v>368.58869937403301</v>
      </c>
      <c r="O535">
        <v>525.87612350122004</v>
      </c>
      <c r="P535">
        <v>250.623131278643</v>
      </c>
      <c r="Q535">
        <v>728.28465017548797</v>
      </c>
      <c r="R535">
        <v>414.14636842853201</v>
      </c>
      <c r="S535">
        <v>435.19735189963899</v>
      </c>
      <c r="T535">
        <v>261.22841878813199</v>
      </c>
      <c r="U535">
        <v>207.701904350897</v>
      </c>
      <c r="V535">
        <v>269.98487996551302</v>
      </c>
      <c r="W535">
        <v>263.57732201002898</v>
      </c>
    </row>
    <row r="536" spans="1:23" x14ac:dyDescent="0.2">
      <c r="A536" t="s">
        <v>1088</v>
      </c>
      <c r="B536" s="3" t="str">
        <f>HYPERLINK("http://www.ncbi.nlm.nih.gov/gene/17992","Ndufa4")</f>
        <v>Ndufa4</v>
      </c>
      <c r="C536">
        <v>17992</v>
      </c>
      <c r="D536" t="s">
        <v>1089</v>
      </c>
      <c r="E536" s="3" t="str">
        <f>HYPERLINK("http://genome.ucsc.edu/cgi-bin/hgTracks?db=mm10&amp;lastVirtModeType=default&amp;lastVirtModeExtraState=&amp;virtModeType=default&amp;virtMode=0&amp;nonVirtPosition=&amp;position=chr6:11900372-11907446","chr6:11900372-11907446")</f>
        <v>chr6:11900372-11907446</v>
      </c>
      <c r="F536" t="s">
        <v>25</v>
      </c>
      <c r="G536">
        <v>-0.64981571475445599</v>
      </c>
      <c r="H536">
        <v>0.13027736311799201</v>
      </c>
      <c r="I536">
        <v>-4.9879403389974897</v>
      </c>
      <c r="J536" s="1">
        <v>6.1026407066195996E-7</v>
      </c>
      <c r="K536" s="1">
        <v>1.5357994270508901E-5</v>
      </c>
      <c r="L536" t="s">
        <v>26</v>
      </c>
      <c r="M536" t="s">
        <v>27</v>
      </c>
      <c r="N536">
        <v>330.84158813021799</v>
      </c>
      <c r="O536">
        <v>417.535517902734</v>
      </c>
      <c r="P536">
        <v>265.82114080083198</v>
      </c>
      <c r="Q536">
        <v>437.6389411605</v>
      </c>
      <c r="R536">
        <v>440.314957642423</v>
      </c>
      <c r="S536">
        <v>374.65265490527798</v>
      </c>
      <c r="T536">
        <v>288.72614708162001</v>
      </c>
      <c r="U536">
        <v>269.79834998157702</v>
      </c>
      <c r="V536">
        <v>272.19184083716499</v>
      </c>
      <c r="W536">
        <v>232.56822530296699</v>
      </c>
    </row>
    <row r="537" spans="1:23" x14ac:dyDescent="0.2">
      <c r="A537" t="s">
        <v>1090</v>
      </c>
      <c r="B537" s="3" t="str">
        <f>HYPERLINK("http://www.ncbi.nlm.nih.gov/gene/71946","Endod1")</f>
        <v>Endod1</v>
      </c>
      <c r="C537">
        <v>71946</v>
      </c>
      <c r="D537" t="s">
        <v>1091</v>
      </c>
      <c r="E537" s="3" t="str">
        <f>HYPERLINK("http://genome.ucsc.edu/cgi-bin/hgTracks?db=mm10&amp;lastVirtModeType=default&amp;lastVirtModeExtraState=&amp;virtModeType=default&amp;virtMode=0&amp;nonVirtPosition=&amp;position=chr9:14353989-14381242","chr9:14353989-14381242")</f>
        <v>chr9:14353989-14381242</v>
      </c>
      <c r="F537" t="s">
        <v>25</v>
      </c>
      <c r="G537">
        <v>-0.78736435157103302</v>
      </c>
      <c r="H537">
        <v>0.15786389570843901</v>
      </c>
      <c r="I537">
        <v>-4.9876151100770203</v>
      </c>
      <c r="J537" s="1">
        <v>6.1129198313652902E-7</v>
      </c>
      <c r="K537" s="1">
        <v>1.5357994270508901E-5</v>
      </c>
      <c r="L537" t="s">
        <v>26</v>
      </c>
      <c r="M537" t="s">
        <v>27</v>
      </c>
      <c r="N537">
        <v>240.407974034951</v>
      </c>
      <c r="O537">
        <v>320.671102356022</v>
      </c>
      <c r="P537">
        <v>180.210627794147</v>
      </c>
      <c r="Q537">
        <v>379.17572382989903</v>
      </c>
      <c r="R537">
        <v>309.092756656826</v>
      </c>
      <c r="S537">
        <v>273.74482658134201</v>
      </c>
      <c r="T537">
        <v>164.98636976092499</v>
      </c>
      <c r="U537">
        <v>186.289336892042</v>
      </c>
      <c r="V537">
        <v>169.20033349337299</v>
      </c>
      <c r="W537">
        <v>200.36647103024799</v>
      </c>
    </row>
    <row r="538" spans="1:23" x14ac:dyDescent="0.2">
      <c r="A538" t="s">
        <v>1092</v>
      </c>
      <c r="B538" s="3" t="str">
        <f>HYPERLINK("http://www.ncbi.nlm.nih.gov/gene/268739","Arhgef40")</f>
        <v>Arhgef40</v>
      </c>
      <c r="C538">
        <v>268739</v>
      </c>
      <c r="D538" t="s">
        <v>1093</v>
      </c>
      <c r="E538" s="3" t="str">
        <f>HYPERLINK("http://genome.ucsc.edu/cgi-bin/hgTracks?db=mm10&amp;lastVirtModeType=default&amp;lastVirtModeExtraState=&amp;virtModeType=default&amp;virtMode=0&amp;nonVirtPosition=&amp;position=chr14:51984832-52006247","chr14:51984832-52006247")</f>
        <v>chr14:51984832-52006247</v>
      </c>
      <c r="F538" t="s">
        <v>30</v>
      </c>
      <c r="G538">
        <v>0.70708754148985697</v>
      </c>
      <c r="H538">
        <v>0.141802598658787</v>
      </c>
      <c r="I538">
        <v>4.9864216042421798</v>
      </c>
      <c r="J538" s="1">
        <v>6.1507847374911297E-7</v>
      </c>
      <c r="K538" s="1">
        <v>1.5424186969989499E-5</v>
      </c>
      <c r="L538" t="s">
        <v>26</v>
      </c>
      <c r="M538" t="s">
        <v>27</v>
      </c>
      <c r="N538">
        <v>1071.0757800558599</v>
      </c>
      <c r="O538">
        <v>776.905266577166</v>
      </c>
      <c r="P538">
        <v>1291.70366516488</v>
      </c>
      <c r="Q538">
        <v>816.81466499039902</v>
      </c>
      <c r="R538">
        <v>619.70253297822501</v>
      </c>
      <c r="S538">
        <v>894.19860176287295</v>
      </c>
      <c r="T538">
        <v>1356.5545958120499</v>
      </c>
      <c r="U538">
        <v>1366.1218038749701</v>
      </c>
      <c r="V538">
        <v>1230.0128591344301</v>
      </c>
      <c r="W538">
        <v>1214.12540183805</v>
      </c>
    </row>
    <row r="539" spans="1:23" x14ac:dyDescent="0.2">
      <c r="A539" t="s">
        <v>1094</v>
      </c>
      <c r="B539" s="3" t="str">
        <f>HYPERLINK("http://www.ncbi.nlm.nih.gov/gene/407786","Taf9b")</f>
        <v>Taf9b</v>
      </c>
      <c r="C539">
        <v>407786</v>
      </c>
      <c r="D539" t="s">
        <v>1095</v>
      </c>
      <c r="E539" s="3" t="str">
        <f>HYPERLINK("http://genome.ucsc.edu/cgi-bin/hgTracks?db=mm10&amp;lastVirtModeType=default&amp;lastVirtModeExtraState=&amp;virtModeType=default&amp;virtMode=0&amp;nonVirtPosition=&amp;position=chrX:106206873-106221158","chrX:106206873-106221158")</f>
        <v>chrX:106206873-106221158</v>
      </c>
      <c r="F539" t="s">
        <v>25</v>
      </c>
      <c r="G539">
        <v>-1.04168411201438</v>
      </c>
      <c r="H539">
        <v>0.209050605438902</v>
      </c>
      <c r="I539">
        <v>-4.9829279844818499</v>
      </c>
      <c r="J539" s="1">
        <v>6.2629264545574496E-7</v>
      </c>
      <c r="K539" s="1">
        <v>1.56760463837343E-5</v>
      </c>
      <c r="L539" t="s">
        <v>26</v>
      </c>
      <c r="M539" t="s">
        <v>27</v>
      </c>
      <c r="N539">
        <v>254.88849028281501</v>
      </c>
      <c r="O539">
        <v>368.69931173405001</v>
      </c>
      <c r="P539">
        <v>169.530374194389</v>
      </c>
      <c r="Q539">
        <v>477.728004472912</v>
      </c>
      <c r="R539">
        <v>375.841621898055</v>
      </c>
      <c r="S539">
        <v>252.52830883118199</v>
      </c>
      <c r="T539">
        <v>192.48409805441301</v>
      </c>
      <c r="U539">
        <v>130.61666149901799</v>
      </c>
      <c r="V539">
        <v>186.856020466594</v>
      </c>
      <c r="W539">
        <v>168.16471675752999</v>
      </c>
    </row>
    <row r="540" spans="1:23" x14ac:dyDescent="0.2">
      <c r="A540" t="s">
        <v>1096</v>
      </c>
      <c r="B540" s="3" t="str">
        <f>HYPERLINK("http://www.ncbi.nlm.nih.gov/gene/231329","Polr2b")</f>
        <v>Polr2b</v>
      </c>
      <c r="C540">
        <v>231329</v>
      </c>
      <c r="D540" t="s">
        <v>1097</v>
      </c>
      <c r="E540" s="3" t="str">
        <f>HYPERLINK("http://genome.ucsc.edu/cgi-bin/hgTracks?db=mm10&amp;lastVirtModeType=default&amp;lastVirtModeExtraState=&amp;virtModeType=default&amp;virtMode=0&amp;nonVirtPosition=&amp;position=chr5:77310483-77349328","chr5:77310483-77349328")</f>
        <v>chr5:77310483-77349328</v>
      </c>
      <c r="F540" t="s">
        <v>30</v>
      </c>
      <c r="G540">
        <v>-0.65683512115673703</v>
      </c>
      <c r="H540">
        <v>0.131848709577368</v>
      </c>
      <c r="I540">
        <v>-4.9817334068886803</v>
      </c>
      <c r="J540" s="1">
        <v>6.3017213539345596E-7</v>
      </c>
      <c r="K540" s="1">
        <v>1.5743722136294401E-5</v>
      </c>
      <c r="L540" t="s">
        <v>26</v>
      </c>
      <c r="M540" t="s">
        <v>27</v>
      </c>
      <c r="N540">
        <v>615.995009254759</v>
      </c>
      <c r="O540">
        <v>788.87752610357904</v>
      </c>
      <c r="P540">
        <v>486.33312161814501</v>
      </c>
      <c r="Q540">
        <v>731.62540545152297</v>
      </c>
      <c r="R540">
        <v>879.49215053641603</v>
      </c>
      <c r="S540">
        <v>755.51502232279802</v>
      </c>
      <c r="T540">
        <v>417.04887911789501</v>
      </c>
      <c r="U540">
        <v>456.08768687361902</v>
      </c>
      <c r="V540">
        <v>551.00456428928806</v>
      </c>
      <c r="W540">
        <v>521.191356191777</v>
      </c>
    </row>
    <row r="541" spans="1:23" x14ac:dyDescent="0.2">
      <c r="A541" t="s">
        <v>1098</v>
      </c>
      <c r="B541" s="3" t="str">
        <f>HYPERLINK("http://www.ncbi.nlm.nih.gov/gene/15229","Foxd1")</f>
        <v>Foxd1</v>
      </c>
      <c r="C541">
        <v>15229</v>
      </c>
      <c r="D541" t="s">
        <v>1099</v>
      </c>
      <c r="E541" s="3" t="str">
        <f>HYPERLINK("http://genome.ucsc.edu/cgi-bin/hgTracks?db=mm10&amp;lastVirtModeType=default&amp;lastVirtModeExtraState=&amp;virtModeType=default&amp;virtMode=0&amp;nonVirtPosition=&amp;position=chr13:98354244-98356705","chr13:98354244-98356705")</f>
        <v>chr13:98354244-98356705</v>
      </c>
      <c r="F541" t="s">
        <v>30</v>
      </c>
      <c r="G541">
        <v>1.8932577727904301</v>
      </c>
      <c r="H541">
        <v>0.38013592888374698</v>
      </c>
      <c r="I541">
        <v>4.9804757428478501</v>
      </c>
      <c r="J541" s="1">
        <v>6.3428152887481396E-7</v>
      </c>
      <c r="K541" s="1">
        <v>1.5816878869949001E-5</v>
      </c>
      <c r="L541" t="s">
        <v>26</v>
      </c>
      <c r="M541" t="s">
        <v>27</v>
      </c>
      <c r="N541">
        <v>11.7792233979741</v>
      </c>
      <c r="O541">
        <v>2.50288377125981</v>
      </c>
      <c r="P541">
        <v>18.736478118009799</v>
      </c>
      <c r="Q541">
        <v>2.78396273002862</v>
      </c>
      <c r="R541">
        <v>2.6547844130034099</v>
      </c>
      <c r="S541">
        <v>2.0699041707473902</v>
      </c>
      <c r="T541">
        <v>4.58295471558126</v>
      </c>
      <c r="U541">
        <v>34.260107934168602</v>
      </c>
      <c r="V541">
        <v>20.5983014687584</v>
      </c>
      <c r="W541">
        <v>15.504548353531099</v>
      </c>
    </row>
    <row r="542" spans="1:23" x14ac:dyDescent="0.2">
      <c r="A542" t="s">
        <v>1100</v>
      </c>
      <c r="B542" s="3" t="str">
        <f>HYPERLINK("http://www.ncbi.nlm.nih.gov/gene/63873","Trpv4")</f>
        <v>Trpv4</v>
      </c>
      <c r="C542">
        <v>63873</v>
      </c>
      <c r="D542" t="s">
        <v>1101</v>
      </c>
      <c r="E542" s="3" t="str">
        <f>HYPERLINK("http://genome.ucsc.edu/cgi-bin/hgTracks?db=mm10&amp;lastVirtModeType=default&amp;lastVirtModeExtraState=&amp;virtModeType=default&amp;virtMode=0&amp;nonVirtPosition=&amp;position=chr5:114622153-114658421","chr5:114622153-114658421")</f>
        <v>chr5:114622153-114658421</v>
      </c>
      <c r="F542" t="s">
        <v>25</v>
      </c>
      <c r="G542">
        <v>1.33596027173125</v>
      </c>
      <c r="H542">
        <v>0.26827728074742102</v>
      </c>
      <c r="I542">
        <v>4.97977416503279</v>
      </c>
      <c r="J542" s="1">
        <v>6.3658513080858996E-7</v>
      </c>
      <c r="K542" s="1">
        <v>1.5844816889698602E-5</v>
      </c>
      <c r="L542" t="s">
        <v>26</v>
      </c>
      <c r="M542" t="s">
        <v>27</v>
      </c>
      <c r="N542">
        <v>46.723815161466597</v>
      </c>
      <c r="O542">
        <v>22.0519462476115</v>
      </c>
      <c r="P542">
        <v>65.227716846857902</v>
      </c>
      <c r="Q542">
        <v>23.9420794782462</v>
      </c>
      <c r="R542">
        <v>20.479765471740599</v>
      </c>
      <c r="S542">
        <v>21.733993792847599</v>
      </c>
      <c r="T542">
        <v>91.659094311625296</v>
      </c>
      <c r="U542">
        <v>32.118851188283003</v>
      </c>
      <c r="V542">
        <v>69.151440645117603</v>
      </c>
      <c r="W542">
        <v>67.981481242405707</v>
      </c>
    </row>
    <row r="543" spans="1:23" x14ac:dyDescent="0.2">
      <c r="A543" t="s">
        <v>1102</v>
      </c>
      <c r="B543" s="3" t="str">
        <f>HYPERLINK("http://www.ncbi.nlm.nih.gov/gene/264064","Cdk8")</f>
        <v>Cdk8</v>
      </c>
      <c r="C543">
        <v>264064</v>
      </c>
      <c r="D543" t="s">
        <v>1103</v>
      </c>
      <c r="E543" s="3" t="str">
        <f>HYPERLINK("http://genome.ucsc.edu/cgi-bin/hgTracks?db=mm10&amp;lastVirtModeType=default&amp;lastVirtModeExtraState=&amp;virtModeType=default&amp;virtMode=0&amp;nonVirtPosition=&amp;position=chr5:146231674-146302874","chr5:146231674-146302874")</f>
        <v>chr5:146231674-146302874</v>
      </c>
      <c r="F543" t="s">
        <v>30</v>
      </c>
      <c r="G543">
        <v>0.87752095832255606</v>
      </c>
      <c r="H543">
        <v>0.17624122309399901</v>
      </c>
      <c r="I543">
        <v>4.9790902657009397</v>
      </c>
      <c r="J543" s="1">
        <v>6.3883844594879204E-7</v>
      </c>
      <c r="K543" s="1">
        <v>1.5871401910390102E-5</v>
      </c>
      <c r="L543" t="s">
        <v>26</v>
      </c>
      <c r="M543" t="s">
        <v>27</v>
      </c>
      <c r="N543">
        <v>368.74330492617298</v>
      </c>
      <c r="O543">
        <v>245.65922280152</v>
      </c>
      <c r="P543">
        <v>461.05636651966302</v>
      </c>
      <c r="Q543">
        <v>187.639088003929</v>
      </c>
      <c r="R543">
        <v>253.34228398375399</v>
      </c>
      <c r="S543">
        <v>295.99629641687699</v>
      </c>
      <c r="T543">
        <v>352.88751309975697</v>
      </c>
      <c r="U543">
        <v>483.924024570131</v>
      </c>
      <c r="V543">
        <v>467.14005116648599</v>
      </c>
      <c r="W543">
        <v>540.27387724227697</v>
      </c>
    </row>
    <row r="544" spans="1:23" x14ac:dyDescent="0.2">
      <c r="A544" t="s">
        <v>1104</v>
      </c>
      <c r="B544" s="3" t="str">
        <f>HYPERLINK("http://www.ncbi.nlm.nih.gov/gene/227525","Dclre1c")</f>
        <v>Dclre1c</v>
      </c>
      <c r="C544">
        <v>227525</v>
      </c>
      <c r="D544" t="s">
        <v>1105</v>
      </c>
      <c r="E544" s="3" t="str">
        <f>HYPERLINK("http://genome.ucsc.edu/cgi-bin/hgTracks?db=mm10&amp;lastVirtModeType=default&amp;lastVirtModeExtraState=&amp;virtModeType=default&amp;virtMode=0&amp;nonVirtPosition=&amp;position=chr2:3424130-3461116","chr2:3424130-3461116")</f>
        <v>chr2:3424130-3461116</v>
      </c>
      <c r="F544" t="s">
        <v>30</v>
      </c>
      <c r="G544">
        <v>1.04433774765191</v>
      </c>
      <c r="H544">
        <v>0.20982816763163001</v>
      </c>
      <c r="I544">
        <v>4.9771094102357596</v>
      </c>
      <c r="J544" s="1">
        <v>6.4540843981906001E-7</v>
      </c>
      <c r="K544" s="1">
        <v>1.6004934106698199E-5</v>
      </c>
      <c r="L544" t="s">
        <v>26</v>
      </c>
      <c r="M544" t="s">
        <v>27</v>
      </c>
      <c r="N544">
        <v>71.580597804433694</v>
      </c>
      <c r="O544">
        <v>43.160194057552602</v>
      </c>
      <c r="P544">
        <v>92.895900614594595</v>
      </c>
      <c r="Q544">
        <v>43.429818588446601</v>
      </c>
      <c r="R544">
        <v>37.925491614334497</v>
      </c>
      <c r="S544">
        <v>48.125271969876799</v>
      </c>
      <c r="T544">
        <v>91.659094311625296</v>
      </c>
      <c r="U544">
        <v>74.943986105993702</v>
      </c>
      <c r="V544">
        <v>90.4853957377603</v>
      </c>
      <c r="W544">
        <v>114.495126302999</v>
      </c>
    </row>
    <row r="545" spans="1:23" x14ac:dyDescent="0.2">
      <c r="A545" t="s">
        <v>1106</v>
      </c>
      <c r="B545" s="3" t="str">
        <f>HYPERLINK("http://www.ncbi.nlm.nih.gov/gene/110524","Dgkq")</f>
        <v>Dgkq</v>
      </c>
      <c r="C545">
        <v>110524</v>
      </c>
      <c r="D545" t="s">
        <v>1107</v>
      </c>
      <c r="E545" s="3" t="str">
        <f>HYPERLINK("http://genome.ucsc.edu/cgi-bin/hgTracks?db=mm10&amp;lastVirtModeType=default&amp;lastVirtModeExtraState=&amp;virtModeType=default&amp;virtMode=0&amp;nonVirtPosition=&amp;position=chr5:108647043-108660769","chr5:108647043-108660769")</f>
        <v>chr5:108647043-108660769</v>
      </c>
      <c r="F545" t="s">
        <v>25</v>
      </c>
      <c r="G545">
        <v>0.76633026630734802</v>
      </c>
      <c r="H545">
        <v>0.15405936291230801</v>
      </c>
      <c r="I545">
        <v>4.9742531178942304</v>
      </c>
      <c r="J545" s="1">
        <v>6.5499679787621504E-7</v>
      </c>
      <c r="K545" s="1">
        <v>1.62126841411468E-5</v>
      </c>
      <c r="L545" t="s">
        <v>26</v>
      </c>
      <c r="M545" t="s">
        <v>27</v>
      </c>
      <c r="N545">
        <v>126.492756371627</v>
      </c>
      <c r="O545">
        <v>88.171163001067896</v>
      </c>
      <c r="P545">
        <v>155.23395139954499</v>
      </c>
      <c r="Q545">
        <v>83.518881900858702</v>
      </c>
      <c r="R545">
        <v>88.366395461399307</v>
      </c>
      <c r="S545">
        <v>92.628211640945693</v>
      </c>
      <c r="T545">
        <v>160.40341504534399</v>
      </c>
      <c r="U545">
        <v>164.87676943318601</v>
      </c>
      <c r="V545">
        <v>144.18811028130901</v>
      </c>
      <c r="W545">
        <v>151.46751083834201</v>
      </c>
    </row>
    <row r="546" spans="1:23" x14ac:dyDescent="0.2">
      <c r="A546" t="s">
        <v>1108</v>
      </c>
      <c r="B546" s="3" t="str">
        <f>HYPERLINK("http://www.ncbi.nlm.nih.gov/gene/622459","Gm12216")</f>
        <v>Gm12216</v>
      </c>
      <c r="C546">
        <v>622459</v>
      </c>
      <c r="D546" t="s">
        <v>1109</v>
      </c>
      <c r="E546" s="3" t="str">
        <f>HYPERLINK("http://genome.ucsc.edu/cgi-bin/hgTracks?db=mm10&amp;lastVirtModeType=default&amp;lastVirtModeExtraState=&amp;virtModeType=default&amp;virtMode=0&amp;nonVirtPosition=&amp;position=chr11:53785488-53859256","chr11:53785488-53859256")</f>
        <v>chr11:53785488-53859256</v>
      </c>
      <c r="F546" t="s">
        <v>25</v>
      </c>
      <c r="G546">
        <v>1.8469617058922001</v>
      </c>
      <c r="H546">
        <v>0.37141929535216001</v>
      </c>
      <c r="I546">
        <v>4.9727133969736599</v>
      </c>
      <c r="J546" s="1">
        <v>6.6022232079787403E-7</v>
      </c>
      <c r="K546" s="1">
        <v>1.6311876564214599E-5</v>
      </c>
      <c r="L546" t="s">
        <v>26</v>
      </c>
      <c r="M546" t="s">
        <v>27</v>
      </c>
      <c r="N546">
        <v>18.715235610525699</v>
      </c>
      <c r="O546">
        <v>3.9365445694604801</v>
      </c>
      <c r="P546">
        <v>29.7992538913246</v>
      </c>
      <c r="Q546">
        <v>5.5679254600572499</v>
      </c>
      <c r="R546">
        <v>4.1718040775767902</v>
      </c>
      <c r="S546">
        <v>2.0699041707473902</v>
      </c>
      <c r="T546">
        <v>59.578411302556397</v>
      </c>
      <c r="U546">
        <v>14.9887972211987</v>
      </c>
      <c r="V546">
        <v>18.391340597105799</v>
      </c>
      <c r="W546">
        <v>26.2384664444373</v>
      </c>
    </row>
    <row r="547" spans="1:23" x14ac:dyDescent="0.2">
      <c r="A547" t="s">
        <v>1110</v>
      </c>
      <c r="B547" s="3" t="str">
        <f>HYPERLINK("http://www.ncbi.nlm.nih.gov/gene/50880","Scly")</f>
        <v>Scly</v>
      </c>
      <c r="C547">
        <v>50880</v>
      </c>
      <c r="D547" t="s">
        <v>1111</v>
      </c>
      <c r="E547" s="3" t="str">
        <f>HYPERLINK("http://genome.ucsc.edu/cgi-bin/hgTracks?db=mm10&amp;lastVirtModeType=default&amp;lastVirtModeExtraState=&amp;virtModeType=default&amp;virtMode=0&amp;nonVirtPosition=&amp;position=chr1:91298337-91321080","chr1:91298337-91321080")</f>
        <v>chr1:91298337-91321080</v>
      </c>
      <c r="F547" t="s">
        <v>30</v>
      </c>
      <c r="G547">
        <v>0.91459887755300595</v>
      </c>
      <c r="H547">
        <v>0.18398088914236499</v>
      </c>
      <c r="I547">
        <v>4.9711623952707802</v>
      </c>
      <c r="J547" s="1">
        <v>6.6552673500689804E-7</v>
      </c>
      <c r="K547" s="1">
        <v>1.64126491868828E-5</v>
      </c>
      <c r="L547" t="s">
        <v>26</v>
      </c>
      <c r="M547" t="s">
        <v>27</v>
      </c>
      <c r="N547">
        <v>109.371036190252</v>
      </c>
      <c r="O547">
        <v>69.346913483411299</v>
      </c>
      <c r="P547">
        <v>139.38912822038299</v>
      </c>
      <c r="Q547">
        <v>59.0200098766068</v>
      </c>
      <c r="R547">
        <v>78.126512725528997</v>
      </c>
      <c r="S547">
        <v>70.894217848098094</v>
      </c>
      <c r="T547">
        <v>174.152279192088</v>
      </c>
      <c r="U547">
        <v>111.345350786048</v>
      </c>
      <c r="V547">
        <v>136.09592041858301</v>
      </c>
      <c r="W547">
        <v>135.96296248481099</v>
      </c>
    </row>
    <row r="548" spans="1:23" x14ac:dyDescent="0.2">
      <c r="A548" t="s">
        <v>1112</v>
      </c>
      <c r="B548" s="3" t="str">
        <f>HYPERLINK("http://www.ncbi.nlm.nih.gov/gene/71900","Tmem106b")</f>
        <v>Tmem106b</v>
      </c>
      <c r="C548">
        <v>71900</v>
      </c>
      <c r="D548" t="s">
        <v>1113</v>
      </c>
      <c r="E548" s="3" t="str">
        <f>HYPERLINK("http://genome.ucsc.edu/cgi-bin/hgTracks?db=mm10&amp;lastVirtModeType=default&amp;lastVirtModeExtraState=&amp;virtModeType=default&amp;virtMode=0&amp;nonVirtPosition=&amp;position=chr6:13069758-13089269","chr6:13069758-13089269")</f>
        <v>chr6:13069758-13089269</v>
      </c>
      <c r="F548" t="s">
        <v>30</v>
      </c>
      <c r="G548">
        <v>-0.98035081100341903</v>
      </c>
      <c r="H548">
        <v>0.19727736186046199</v>
      </c>
      <c r="I548">
        <v>-4.9694034924130799</v>
      </c>
      <c r="J548" s="1">
        <v>6.7159186653337695E-7</v>
      </c>
      <c r="K548" s="1">
        <v>1.6501744291704502E-5</v>
      </c>
      <c r="L548" t="s">
        <v>26</v>
      </c>
      <c r="M548" t="s">
        <v>27</v>
      </c>
      <c r="N548">
        <v>892.63288471423198</v>
      </c>
      <c r="O548">
        <v>1267.17092389394</v>
      </c>
      <c r="P548">
        <v>611.72935532944996</v>
      </c>
      <c r="Q548">
        <v>1769.48671120619</v>
      </c>
      <c r="R548">
        <v>1090.73713882826</v>
      </c>
      <c r="S548">
        <v>941.28892164737601</v>
      </c>
      <c r="T548">
        <v>609.53297717230805</v>
      </c>
      <c r="U548">
        <v>584.56309162675097</v>
      </c>
      <c r="V548">
        <v>701.81355718555596</v>
      </c>
      <c r="W548">
        <v>551.00779533318303</v>
      </c>
    </row>
    <row r="549" spans="1:23" x14ac:dyDescent="0.2">
      <c r="A549" t="s">
        <v>1114</v>
      </c>
      <c r="B549" s="3" t="str">
        <f>HYPERLINK("http://www.ncbi.nlm.nih.gov/gene/78816","Gmip")</f>
        <v>Gmip</v>
      </c>
      <c r="C549">
        <v>78816</v>
      </c>
      <c r="D549" t="s">
        <v>1115</v>
      </c>
      <c r="E549" s="3" t="str">
        <f>HYPERLINK("http://genome.ucsc.edu/cgi-bin/hgTracks?db=mm10&amp;lastVirtModeType=default&amp;lastVirtModeExtraState=&amp;virtModeType=default&amp;virtMode=0&amp;nonVirtPosition=&amp;position=chr8:69808686-69821870","chr8:69808686-69821870")</f>
        <v>chr8:69808686-69821870</v>
      </c>
      <c r="F549" t="s">
        <v>30</v>
      </c>
      <c r="G549">
        <v>1.1446065915005601</v>
      </c>
      <c r="H549">
        <v>0.23033094565728501</v>
      </c>
      <c r="I549">
        <v>4.9693999572408698</v>
      </c>
      <c r="J549" s="1">
        <v>6.7160411014703596E-7</v>
      </c>
      <c r="K549" s="1">
        <v>1.6501744291704502E-5</v>
      </c>
      <c r="L549" t="s">
        <v>26</v>
      </c>
      <c r="M549" t="s">
        <v>27</v>
      </c>
      <c r="N549">
        <v>98.420233911365202</v>
      </c>
      <c r="O549">
        <v>54.238257601710004</v>
      </c>
      <c r="P549">
        <v>131.55671614360699</v>
      </c>
      <c r="Q549">
        <v>65.144727882669798</v>
      </c>
      <c r="R549">
        <v>43.2350604403413</v>
      </c>
      <c r="S549">
        <v>54.334984482118998</v>
      </c>
      <c r="T549">
        <v>142.07159618301901</v>
      </c>
      <c r="U549">
        <v>139.18168848255999</v>
      </c>
      <c r="V549">
        <v>87.542781242223398</v>
      </c>
      <c r="W549">
        <v>157.43079866662401</v>
      </c>
    </row>
    <row r="550" spans="1:23" x14ac:dyDescent="0.2">
      <c r="A550" t="s">
        <v>1116</v>
      </c>
      <c r="B550" s="3" t="str">
        <f>HYPERLINK("http://www.ncbi.nlm.nih.gov/gene/13555","E2f1")</f>
        <v>E2f1</v>
      </c>
      <c r="C550">
        <v>13555</v>
      </c>
      <c r="D550" t="s">
        <v>1117</v>
      </c>
      <c r="E550" s="3" t="str">
        <f>HYPERLINK("http://genome.ucsc.edu/cgi-bin/hgTracks?db=mm10&amp;lastVirtModeType=default&amp;lastVirtModeExtraState=&amp;virtModeType=default&amp;virtMode=0&amp;nonVirtPosition=&amp;position=chr2:154559399-154569892","chr2:154559399-154569892")</f>
        <v>chr2:154559399-154569892</v>
      </c>
      <c r="F550" t="s">
        <v>25</v>
      </c>
      <c r="G550">
        <v>1.26495908540344</v>
      </c>
      <c r="H550">
        <v>0.254902653324029</v>
      </c>
      <c r="I550">
        <v>4.9625183139833604</v>
      </c>
      <c r="J550" s="1">
        <v>6.9585002862626098E-7</v>
      </c>
      <c r="K550" s="1">
        <v>1.7049636132144399E-5</v>
      </c>
      <c r="L550" t="s">
        <v>26</v>
      </c>
      <c r="M550" t="s">
        <v>27</v>
      </c>
      <c r="N550">
        <v>61.024006893864197</v>
      </c>
      <c r="O550">
        <v>30.3720274621075</v>
      </c>
      <c r="P550">
        <v>84.012991467681701</v>
      </c>
      <c r="Q550">
        <v>18.930946564194599</v>
      </c>
      <c r="R550">
        <v>33.3744326206143</v>
      </c>
      <c r="S550">
        <v>38.810703201513597</v>
      </c>
      <c r="T550">
        <v>91.659094311625296</v>
      </c>
      <c r="U550">
        <v>100.63906705661999</v>
      </c>
      <c r="V550">
        <v>75.772323260075694</v>
      </c>
      <c r="W550">
        <v>67.981481242405707</v>
      </c>
    </row>
    <row r="551" spans="1:23" x14ac:dyDescent="0.2">
      <c r="A551" t="s">
        <v>1118</v>
      </c>
      <c r="B551" s="3" t="str">
        <f>HYPERLINK("http://www.ncbi.nlm.nih.gov/gene/70237","Bhlhb9")</f>
        <v>Bhlhb9</v>
      </c>
      <c r="C551">
        <v>70237</v>
      </c>
      <c r="D551" t="s">
        <v>1119</v>
      </c>
      <c r="E551" s="3" t="str">
        <f>HYPERLINK("http://genome.ucsc.edu/cgi-bin/hgTracks?db=mm10&amp;lastVirtModeType=default&amp;lastVirtModeExtraState=&amp;virtModeType=default&amp;virtMode=0&amp;nonVirtPosition=&amp;position=chrX:135885850-135891081","chrX:135885850-135891081")</f>
        <v>chrX:135885850-135891081</v>
      </c>
      <c r="F551" t="s">
        <v>30</v>
      </c>
      <c r="G551">
        <v>-0.58795797034932495</v>
      </c>
      <c r="H551">
        <v>0.118483748248788</v>
      </c>
      <c r="I551">
        <v>-4.9623512003920798</v>
      </c>
      <c r="J551" s="1">
        <v>6.9644917961937104E-7</v>
      </c>
      <c r="K551" s="1">
        <v>1.7049636132144399E-5</v>
      </c>
      <c r="L551" t="s">
        <v>26</v>
      </c>
      <c r="M551" t="s">
        <v>27</v>
      </c>
      <c r="N551">
        <v>432.39688106246598</v>
      </c>
      <c r="O551">
        <v>537.20679354460196</v>
      </c>
      <c r="P551">
        <v>353.789446700864</v>
      </c>
      <c r="Q551">
        <v>515.589897601301</v>
      </c>
      <c r="R551">
        <v>548.02335382713295</v>
      </c>
      <c r="S551">
        <v>548.00712920537205</v>
      </c>
      <c r="T551">
        <v>343.72160366859498</v>
      </c>
      <c r="U551">
        <v>385.42621425939598</v>
      </c>
      <c r="V551">
        <v>375.91900180484203</v>
      </c>
      <c r="W551">
        <v>310.09096707062201</v>
      </c>
    </row>
    <row r="552" spans="1:23" x14ac:dyDescent="0.2">
      <c r="A552" t="s">
        <v>1120</v>
      </c>
      <c r="B552" s="3" t="str">
        <f>HYPERLINK("http://www.ncbi.nlm.nih.gov/gene/329942","Csmd2")</f>
        <v>Csmd2</v>
      </c>
      <c r="C552">
        <v>329942</v>
      </c>
      <c r="D552" t="s">
        <v>1121</v>
      </c>
      <c r="E552" s="3" t="str">
        <f>HYPERLINK("http://genome.ucsc.edu/cgi-bin/hgTracks?db=mm10&amp;lastVirtModeType=default&amp;lastVirtModeExtraState=&amp;virtModeType=default&amp;virtMode=0&amp;nonVirtPosition=&amp;position=chr4:127988043-128567656","chr4:127988043-128567656")</f>
        <v>chr4:127988043-128567656</v>
      </c>
      <c r="F552" t="s">
        <v>30</v>
      </c>
      <c r="G552">
        <v>0.89414939056947096</v>
      </c>
      <c r="H552">
        <v>0.18032077084075199</v>
      </c>
      <c r="I552">
        <v>4.9586599835419296</v>
      </c>
      <c r="J552" s="1">
        <v>7.0981072610656703E-7</v>
      </c>
      <c r="K552" s="1">
        <v>1.7315269352096399E-5</v>
      </c>
      <c r="L552" t="s">
        <v>26</v>
      </c>
      <c r="M552" t="s">
        <v>27</v>
      </c>
      <c r="N552">
        <v>1170.06439120347</v>
      </c>
      <c r="O552">
        <v>765.907610407476</v>
      </c>
      <c r="P552">
        <v>1473.18197680046</v>
      </c>
      <c r="Q552">
        <v>907.57184998933201</v>
      </c>
      <c r="R552">
        <v>511.994136793515</v>
      </c>
      <c r="S552">
        <v>878.15684443958003</v>
      </c>
      <c r="T552">
        <v>1439.0477806925201</v>
      </c>
      <c r="U552">
        <v>1528.8573165622699</v>
      </c>
      <c r="V552">
        <v>1406.5697288666499</v>
      </c>
      <c r="W552">
        <v>1518.2530810803901</v>
      </c>
    </row>
    <row r="553" spans="1:23" x14ac:dyDescent="0.2">
      <c r="A553" t="s">
        <v>1122</v>
      </c>
      <c r="B553" s="3" t="str">
        <f>HYPERLINK("http://www.ncbi.nlm.nih.gov/gene/66894","Wwp2")</f>
        <v>Wwp2</v>
      </c>
      <c r="C553">
        <v>66894</v>
      </c>
      <c r="D553" t="s">
        <v>1123</v>
      </c>
      <c r="E553" s="3" t="str">
        <f>HYPERLINK("http://genome.ucsc.edu/cgi-bin/hgTracks?db=mm10&amp;lastVirtModeType=default&amp;lastVirtModeExtraState=&amp;virtModeType=default&amp;virtMode=0&amp;nonVirtPosition=&amp;position=chr8:107436397-107558595","chr8:107436397-107558595")</f>
        <v>chr8:107436397-107558595</v>
      </c>
      <c r="F553" t="s">
        <v>30</v>
      </c>
      <c r="G553">
        <v>1.1482870472618401</v>
      </c>
      <c r="H553">
        <v>0.23157300963282701</v>
      </c>
      <c r="I553">
        <v>4.9586393901539498</v>
      </c>
      <c r="J553" s="1">
        <v>7.09885958800756E-7</v>
      </c>
      <c r="K553" s="1">
        <v>1.7315269352096399E-5</v>
      </c>
      <c r="L553" t="s">
        <v>26</v>
      </c>
      <c r="M553" t="s">
        <v>27</v>
      </c>
      <c r="N553">
        <v>387.14080724647403</v>
      </c>
      <c r="O553">
        <v>215.56686650864199</v>
      </c>
      <c r="P553">
        <v>515.82126279984902</v>
      </c>
      <c r="Q553">
        <v>226.61456622432999</v>
      </c>
      <c r="R553">
        <v>231.724753763584</v>
      </c>
      <c r="S553">
        <v>188.36127953801301</v>
      </c>
      <c r="T553">
        <v>485.79319985161402</v>
      </c>
      <c r="U553">
        <v>306.19971466163202</v>
      </c>
      <c r="V553">
        <v>478.17485552475</v>
      </c>
      <c r="W553">
        <v>793.11728116139898</v>
      </c>
    </row>
    <row r="554" spans="1:23" x14ac:dyDescent="0.2">
      <c r="A554" t="s">
        <v>1124</v>
      </c>
      <c r="B554" s="3" t="str">
        <f>HYPERLINK("http://www.ncbi.nlm.nih.gov/gene/76943","Psapl1")</f>
        <v>Psapl1</v>
      </c>
      <c r="C554">
        <v>76943</v>
      </c>
      <c r="D554" t="s">
        <v>1125</v>
      </c>
      <c r="E554" s="3" t="str">
        <f>HYPERLINK("http://genome.ucsc.edu/cgi-bin/hgTracks?db=mm10&amp;lastVirtModeType=default&amp;lastVirtModeExtraState=&amp;virtModeType=default&amp;virtMode=0&amp;nonVirtPosition=&amp;position=chr5:36204020-36206567","chr5:36204020-36206567")</f>
        <v>chr5:36204020-36206567</v>
      </c>
      <c r="F554" t="s">
        <v>30</v>
      </c>
      <c r="G554">
        <v>1.86674983573063</v>
      </c>
      <c r="H554">
        <v>0.37667000724578098</v>
      </c>
      <c r="I554">
        <v>4.9559290620996004</v>
      </c>
      <c r="J554" s="1">
        <v>7.19854783093561E-7</v>
      </c>
      <c r="K554" s="1">
        <v>1.7526500728010699E-5</v>
      </c>
      <c r="L554" t="s">
        <v>26</v>
      </c>
      <c r="M554" t="s">
        <v>27</v>
      </c>
      <c r="N554">
        <v>10.952898457684</v>
      </c>
      <c r="O554">
        <v>2.4635672679409302</v>
      </c>
      <c r="P554">
        <v>17.319896849991299</v>
      </c>
      <c r="Q554">
        <v>1.1135850920114501</v>
      </c>
      <c r="R554">
        <v>2.6547844130034099</v>
      </c>
      <c r="S554">
        <v>3.6223322988079301</v>
      </c>
      <c r="T554">
        <v>9.1659094311625307</v>
      </c>
      <c r="U554">
        <v>23.553824204740899</v>
      </c>
      <c r="V554">
        <v>19.8626478448742</v>
      </c>
      <c r="W554">
        <v>16.6972059191874</v>
      </c>
    </row>
    <row r="555" spans="1:23" x14ac:dyDescent="0.2">
      <c r="A555" t="s">
        <v>1126</v>
      </c>
      <c r="B555" s="3" t="str">
        <f>HYPERLINK("http://www.ncbi.nlm.nih.gov/gene/234686","Fhod1")</f>
        <v>Fhod1</v>
      </c>
      <c r="C555">
        <v>234686</v>
      </c>
      <c r="D555" t="s">
        <v>1127</v>
      </c>
      <c r="E555" s="3" t="str">
        <f>HYPERLINK("http://genome.ucsc.edu/cgi-bin/hgTracks?db=mm10&amp;lastVirtModeType=default&amp;lastVirtModeExtraState=&amp;virtModeType=default&amp;virtMode=0&amp;nonVirtPosition=&amp;position=chr8:105329159-105347970","chr8:105329159-105347970")</f>
        <v>chr8:105329159-105347970</v>
      </c>
      <c r="F555" t="s">
        <v>25</v>
      </c>
      <c r="G555">
        <v>1.1250504428092201</v>
      </c>
      <c r="H555">
        <v>0.22731770460491699</v>
      </c>
      <c r="I555">
        <v>4.9492424919765403</v>
      </c>
      <c r="J555" s="1">
        <v>7.45028768899392E-7</v>
      </c>
      <c r="K555" s="1">
        <v>1.8106497721110301E-5</v>
      </c>
      <c r="L555" t="s">
        <v>26</v>
      </c>
      <c r="M555" t="s">
        <v>27</v>
      </c>
      <c r="N555">
        <v>61.988142888116897</v>
      </c>
      <c r="O555">
        <v>34.651590211935101</v>
      </c>
      <c r="P555">
        <v>82.490557395253404</v>
      </c>
      <c r="Q555">
        <v>38.975478220400802</v>
      </c>
      <c r="R555">
        <v>26.168589213890801</v>
      </c>
      <c r="S555">
        <v>38.810703201513597</v>
      </c>
      <c r="T555">
        <v>100.825003742788</v>
      </c>
      <c r="U555">
        <v>66.378959122451604</v>
      </c>
      <c r="V555">
        <v>81.657552251149596</v>
      </c>
      <c r="W555">
        <v>81.100714464624303</v>
      </c>
    </row>
    <row r="556" spans="1:23" x14ac:dyDescent="0.2">
      <c r="A556" t="s">
        <v>1128</v>
      </c>
      <c r="B556" s="3" t="str">
        <f>HYPERLINK("http://www.ncbi.nlm.nih.gov/gene/14051","Eya4")</f>
        <v>Eya4</v>
      </c>
      <c r="C556">
        <v>14051</v>
      </c>
      <c r="D556" t="s">
        <v>1129</v>
      </c>
      <c r="E556" s="3" t="str">
        <f>HYPERLINK("http://genome.ucsc.edu/cgi-bin/hgTracks?db=mm10&amp;lastVirtModeType=default&amp;lastVirtModeExtraState=&amp;virtModeType=default&amp;virtMode=0&amp;nonVirtPosition=&amp;position=chr10:23104167-23349903","chr10:23104167-23349903")</f>
        <v>chr10:23104167-23349903</v>
      </c>
      <c r="F556" t="s">
        <v>25</v>
      </c>
      <c r="G556">
        <v>1.4988072773341199</v>
      </c>
      <c r="H556">
        <v>0.30288696071462501</v>
      </c>
      <c r="I556">
        <v>4.9484047573321304</v>
      </c>
      <c r="J556" s="1">
        <v>7.4824187588132503E-7</v>
      </c>
      <c r="K556" s="1">
        <v>1.81516430433457E-5</v>
      </c>
      <c r="L556" t="s">
        <v>26</v>
      </c>
      <c r="M556" t="s">
        <v>27</v>
      </c>
      <c r="N556">
        <v>41.684866620503399</v>
      </c>
      <c r="O556">
        <v>17.4495241236006</v>
      </c>
      <c r="P556">
        <v>59.861373493180501</v>
      </c>
      <c r="Q556">
        <v>26.726042208274801</v>
      </c>
      <c r="R556">
        <v>16.307961394163801</v>
      </c>
      <c r="S556">
        <v>9.3145687683632605</v>
      </c>
      <c r="T556">
        <v>54.995456586975202</v>
      </c>
      <c r="U556">
        <v>42.825134917710699</v>
      </c>
      <c r="V556">
        <v>67.680133397349195</v>
      </c>
      <c r="W556">
        <v>73.944769070686903</v>
      </c>
    </row>
    <row r="557" spans="1:23" x14ac:dyDescent="0.2">
      <c r="A557" t="s">
        <v>1130</v>
      </c>
      <c r="B557" s="3" t="str">
        <f>HYPERLINK("http://www.ncbi.nlm.nih.gov/gene/74153","Uba7")</f>
        <v>Uba7</v>
      </c>
      <c r="C557">
        <v>74153</v>
      </c>
      <c r="D557" t="s">
        <v>1131</v>
      </c>
      <c r="E557" s="3" t="str">
        <f>HYPERLINK("http://genome.ucsc.edu/cgi-bin/hgTracks?db=mm10&amp;lastVirtModeType=default&amp;lastVirtModeExtraState=&amp;virtModeType=default&amp;virtMode=0&amp;nonVirtPosition=&amp;position=chr9:107975566-107984056","chr9:107975566-107984056")</f>
        <v>chr9:107975566-107984056</v>
      </c>
      <c r="F557" t="s">
        <v>30</v>
      </c>
      <c r="G557">
        <v>1.4421131712080999</v>
      </c>
      <c r="H557">
        <v>0.291931169628874</v>
      </c>
      <c r="I557">
        <v>4.93990817438723</v>
      </c>
      <c r="J557" s="1">
        <v>7.8159369183728905E-7</v>
      </c>
      <c r="K557" s="1">
        <v>1.8926439651705499E-5</v>
      </c>
      <c r="L557" t="s">
        <v>26</v>
      </c>
      <c r="M557" t="s">
        <v>27</v>
      </c>
      <c r="N557">
        <v>82.720088879322901</v>
      </c>
      <c r="O557">
        <v>34.859566639740201</v>
      </c>
      <c r="P557">
        <v>118.61548055901</v>
      </c>
      <c r="Q557">
        <v>51.2249142325267</v>
      </c>
      <c r="R557">
        <v>25.410079381604099</v>
      </c>
      <c r="S557">
        <v>27.943706305089801</v>
      </c>
      <c r="T557">
        <v>192.48409805441301</v>
      </c>
      <c r="U557">
        <v>79.2264995977648</v>
      </c>
      <c r="V557">
        <v>78.714937755612596</v>
      </c>
      <c r="W557">
        <v>124.03638682824899</v>
      </c>
    </row>
    <row r="558" spans="1:23" x14ac:dyDescent="0.2">
      <c r="A558" t="s">
        <v>1132</v>
      </c>
      <c r="B558" s="3" t="str">
        <f>HYPERLINK("http://www.ncbi.nlm.nih.gov/gene/14547","Gdap2")</f>
        <v>Gdap2</v>
      </c>
      <c r="C558">
        <v>14547</v>
      </c>
      <c r="D558" t="s">
        <v>1133</v>
      </c>
      <c r="E558" s="3" t="str">
        <f>HYPERLINK("http://genome.ucsc.edu/cgi-bin/hgTracks?db=mm10&amp;lastVirtModeType=default&amp;lastVirtModeExtraState=&amp;virtModeType=default&amp;virtMode=0&amp;nonVirtPosition=&amp;position=chr3:100162462-100206989","chr3:100162462-100206989")</f>
        <v>chr3:100162462-100206989</v>
      </c>
      <c r="F558" t="s">
        <v>30</v>
      </c>
      <c r="G558">
        <v>-0.766527862808009</v>
      </c>
      <c r="H558">
        <v>0.15522020823320101</v>
      </c>
      <c r="I558">
        <v>-4.9383251802908701</v>
      </c>
      <c r="J558" s="1">
        <v>7.8796371383758598E-7</v>
      </c>
      <c r="K558" s="1">
        <v>1.9046249263536298E-5</v>
      </c>
      <c r="L558" t="s">
        <v>26</v>
      </c>
      <c r="M558" t="s">
        <v>27</v>
      </c>
      <c r="N558">
        <v>134.63076619846001</v>
      </c>
      <c r="O558">
        <v>177.69368680809799</v>
      </c>
      <c r="P558">
        <v>102.333575741231</v>
      </c>
      <c r="Q558">
        <v>177.616822175826</v>
      </c>
      <c r="R558">
        <v>184.69714416180901</v>
      </c>
      <c r="S558">
        <v>170.76709408665999</v>
      </c>
      <c r="T558">
        <v>96.242049027206505</v>
      </c>
      <c r="U558">
        <v>109.204094040162</v>
      </c>
      <c r="V558">
        <v>94.163663857181504</v>
      </c>
      <c r="W558">
        <v>109.72449604037401</v>
      </c>
    </row>
    <row r="559" spans="1:23" x14ac:dyDescent="0.2">
      <c r="A559" t="s">
        <v>1134</v>
      </c>
      <c r="B559" s="3" t="str">
        <f>HYPERLINK("http://www.ncbi.nlm.nih.gov/gene/67765","5830432E09Rik")</f>
        <v>5830432E09Rik</v>
      </c>
      <c r="C559">
        <v>67765</v>
      </c>
      <c r="D559" t="s">
        <v>1135</v>
      </c>
      <c r="E559" s="3" t="str">
        <f>HYPERLINK("http://genome.ucsc.edu/cgi-bin/hgTracks?db=mm10&amp;lastVirtModeType=default&amp;lastVirtModeExtraState=&amp;virtModeType=default&amp;virtMode=0&amp;nonVirtPosition=&amp;position=chr7:135648456-135652314","chr7:135648456-135652314")</f>
        <v>chr7:135648456-135652314</v>
      </c>
      <c r="F559" t="s">
        <v>25</v>
      </c>
      <c r="G559">
        <v>1.3439501539573</v>
      </c>
      <c r="H559">
        <v>0.27225387110319099</v>
      </c>
      <c r="I559">
        <v>4.9363858391123197</v>
      </c>
      <c r="J559" s="1">
        <v>7.9583586585665402E-7</v>
      </c>
      <c r="K559" s="1">
        <v>1.9201870413849501E-5</v>
      </c>
      <c r="L559" t="s">
        <v>26</v>
      </c>
      <c r="M559" t="s">
        <v>27</v>
      </c>
      <c r="N559">
        <v>38.821384274628201</v>
      </c>
      <c r="O559">
        <v>18.562624355571401</v>
      </c>
      <c r="P559">
        <v>54.015454213920798</v>
      </c>
      <c r="Q559">
        <v>21.7149092942233</v>
      </c>
      <c r="R559">
        <v>13.2739220650171</v>
      </c>
      <c r="S559">
        <v>20.699041707473899</v>
      </c>
      <c r="T559">
        <v>64.161366018137699</v>
      </c>
      <c r="U559">
        <v>38.5426214259396</v>
      </c>
      <c r="V559">
        <v>63.266211654043801</v>
      </c>
      <c r="W559">
        <v>50.091617757562098</v>
      </c>
    </row>
    <row r="560" spans="1:23" x14ac:dyDescent="0.2">
      <c r="A560" t="s">
        <v>1136</v>
      </c>
      <c r="B560" s="3" t="str">
        <f>HYPERLINK("http://www.ncbi.nlm.nih.gov/gene/16832","Ldhb")</f>
        <v>Ldhb</v>
      </c>
      <c r="C560">
        <v>16832</v>
      </c>
      <c r="D560" t="s">
        <v>1137</v>
      </c>
      <c r="E560" s="3" t="str">
        <f>HYPERLINK("http://genome.ucsc.edu/cgi-bin/hgTracks?db=mm10&amp;lastVirtModeType=default&amp;lastVirtModeExtraState=&amp;virtModeType=default&amp;virtMode=0&amp;nonVirtPosition=&amp;position=chr6:142490248-142507957","chr6:142490248-142507957")</f>
        <v>chr6:142490248-142507957</v>
      </c>
      <c r="F560" t="s">
        <v>25</v>
      </c>
      <c r="G560">
        <v>-0.75801771902846704</v>
      </c>
      <c r="H560">
        <v>0.15358942413010701</v>
      </c>
      <c r="I560">
        <v>-4.9353510068918798</v>
      </c>
      <c r="J560" s="1">
        <v>8.0006738477472304E-7</v>
      </c>
      <c r="K560" s="1">
        <v>1.92692488300689E-5</v>
      </c>
      <c r="L560" t="s">
        <v>26</v>
      </c>
      <c r="M560" t="s">
        <v>27</v>
      </c>
      <c r="N560">
        <v>303.39045980884202</v>
      </c>
      <c r="O560">
        <v>403.03205844099699</v>
      </c>
      <c r="P560">
        <v>228.65926083472601</v>
      </c>
      <c r="Q560">
        <v>394.76591511805901</v>
      </c>
      <c r="R560">
        <v>467.62131160474399</v>
      </c>
      <c r="S560">
        <v>346.70894860018802</v>
      </c>
      <c r="T560">
        <v>192.48409805441301</v>
      </c>
      <c r="U560">
        <v>216.26693133443899</v>
      </c>
      <c r="V560">
        <v>243.50134950568</v>
      </c>
      <c r="W560">
        <v>262.38466444437302</v>
      </c>
    </row>
    <row r="561" spans="1:23" x14ac:dyDescent="0.2">
      <c r="A561" t="s">
        <v>1138</v>
      </c>
      <c r="B561" s="3" t="str">
        <f>HYPERLINK("http://www.ncbi.nlm.nih.gov/gene/319504","Nrcam")</f>
        <v>Nrcam</v>
      </c>
      <c r="C561">
        <v>319504</v>
      </c>
      <c r="D561" t="s">
        <v>1139</v>
      </c>
      <c r="E561" s="3" t="str">
        <f>HYPERLINK("http://genome.ucsc.edu/cgi-bin/hgTracks?db=mm10&amp;lastVirtModeType=default&amp;lastVirtModeExtraState=&amp;virtModeType=default&amp;virtMode=0&amp;nonVirtPosition=&amp;position=chr12:44328884-44601846","chr12:44328884-44601846")</f>
        <v>chr12:44328884-44601846</v>
      </c>
      <c r="F561" t="s">
        <v>30</v>
      </c>
      <c r="G561">
        <v>-0.97540275390053699</v>
      </c>
      <c r="H561">
        <v>0.197700052218098</v>
      </c>
      <c r="I561">
        <v>-4.93375061340143</v>
      </c>
      <c r="J561" s="1">
        <v>8.0665423570673597E-7</v>
      </c>
      <c r="K561" s="1">
        <v>1.9377497764261E-5</v>
      </c>
      <c r="L561" t="s">
        <v>26</v>
      </c>
      <c r="M561" t="s">
        <v>27</v>
      </c>
      <c r="N561">
        <v>921.98855947807203</v>
      </c>
      <c r="O561">
        <v>1309.4983184702801</v>
      </c>
      <c r="P561">
        <v>631.35624023391495</v>
      </c>
      <c r="Q561">
        <v>1759.46444537809</v>
      </c>
      <c r="R561">
        <v>1129.4211402748799</v>
      </c>
      <c r="S561">
        <v>1039.6093697578799</v>
      </c>
      <c r="T561">
        <v>568.28638473207695</v>
      </c>
      <c r="U561">
        <v>498.91282179132997</v>
      </c>
      <c r="V561">
        <v>737.860584755883</v>
      </c>
      <c r="W561">
        <v>720.36516965636895</v>
      </c>
    </row>
    <row r="562" spans="1:23" x14ac:dyDescent="0.2">
      <c r="A562" t="s">
        <v>1140</v>
      </c>
      <c r="B562" s="3" t="str">
        <f>HYPERLINK("http://www.ncbi.nlm.nih.gov/gene/21974","Top2b")</f>
        <v>Top2b</v>
      </c>
      <c r="C562">
        <v>21974</v>
      </c>
      <c r="D562" t="s">
        <v>1141</v>
      </c>
      <c r="E562" s="3" t="str">
        <f>HYPERLINK("http://genome.ucsc.edu/cgi-bin/hgTracks?db=mm10&amp;lastVirtModeType=default&amp;lastVirtModeExtraState=&amp;virtModeType=default&amp;virtMode=0&amp;nonVirtPosition=&amp;position=chr14:16365205-16430787","chr14:16365205-16430787")</f>
        <v>chr14:16365205-16430787</v>
      </c>
      <c r="F562" t="s">
        <v>30</v>
      </c>
      <c r="G562">
        <v>-0.54998969831441302</v>
      </c>
      <c r="H562">
        <v>0.111479351709537</v>
      </c>
      <c r="I562">
        <v>-4.9335566621111102</v>
      </c>
      <c r="J562" s="1">
        <v>8.0745603408689496E-7</v>
      </c>
      <c r="K562" s="1">
        <v>1.9377497764261E-5</v>
      </c>
      <c r="L562" t="s">
        <v>26</v>
      </c>
      <c r="M562" t="s">
        <v>27</v>
      </c>
      <c r="N562">
        <v>2335.9380358778599</v>
      </c>
      <c r="O562">
        <v>2864.4844936024301</v>
      </c>
      <c r="P562">
        <v>1939.5281925844299</v>
      </c>
      <c r="Q562">
        <v>3162.0248687665098</v>
      </c>
      <c r="R562">
        <v>2760.21727969126</v>
      </c>
      <c r="S562">
        <v>2671.21133234951</v>
      </c>
      <c r="T562">
        <v>1956.9216635532</v>
      </c>
      <c r="U562">
        <v>1798.65566654385</v>
      </c>
      <c r="V562">
        <v>2081.1641019684898</v>
      </c>
      <c r="W562">
        <v>1921.3713382722001</v>
      </c>
    </row>
    <row r="563" spans="1:23" x14ac:dyDescent="0.2">
      <c r="A563" t="s">
        <v>1142</v>
      </c>
      <c r="B563" s="3" t="str">
        <f>HYPERLINK("http://www.ncbi.nlm.nih.gov/gene/67367","Paxbp1")</f>
        <v>Paxbp1</v>
      </c>
      <c r="C563">
        <v>67367</v>
      </c>
      <c r="D563" t="s">
        <v>1143</v>
      </c>
      <c r="E563" s="3" t="str">
        <f>HYPERLINK("http://genome.ucsc.edu/cgi-bin/hgTracks?db=mm10&amp;lastVirtModeType=default&amp;lastVirtModeExtraState=&amp;virtModeType=default&amp;virtMode=0&amp;nonVirtPosition=&amp;position=chr16:91014036-91044379","chr16:91014036-91044379")</f>
        <v>chr16:91014036-91044379</v>
      </c>
      <c r="F563" t="s">
        <v>25</v>
      </c>
      <c r="G563">
        <v>0.63009753131054502</v>
      </c>
      <c r="H563">
        <v>0.12775827232301201</v>
      </c>
      <c r="I563">
        <v>4.9319509402683801</v>
      </c>
      <c r="J563" s="1">
        <v>8.1412366813819698E-7</v>
      </c>
      <c r="K563" s="1">
        <v>1.95025582111603E-5</v>
      </c>
      <c r="L563" t="s">
        <v>26</v>
      </c>
      <c r="M563" t="s">
        <v>27</v>
      </c>
      <c r="N563">
        <v>322.09229111573501</v>
      </c>
      <c r="O563">
        <v>243.387333882332</v>
      </c>
      <c r="P563">
        <v>381.12100904078699</v>
      </c>
      <c r="Q563">
        <v>224.38739604030701</v>
      </c>
      <c r="R563">
        <v>240.82687175102399</v>
      </c>
      <c r="S563">
        <v>264.947733855666</v>
      </c>
      <c r="T563">
        <v>380.385241393245</v>
      </c>
      <c r="U563">
        <v>364.01364680054098</v>
      </c>
      <c r="V563">
        <v>353.11373946443001</v>
      </c>
      <c r="W563">
        <v>426.971408504934</v>
      </c>
    </row>
    <row r="564" spans="1:23" x14ac:dyDescent="0.2">
      <c r="A564" t="s">
        <v>1144</v>
      </c>
      <c r="B564" s="3" t="str">
        <f>HYPERLINK("http://www.ncbi.nlm.nih.gov/gene/320209","Ddx11")</f>
        <v>Ddx11</v>
      </c>
      <c r="C564">
        <v>320209</v>
      </c>
      <c r="D564" t="s">
        <v>1145</v>
      </c>
      <c r="E564" s="3" t="str">
        <f>HYPERLINK("http://genome.ucsc.edu/cgi-bin/hgTracks?db=mm10&amp;lastVirtModeType=default&amp;lastVirtModeExtraState=&amp;virtModeType=default&amp;virtMode=0&amp;nonVirtPosition=&amp;position=chr17:66123519-66152168","chr17:66123519-66152168")</f>
        <v>chr17:66123519-66152168</v>
      </c>
      <c r="F564" t="s">
        <v>30</v>
      </c>
      <c r="G564">
        <v>1.1512074199251701</v>
      </c>
      <c r="H564">
        <v>0.23354169612765699</v>
      </c>
      <c r="I564">
        <v>4.9293442627731396</v>
      </c>
      <c r="J564" s="1">
        <v>8.2506075348662803E-7</v>
      </c>
      <c r="K564" s="1">
        <v>1.9729265267749E-5</v>
      </c>
      <c r="L564" t="s">
        <v>26</v>
      </c>
      <c r="M564" t="s">
        <v>27</v>
      </c>
      <c r="N564">
        <v>211.85482107550001</v>
      </c>
      <c r="O564">
        <v>116.084197154791</v>
      </c>
      <c r="P564">
        <v>283.68278901603202</v>
      </c>
      <c r="Q564">
        <v>70.712653342727094</v>
      </c>
      <c r="R564">
        <v>114.53498467529</v>
      </c>
      <c r="S564">
        <v>163.00495344635701</v>
      </c>
      <c r="T564">
        <v>343.72160366859498</v>
      </c>
      <c r="U564">
        <v>267.657093235692</v>
      </c>
      <c r="V564">
        <v>219.224779917501</v>
      </c>
      <c r="W564">
        <v>304.127679242341</v>
      </c>
    </row>
    <row r="565" spans="1:23" x14ac:dyDescent="0.2">
      <c r="A565" t="s">
        <v>1146</v>
      </c>
      <c r="B565" s="3" t="str">
        <f>HYPERLINK("http://www.ncbi.nlm.nih.gov/gene/27225","Ddx24")</f>
        <v>Ddx24</v>
      </c>
      <c r="C565">
        <v>27225</v>
      </c>
      <c r="D565" t="s">
        <v>1147</v>
      </c>
      <c r="E565" s="3" t="str">
        <f>HYPERLINK("http://genome.ucsc.edu/cgi-bin/hgTracks?db=mm10&amp;lastVirtModeType=default&amp;lastVirtModeExtraState=&amp;virtModeType=default&amp;virtMode=0&amp;nonVirtPosition=&amp;position=chr12:103407975-103425867","chr12:103407975-103425867")</f>
        <v>chr12:103407975-103425867</v>
      </c>
      <c r="F565" t="s">
        <v>25</v>
      </c>
      <c r="G565">
        <v>-0.54720624619299696</v>
      </c>
      <c r="H565">
        <v>0.111028935324044</v>
      </c>
      <c r="I565">
        <v>-4.9285012469582403</v>
      </c>
      <c r="J565" s="1">
        <v>8.2862805907071796E-7</v>
      </c>
      <c r="K565" s="1">
        <v>1.9779248376142598E-5</v>
      </c>
      <c r="L565" t="s">
        <v>26</v>
      </c>
      <c r="M565" t="s">
        <v>27</v>
      </c>
      <c r="N565">
        <v>487.14720075858003</v>
      </c>
      <c r="O565">
        <v>596.70995130143206</v>
      </c>
      <c r="P565">
        <v>404.97513785144099</v>
      </c>
      <c r="Q565">
        <v>545.65669508561098</v>
      </c>
      <c r="R565">
        <v>612.11743465535801</v>
      </c>
      <c r="S565">
        <v>632.35572416332798</v>
      </c>
      <c r="T565">
        <v>403.30001497115097</v>
      </c>
      <c r="U565">
        <v>396.13249798882401</v>
      </c>
      <c r="V565">
        <v>399.45991776913701</v>
      </c>
      <c r="W565">
        <v>421.00812067665299</v>
      </c>
    </row>
    <row r="566" spans="1:23" x14ac:dyDescent="0.2">
      <c r="A566" t="s">
        <v>1148</v>
      </c>
      <c r="B566" s="3" t="str">
        <f>HYPERLINK("http://www.ncbi.nlm.nih.gov/gene/107448","Unc5a")</f>
        <v>Unc5a</v>
      </c>
      <c r="C566">
        <v>107448</v>
      </c>
      <c r="D566" t="s">
        <v>1149</v>
      </c>
      <c r="E566" s="3" t="str">
        <f>HYPERLINK("http://genome.ucsc.edu/cgi-bin/hgTracks?db=mm10&amp;lastVirtModeType=default&amp;lastVirtModeExtraState=&amp;virtModeType=default&amp;virtMode=0&amp;nonVirtPosition=&amp;position=chr13:54949431-55006018","chr13:54949431-55006018")</f>
        <v>chr13:54949431-55006018</v>
      </c>
      <c r="F566" t="s">
        <v>30</v>
      </c>
      <c r="G566">
        <v>0.91316540633314902</v>
      </c>
      <c r="H566">
        <v>0.1853505076851</v>
      </c>
      <c r="I566">
        <v>4.9266949291801696</v>
      </c>
      <c r="J566" s="1">
        <v>8.3632175519179799E-7</v>
      </c>
      <c r="K566" s="1">
        <v>1.9927374775397501E-5</v>
      </c>
      <c r="L566" t="s">
        <v>26</v>
      </c>
      <c r="M566" t="s">
        <v>27</v>
      </c>
      <c r="N566">
        <v>105.698582417434</v>
      </c>
      <c r="O566">
        <v>67.821833933365099</v>
      </c>
      <c r="P566">
        <v>134.10614378048601</v>
      </c>
      <c r="Q566">
        <v>60.133594968618297</v>
      </c>
      <c r="R566">
        <v>72.437688983378806</v>
      </c>
      <c r="S566">
        <v>70.894217848098094</v>
      </c>
      <c r="T566">
        <v>123.739777320694</v>
      </c>
      <c r="U566">
        <v>171.30053967084299</v>
      </c>
      <c r="V566">
        <v>122.11850156478199</v>
      </c>
      <c r="W566">
        <v>119.265756565624</v>
      </c>
    </row>
    <row r="567" spans="1:23" x14ac:dyDescent="0.2">
      <c r="A567" t="s">
        <v>1150</v>
      </c>
      <c r="B567" s="3" t="str">
        <f>HYPERLINK("http://www.ncbi.nlm.nih.gov/gene/77633","4930594C11Rik")</f>
        <v>4930594C11Rik</v>
      </c>
      <c r="C567">
        <v>77633</v>
      </c>
      <c r="D567" t="s">
        <v>1151</v>
      </c>
      <c r="E567" s="3" t="str">
        <f>HYPERLINK("http://genome.ucsc.edu/cgi-bin/hgTracks?db=mm10&amp;lastVirtModeType=default&amp;lastVirtModeExtraState=&amp;virtModeType=default&amp;virtMode=0&amp;nonVirtPosition=&amp;position=chr1:37485850-37488605","chr1:37485850-37488605")</f>
        <v>chr1:37485850-37488605</v>
      </c>
      <c r="F567" t="s">
        <v>25</v>
      </c>
      <c r="G567">
        <v>1.5430086889039001</v>
      </c>
      <c r="H567">
        <v>0.31331135798389997</v>
      </c>
      <c r="I567">
        <v>4.9248412149271497</v>
      </c>
      <c r="J567" s="1">
        <v>8.4428883730433498E-7</v>
      </c>
      <c r="K567" s="1">
        <v>2.0081477478405599E-5</v>
      </c>
      <c r="L567" t="s">
        <v>26</v>
      </c>
      <c r="M567" t="s">
        <v>27</v>
      </c>
      <c r="N567">
        <v>36.1402748353946</v>
      </c>
      <c r="O567">
        <v>13.824919424767501</v>
      </c>
      <c r="P567">
        <v>52.876791393364897</v>
      </c>
      <c r="Q567">
        <v>9.4654732820973209</v>
      </c>
      <c r="R567">
        <v>8.7228630712969295</v>
      </c>
      <c r="S567">
        <v>23.286421920908101</v>
      </c>
      <c r="T567">
        <v>68.744320733718993</v>
      </c>
      <c r="U567">
        <v>42.825134917710699</v>
      </c>
      <c r="V567">
        <v>52.231407295780301</v>
      </c>
      <c r="W567">
        <v>47.706302626249602</v>
      </c>
    </row>
    <row r="568" spans="1:23" x14ac:dyDescent="0.2">
      <c r="A568" t="s">
        <v>1152</v>
      </c>
      <c r="B568" s="3" t="str">
        <f>HYPERLINK("http://www.ncbi.nlm.nih.gov/gene/13845","Ephb3")</f>
        <v>Ephb3</v>
      </c>
      <c r="C568">
        <v>13845</v>
      </c>
      <c r="D568" t="s">
        <v>1153</v>
      </c>
      <c r="E568" s="3" t="str">
        <f>HYPERLINK("http://genome.ucsc.edu/cgi-bin/hgTracks?db=mm10&amp;lastVirtModeType=default&amp;lastVirtModeExtraState=&amp;virtModeType=default&amp;virtMode=0&amp;nonVirtPosition=&amp;position=chr16:21204794-21223304","chr16:21204794-21223304")</f>
        <v>chr16:21204794-21223304</v>
      </c>
      <c r="F568" t="s">
        <v>30</v>
      </c>
      <c r="G568">
        <v>0.69788196004612202</v>
      </c>
      <c r="H568">
        <v>0.14182759380794299</v>
      </c>
      <c r="I568">
        <v>4.9206359729346199</v>
      </c>
      <c r="J568" s="1">
        <v>8.6263445141431297E-7</v>
      </c>
      <c r="K568" s="1">
        <v>2.0481450246257201E-5</v>
      </c>
      <c r="L568" t="s">
        <v>26</v>
      </c>
      <c r="M568" t="s">
        <v>27</v>
      </c>
      <c r="N568">
        <v>339.50590746126301</v>
      </c>
      <c r="O568">
        <v>249.30079648016999</v>
      </c>
      <c r="P568">
        <v>407.15974069708301</v>
      </c>
      <c r="Q568">
        <v>251.11343824858201</v>
      </c>
      <c r="R568">
        <v>210.107223543413</v>
      </c>
      <c r="S568">
        <v>286.68172764851403</v>
      </c>
      <c r="T568">
        <v>357.47046781533902</v>
      </c>
      <c r="U568">
        <v>449.66391663596198</v>
      </c>
      <c r="V568">
        <v>411.23037575128501</v>
      </c>
      <c r="W568">
        <v>410.27420258574602</v>
      </c>
    </row>
    <row r="569" spans="1:23" x14ac:dyDescent="0.2">
      <c r="A569" t="s">
        <v>1154</v>
      </c>
      <c r="B569" s="3" t="str">
        <f>HYPERLINK("http://www.ncbi.nlm.nih.gov/gene/108653","Rimklb")</f>
        <v>Rimklb</v>
      </c>
      <c r="C569">
        <v>108653</v>
      </c>
      <c r="D569" t="s">
        <v>1155</v>
      </c>
      <c r="E569" s="3" t="str">
        <f>HYPERLINK("http://genome.ucsc.edu/cgi-bin/hgTracks?db=mm10&amp;lastVirtModeType=default&amp;lastVirtModeExtraState=&amp;virtModeType=default&amp;virtMode=0&amp;nonVirtPosition=&amp;position=chr6:122453608-122486305","chr6:122453608-122486305")</f>
        <v>chr6:122453608-122486305</v>
      </c>
      <c r="F569" t="s">
        <v>25</v>
      </c>
      <c r="G569">
        <v>0.88070437174627503</v>
      </c>
      <c r="H569">
        <v>0.179322631928025</v>
      </c>
      <c r="I569">
        <v>4.9112839928635799</v>
      </c>
      <c r="J569" s="1">
        <v>9.0481927149897803E-7</v>
      </c>
      <c r="K569" s="1">
        <v>2.1445017459544798E-5</v>
      </c>
      <c r="L569" t="s">
        <v>26</v>
      </c>
      <c r="M569" t="s">
        <v>27</v>
      </c>
      <c r="N569">
        <v>325.31481000731497</v>
      </c>
      <c r="O569">
        <v>214.25822943024701</v>
      </c>
      <c r="P569">
        <v>408.60724544011498</v>
      </c>
      <c r="Q569">
        <v>252.22702334059301</v>
      </c>
      <c r="R569">
        <v>244.619420912457</v>
      </c>
      <c r="S569">
        <v>145.928244037691</v>
      </c>
      <c r="T569">
        <v>412.46592440231399</v>
      </c>
      <c r="U569">
        <v>398.27375473471</v>
      </c>
      <c r="V569">
        <v>403.87383951244198</v>
      </c>
      <c r="W569">
        <v>419.81546311099601</v>
      </c>
    </row>
    <row r="570" spans="1:23" x14ac:dyDescent="0.2">
      <c r="A570" t="s">
        <v>1156</v>
      </c>
      <c r="B570" s="3" t="str">
        <f>HYPERLINK("http://www.ncbi.nlm.nih.gov/gene/320816","Ankrd16")</f>
        <v>Ankrd16</v>
      </c>
      <c r="C570">
        <v>320816</v>
      </c>
      <c r="D570" t="s">
        <v>1157</v>
      </c>
      <c r="E570" s="3" t="str">
        <f>HYPERLINK("http://genome.ucsc.edu/cgi-bin/hgTracks?db=mm10&amp;lastVirtModeType=default&amp;lastVirtModeExtraState=&amp;virtModeType=default&amp;virtMode=0&amp;nonVirtPosition=&amp;position=chr2:11777752-11790323","chr2:11777752-11790323")</f>
        <v>chr2:11777752-11790323</v>
      </c>
      <c r="F570" t="s">
        <v>30</v>
      </c>
      <c r="G570">
        <v>0.88746658309834403</v>
      </c>
      <c r="H570">
        <v>0.18074388158657301</v>
      </c>
      <c r="I570">
        <v>4.9100781465361303</v>
      </c>
      <c r="J570" s="1">
        <v>9.10401052986518E-7</v>
      </c>
      <c r="K570" s="1">
        <v>2.15391881635026E-5</v>
      </c>
      <c r="L570" t="s">
        <v>26</v>
      </c>
      <c r="M570" t="s">
        <v>27</v>
      </c>
      <c r="N570">
        <v>176.18823888912499</v>
      </c>
      <c r="O570">
        <v>114.249539288196</v>
      </c>
      <c r="P570">
        <v>222.64226358982199</v>
      </c>
      <c r="Q570">
        <v>89.086807360915998</v>
      </c>
      <c r="R570">
        <v>123.257847746587</v>
      </c>
      <c r="S570">
        <v>130.40396275708599</v>
      </c>
      <c r="T570">
        <v>270.39432821929501</v>
      </c>
      <c r="U570">
        <v>194.854363875584</v>
      </c>
      <c r="V570">
        <v>236.880466890722</v>
      </c>
      <c r="W570">
        <v>188.439895373686</v>
      </c>
    </row>
    <row r="571" spans="1:23" x14ac:dyDescent="0.2">
      <c r="A571" t="s">
        <v>1158</v>
      </c>
      <c r="B571" s="3" t="str">
        <f>HYPERLINK("http://www.ncbi.nlm.nih.gov/gene/68087","Dcakd")</f>
        <v>Dcakd</v>
      </c>
      <c r="C571">
        <v>68087</v>
      </c>
      <c r="D571" t="s">
        <v>1159</v>
      </c>
      <c r="E571" s="3" t="str">
        <f>HYPERLINK("http://genome.ucsc.edu/cgi-bin/hgTracks?db=mm10&amp;lastVirtModeType=default&amp;lastVirtModeExtraState=&amp;virtModeType=default&amp;virtMode=0&amp;nonVirtPosition=&amp;position=chr11:102994055-103017147","chr11:102994055-103017147")</f>
        <v>chr11:102994055-103017147</v>
      </c>
      <c r="F571" t="s">
        <v>25</v>
      </c>
      <c r="G571">
        <v>0.675294862835495</v>
      </c>
      <c r="H571">
        <v>0.13754436045336099</v>
      </c>
      <c r="I571">
        <v>4.9096514070780399</v>
      </c>
      <c r="J571" s="1">
        <v>9.12384332306691E-7</v>
      </c>
      <c r="K571" s="1">
        <v>2.1548039848181501E-5</v>
      </c>
      <c r="L571" t="s">
        <v>26</v>
      </c>
      <c r="M571" t="s">
        <v>27</v>
      </c>
      <c r="N571">
        <v>211.46378352049101</v>
      </c>
      <c r="O571">
        <v>156.58560685387701</v>
      </c>
      <c r="P571">
        <v>252.622416020451</v>
      </c>
      <c r="Q571">
        <v>141.42530668545399</v>
      </c>
      <c r="R571">
        <v>155.494515618771</v>
      </c>
      <c r="S571">
        <v>172.836998257407</v>
      </c>
      <c r="T571">
        <v>233.73069049464399</v>
      </c>
      <c r="U571">
        <v>278.36337696511998</v>
      </c>
      <c r="V571">
        <v>257.47876835948102</v>
      </c>
      <c r="W571">
        <v>240.91682826255999</v>
      </c>
    </row>
    <row r="572" spans="1:23" x14ac:dyDescent="0.2">
      <c r="A572" t="s">
        <v>1160</v>
      </c>
      <c r="B572" s="3" t="str">
        <f>HYPERLINK("http://www.ncbi.nlm.nih.gov/gene/59021","Rab2a")</f>
        <v>Rab2a</v>
      </c>
      <c r="C572">
        <v>59021</v>
      </c>
      <c r="D572" t="s">
        <v>1161</v>
      </c>
      <c r="E572" s="3" t="str">
        <f>HYPERLINK("http://genome.ucsc.edu/cgi-bin/hgTracks?db=mm10&amp;lastVirtModeType=default&amp;lastVirtModeExtraState=&amp;virtModeType=default&amp;virtMode=0&amp;nonVirtPosition=&amp;position=chr4:8535643-8607702","chr4:8535643-8607702")</f>
        <v>chr4:8535643-8607702</v>
      </c>
      <c r="F572" t="s">
        <v>30</v>
      </c>
      <c r="G572">
        <v>-0.52299615709803904</v>
      </c>
      <c r="H572">
        <v>0.106573965923808</v>
      </c>
      <c r="I572">
        <v>-4.9073538041357896</v>
      </c>
      <c r="J572" s="1">
        <v>9.2313418176610298E-7</v>
      </c>
      <c r="K572" s="1">
        <v>2.17635384296301E-5</v>
      </c>
      <c r="L572" t="s">
        <v>26</v>
      </c>
      <c r="M572" t="s">
        <v>27</v>
      </c>
      <c r="N572">
        <v>813.77112808840195</v>
      </c>
      <c r="O572">
        <v>989.48030343287201</v>
      </c>
      <c r="P572">
        <v>681.98924658004898</v>
      </c>
      <c r="Q572">
        <v>1060.1330075948999</v>
      </c>
      <c r="R572">
        <v>987.20054672112599</v>
      </c>
      <c r="S572">
        <v>921.10735598258896</v>
      </c>
      <c r="T572">
        <v>673.69434319044603</v>
      </c>
      <c r="U572">
        <v>674.49587495394405</v>
      </c>
      <c r="V572">
        <v>729.76839489315603</v>
      </c>
      <c r="W572">
        <v>649.99837328265096</v>
      </c>
    </row>
    <row r="573" spans="1:23" x14ac:dyDescent="0.2">
      <c r="A573" t="s">
        <v>1162</v>
      </c>
      <c r="B573" s="3" t="str">
        <f>HYPERLINK("http://www.ncbi.nlm.nih.gov/gene/12750","Clk4")</f>
        <v>Clk4</v>
      </c>
      <c r="C573">
        <v>12750</v>
      </c>
      <c r="D573" t="s">
        <v>1163</v>
      </c>
      <c r="E573" s="3" t="str">
        <f>HYPERLINK("http://genome.ucsc.edu/cgi-bin/hgTracks?db=mm10&amp;lastVirtModeType=default&amp;lastVirtModeExtraState=&amp;virtModeType=default&amp;virtMode=0&amp;nonVirtPosition=&amp;position=chr11:51263113-51281770","chr11:51263113-51281770")</f>
        <v>chr11:51263113-51281770</v>
      </c>
      <c r="F573" t="s">
        <v>30</v>
      </c>
      <c r="G573">
        <v>0.59954515340491399</v>
      </c>
      <c r="H573">
        <v>0.122406852898417</v>
      </c>
      <c r="I573">
        <v>4.8979704911003896</v>
      </c>
      <c r="J573" s="1">
        <v>9.6831571966218607E-7</v>
      </c>
      <c r="K573" s="1">
        <v>2.2788604221434699E-5</v>
      </c>
      <c r="L573" t="s">
        <v>26</v>
      </c>
      <c r="M573" t="s">
        <v>27</v>
      </c>
      <c r="N573">
        <v>369.70056735718498</v>
      </c>
      <c r="O573">
        <v>283.41882223562999</v>
      </c>
      <c r="P573">
        <v>434.41187619835102</v>
      </c>
      <c r="Q573">
        <v>272.27155499679998</v>
      </c>
      <c r="R573">
        <v>289.75075593351499</v>
      </c>
      <c r="S573">
        <v>288.23415577657403</v>
      </c>
      <c r="T573">
        <v>472.04433570486998</v>
      </c>
      <c r="U573">
        <v>361.872390054655</v>
      </c>
      <c r="V573">
        <v>461.25482217541202</v>
      </c>
      <c r="W573">
        <v>442.475956858465</v>
      </c>
    </row>
    <row r="574" spans="1:23" x14ac:dyDescent="0.2">
      <c r="A574" t="s">
        <v>1164</v>
      </c>
      <c r="B574" s="3" t="str">
        <f>HYPERLINK("http://www.ncbi.nlm.nih.gov/gene/19108","Prkx")</f>
        <v>Prkx</v>
      </c>
      <c r="C574">
        <v>19108</v>
      </c>
      <c r="D574" t="s">
        <v>1165</v>
      </c>
      <c r="E574" s="3" t="str">
        <f>HYPERLINK("http://genome.ucsc.edu/cgi-bin/hgTracks?db=mm10&amp;lastVirtModeType=default&amp;lastVirtModeExtraState=&amp;virtModeType=default&amp;virtMode=0&amp;nonVirtPosition=&amp;position=chrX:77762029-77795960","chrX:77762029-77795960")</f>
        <v>chrX:77762029-77795960</v>
      </c>
      <c r="F574" t="s">
        <v>25</v>
      </c>
      <c r="G574">
        <v>-0.65357613076699494</v>
      </c>
      <c r="H574">
        <v>0.13347605326143799</v>
      </c>
      <c r="I574">
        <v>-4.8965796844984704</v>
      </c>
      <c r="J574" s="1">
        <v>9.7519114344586899E-7</v>
      </c>
      <c r="K574" s="1">
        <v>2.2882740876905299E-5</v>
      </c>
      <c r="L574" t="s">
        <v>26</v>
      </c>
      <c r="M574" t="s">
        <v>27</v>
      </c>
      <c r="N574">
        <v>206.95609497670799</v>
      </c>
      <c r="O574">
        <v>263.77913517098602</v>
      </c>
      <c r="P574">
        <v>164.33881483100001</v>
      </c>
      <c r="Q574">
        <v>277.83948045685702</v>
      </c>
      <c r="R574">
        <v>248.03271515774699</v>
      </c>
      <c r="S574">
        <v>265.46520989835301</v>
      </c>
      <c r="T574">
        <v>151.237505614182</v>
      </c>
      <c r="U574">
        <v>179.86556665438499</v>
      </c>
      <c r="V574">
        <v>164.05075812618301</v>
      </c>
      <c r="W574">
        <v>162.201428929249</v>
      </c>
    </row>
    <row r="575" spans="1:23" x14ac:dyDescent="0.2">
      <c r="A575" t="s">
        <v>1166</v>
      </c>
      <c r="B575" s="3" t="str">
        <f>HYPERLINK("http://www.ncbi.nlm.nih.gov/gene/69227","Selt")</f>
        <v>Selt</v>
      </c>
      <c r="C575">
        <v>69227</v>
      </c>
      <c r="D575" t="s">
        <v>1167</v>
      </c>
      <c r="E575" s="3" t="str">
        <f>HYPERLINK("http://genome.ucsc.edu/cgi-bin/hgTracks?db=mm10&amp;lastVirtModeType=default&amp;lastVirtModeExtraState=&amp;virtModeType=default&amp;virtMode=0&amp;nonVirtPosition=&amp;position=chr3:58576657-58593546","chr3:58576657-58593546")</f>
        <v>chr3:58576657-58593546</v>
      </c>
      <c r="F575" t="s">
        <v>30</v>
      </c>
      <c r="G575">
        <v>-0.60579741035055501</v>
      </c>
      <c r="H575">
        <v>0.123721244028731</v>
      </c>
      <c r="I575">
        <v>-4.8964704089935696</v>
      </c>
      <c r="J575" s="1">
        <v>9.7573333139518505E-7</v>
      </c>
      <c r="K575" s="1">
        <v>2.2882740876905299E-5</v>
      </c>
      <c r="L575" t="s">
        <v>26</v>
      </c>
      <c r="M575" t="s">
        <v>27</v>
      </c>
      <c r="N575">
        <v>696.45247851478996</v>
      </c>
      <c r="O575">
        <v>868.31805952765706</v>
      </c>
      <c r="P575">
        <v>567.553292755141</v>
      </c>
      <c r="Q575">
        <v>948.21770584775004</v>
      </c>
      <c r="R575">
        <v>829.80975652163795</v>
      </c>
      <c r="S575">
        <v>826.92671621358295</v>
      </c>
      <c r="T575">
        <v>591.20115830998304</v>
      </c>
      <c r="U575">
        <v>614.54068606914905</v>
      </c>
      <c r="V575">
        <v>582.63767011631001</v>
      </c>
      <c r="W575">
        <v>481.833656525121</v>
      </c>
    </row>
    <row r="576" spans="1:23" x14ac:dyDescent="0.2">
      <c r="A576" t="s">
        <v>1168</v>
      </c>
      <c r="B576" s="3" t="str">
        <f>HYPERLINK("http://www.ncbi.nlm.nih.gov/gene/140703","Emid1")</f>
        <v>Emid1</v>
      </c>
      <c r="C576">
        <v>140703</v>
      </c>
      <c r="D576" t="s">
        <v>1169</v>
      </c>
      <c r="E576" s="3" t="str">
        <f>HYPERLINK("http://genome.ucsc.edu/cgi-bin/hgTracks?db=mm10&amp;lastVirtModeType=default&amp;lastVirtModeExtraState=&amp;virtModeType=default&amp;virtMode=0&amp;nonVirtPosition=&amp;position=chr11:5106265-5152222","chr11:5106265-5152222")</f>
        <v>chr11:5106265-5152222</v>
      </c>
      <c r="F576" t="s">
        <v>25</v>
      </c>
      <c r="G576">
        <v>1.1334664002768999</v>
      </c>
      <c r="H576">
        <v>0.231517811149901</v>
      </c>
      <c r="I576">
        <v>4.8958064809234898</v>
      </c>
      <c r="J576" s="1">
        <v>9.7903375995804003E-7</v>
      </c>
      <c r="K576" s="1">
        <v>2.29200018874093E-5</v>
      </c>
      <c r="L576" t="s">
        <v>26</v>
      </c>
      <c r="M576" t="s">
        <v>27</v>
      </c>
      <c r="N576">
        <v>681.246332354826</v>
      </c>
      <c r="O576">
        <v>380.82404931723403</v>
      </c>
      <c r="P576">
        <v>906.56304463301899</v>
      </c>
      <c r="Q576">
        <v>535.63442925750701</v>
      </c>
      <c r="R576">
        <v>212.00349812413</v>
      </c>
      <c r="S576">
        <v>394.83422057006499</v>
      </c>
      <c r="T576">
        <v>994.50117328113402</v>
      </c>
      <c r="U576">
        <v>997.82564358265904</v>
      </c>
      <c r="V576">
        <v>743.01016012307298</v>
      </c>
      <c r="W576">
        <v>890.91520154521095</v>
      </c>
    </row>
    <row r="577" spans="1:23" x14ac:dyDescent="0.2">
      <c r="A577" t="s">
        <v>1170</v>
      </c>
      <c r="B577" s="3" t="str">
        <f>HYPERLINK("http://www.ncbi.nlm.nih.gov/gene/116848","Baz2a")</f>
        <v>Baz2a</v>
      </c>
      <c r="C577">
        <v>116848</v>
      </c>
      <c r="D577" t="s">
        <v>1171</v>
      </c>
      <c r="E577" s="3" t="str">
        <f>HYPERLINK("http://genome.ucsc.edu/cgi-bin/hgTracks?db=mm10&amp;lastVirtModeType=default&amp;lastVirtModeExtraState=&amp;virtModeType=default&amp;virtMode=0&amp;nonVirtPosition=&amp;position=chr10:128092782-128129303","chr10:128092782-128129303")</f>
        <v>chr10:128092782-128129303</v>
      </c>
      <c r="F577" t="s">
        <v>30</v>
      </c>
      <c r="G577">
        <v>0.74143441510267605</v>
      </c>
      <c r="H577">
        <v>0.15145410527275499</v>
      </c>
      <c r="I577">
        <v>4.8954395377228099</v>
      </c>
      <c r="J577" s="1">
        <v>9.808624663002319E-7</v>
      </c>
      <c r="K577" s="1">
        <v>2.2922738719417798E-5</v>
      </c>
      <c r="L577" t="s">
        <v>26</v>
      </c>
      <c r="M577" t="s">
        <v>27</v>
      </c>
      <c r="N577">
        <v>550.66803229587595</v>
      </c>
      <c r="O577">
        <v>392.74128753641799</v>
      </c>
      <c r="P577">
        <v>669.11309086546999</v>
      </c>
      <c r="Q577">
        <v>350.22251143760099</v>
      </c>
      <c r="R577">
        <v>336.399110619147</v>
      </c>
      <c r="S577">
        <v>491.60224055250501</v>
      </c>
      <c r="T577">
        <v>678.277297906027</v>
      </c>
      <c r="U577">
        <v>655.22456424097402</v>
      </c>
      <c r="V577">
        <v>717.99793691100899</v>
      </c>
      <c r="W577">
        <v>624.95256440387004</v>
      </c>
    </row>
    <row r="578" spans="1:23" x14ac:dyDescent="0.2">
      <c r="A578" t="s">
        <v>1172</v>
      </c>
      <c r="B578" s="3" t="str">
        <f>HYPERLINK("http://www.ncbi.nlm.nih.gov/gene/212285","Arap2")</f>
        <v>Arap2</v>
      </c>
      <c r="C578">
        <v>212285</v>
      </c>
      <c r="D578" t="s">
        <v>1173</v>
      </c>
      <c r="E578" s="3" t="str">
        <f>HYPERLINK("http://genome.ucsc.edu/cgi-bin/hgTracks?db=mm10&amp;lastVirtModeType=default&amp;lastVirtModeExtraState=&amp;virtModeType=default&amp;virtMode=0&amp;nonVirtPosition=&amp;position=chr5:62602445-62766177","chr5:62602445-62766177")</f>
        <v>chr5:62602445-62766177</v>
      </c>
      <c r="F578" t="s">
        <v>25</v>
      </c>
      <c r="G578">
        <v>-0.59411813521915502</v>
      </c>
      <c r="H578">
        <v>0.121413578307519</v>
      </c>
      <c r="I578">
        <v>-4.8933417785806599</v>
      </c>
      <c r="J578" s="1">
        <v>9.9138020421255204E-7</v>
      </c>
      <c r="K578" s="1">
        <v>2.31281747641294E-5</v>
      </c>
      <c r="L578" t="s">
        <v>26</v>
      </c>
      <c r="M578" t="s">
        <v>27</v>
      </c>
      <c r="N578">
        <v>555.17386419446996</v>
      </c>
      <c r="O578">
        <v>688.36410110292695</v>
      </c>
      <c r="P578">
        <v>455.28118651312798</v>
      </c>
      <c r="Q578">
        <v>605.23349750822297</v>
      </c>
      <c r="R578">
        <v>706.931163691194</v>
      </c>
      <c r="S578">
        <v>752.92764210936298</v>
      </c>
      <c r="T578">
        <v>499.542063998358</v>
      </c>
      <c r="U578">
        <v>428.25134917710699</v>
      </c>
      <c r="V578">
        <v>447.27740332161198</v>
      </c>
      <c r="W578">
        <v>446.05392955543402</v>
      </c>
    </row>
    <row r="579" spans="1:23" x14ac:dyDescent="0.2">
      <c r="A579" t="s">
        <v>1174</v>
      </c>
      <c r="B579" s="3" t="str">
        <f>HYPERLINK("http://www.ncbi.nlm.nih.gov/gene/252875","Mios")</f>
        <v>Mios</v>
      </c>
      <c r="C579">
        <v>252875</v>
      </c>
      <c r="D579" t="s">
        <v>1175</v>
      </c>
      <c r="E579" s="3" t="str">
        <f>HYPERLINK("http://genome.ucsc.edu/cgi-bin/hgTracks?db=mm10&amp;lastVirtModeType=default&amp;lastVirtModeExtraState=&amp;virtModeType=default&amp;virtMode=0&amp;nonVirtPosition=&amp;position=chr6:8209226-8236273","chr6:8209226-8236273")</f>
        <v>chr6:8209226-8236273</v>
      </c>
      <c r="F579" t="s">
        <v>30</v>
      </c>
      <c r="G579">
        <v>-0.81178345609873404</v>
      </c>
      <c r="H579">
        <v>0.16590832598177699</v>
      </c>
      <c r="I579">
        <v>-4.8929639383372301</v>
      </c>
      <c r="J579" s="1">
        <v>9.932861208827351E-7</v>
      </c>
      <c r="K579" s="1">
        <v>2.31323381647664E-5</v>
      </c>
      <c r="L579" t="s">
        <v>26</v>
      </c>
      <c r="M579" t="s">
        <v>27</v>
      </c>
      <c r="N579">
        <v>224.90610147106</v>
      </c>
      <c r="O579">
        <v>304.96474909788998</v>
      </c>
      <c r="P579">
        <v>164.86211575093699</v>
      </c>
      <c r="Q579">
        <v>336.30269778745799</v>
      </c>
      <c r="R579">
        <v>313.643815650546</v>
      </c>
      <c r="S579">
        <v>264.947733855666</v>
      </c>
      <c r="T579">
        <v>151.237505614182</v>
      </c>
      <c r="U579">
        <v>134.89917499078899</v>
      </c>
      <c r="V579">
        <v>201.56909294427899</v>
      </c>
      <c r="W579">
        <v>171.74268945449899</v>
      </c>
    </row>
    <row r="580" spans="1:23" x14ac:dyDescent="0.2">
      <c r="A580" t="s">
        <v>1176</v>
      </c>
      <c r="B580" s="3" t="str">
        <f>HYPERLINK("http://www.ncbi.nlm.nih.gov/gene/98417","Cnih4")</f>
        <v>Cnih4</v>
      </c>
      <c r="C580">
        <v>98417</v>
      </c>
      <c r="D580" t="s">
        <v>1177</v>
      </c>
      <c r="E580" s="3" t="str">
        <f>HYPERLINK("http://genome.ucsc.edu/cgi-bin/hgTracks?db=mm10&amp;lastVirtModeType=default&amp;lastVirtModeExtraState=&amp;virtModeType=default&amp;virtMode=0&amp;nonVirtPosition=&amp;position=chr1:181150930-181168994","chr1:181150930-181168994")</f>
        <v>chr1:181150930-181168994</v>
      </c>
      <c r="F580" t="s">
        <v>30</v>
      </c>
      <c r="G580">
        <v>-0.693237988380765</v>
      </c>
      <c r="H580">
        <v>0.141757923377482</v>
      </c>
      <c r="I580">
        <v>-4.8902944672430699</v>
      </c>
      <c r="J580" s="1">
        <v>1.0068524136739601E-6</v>
      </c>
      <c r="K580" s="1">
        <v>2.3407570610257E-5</v>
      </c>
      <c r="L580" t="s">
        <v>26</v>
      </c>
      <c r="M580" t="s">
        <v>27</v>
      </c>
      <c r="N580">
        <v>239.70360425703601</v>
      </c>
      <c r="O580">
        <v>309.47538317199599</v>
      </c>
      <c r="P580">
        <v>187.37477007081699</v>
      </c>
      <c r="Q580">
        <v>269.487592266771</v>
      </c>
      <c r="R580">
        <v>313.26456073440301</v>
      </c>
      <c r="S580">
        <v>345.67399651481401</v>
      </c>
      <c r="T580">
        <v>174.152279192088</v>
      </c>
      <c r="U580">
        <v>199.136877367355</v>
      </c>
      <c r="V580">
        <v>185.38471321882599</v>
      </c>
      <c r="W580">
        <v>190.82521050499801</v>
      </c>
    </row>
    <row r="581" spans="1:23" x14ac:dyDescent="0.2">
      <c r="A581" t="s">
        <v>1178</v>
      </c>
      <c r="B581" s="3" t="str">
        <f>HYPERLINK("http://www.ncbi.nlm.nih.gov/gene/216846","Cntrob")</f>
        <v>Cntrob</v>
      </c>
      <c r="C581">
        <v>216846</v>
      </c>
      <c r="D581" t="s">
        <v>1179</v>
      </c>
      <c r="E581" s="3" t="str">
        <f>HYPERLINK("http://genome.ucsc.edu/cgi-bin/hgTracks?db=mm10&amp;lastVirtModeType=default&amp;lastVirtModeExtraState=&amp;virtModeType=default&amp;virtMode=0&amp;nonVirtPosition=&amp;position=chr11:69299495-69323873","chr11:69299495-69323873")</f>
        <v>chr11:69299495-69323873</v>
      </c>
      <c r="F581" t="s">
        <v>25</v>
      </c>
      <c r="G581">
        <v>0.891556390684625</v>
      </c>
      <c r="H581">
        <v>0.182342543509558</v>
      </c>
      <c r="I581">
        <v>4.8894590013102999</v>
      </c>
      <c r="J581" s="1">
        <v>1.0111347850971699E-6</v>
      </c>
      <c r="K581" s="1">
        <v>2.3466388054135499E-5</v>
      </c>
      <c r="L581" t="s">
        <v>26</v>
      </c>
      <c r="M581" t="s">
        <v>27</v>
      </c>
      <c r="N581">
        <v>163.497248426585</v>
      </c>
      <c r="O581">
        <v>105.348001011235</v>
      </c>
      <c r="P581">
        <v>207.10918398809699</v>
      </c>
      <c r="Q581">
        <v>87.416429722898798</v>
      </c>
      <c r="R581">
        <v>103.915847023276</v>
      </c>
      <c r="S581">
        <v>124.71172628753</v>
      </c>
      <c r="T581">
        <v>229.147735779063</v>
      </c>
      <c r="U581">
        <v>239.82075553918</v>
      </c>
      <c r="V581">
        <v>166.25771899783601</v>
      </c>
      <c r="W581">
        <v>193.21052563631099</v>
      </c>
    </row>
    <row r="582" spans="1:23" x14ac:dyDescent="0.2">
      <c r="A582" t="s">
        <v>1180</v>
      </c>
      <c r="B582" s="3" t="str">
        <f>HYPERLINK("http://www.ncbi.nlm.nih.gov/gene/233490","Crebzf")</f>
        <v>Crebzf</v>
      </c>
      <c r="C582">
        <v>233490</v>
      </c>
      <c r="D582" t="s">
        <v>1181</v>
      </c>
      <c r="E582" s="3" t="str">
        <f>HYPERLINK("http://genome.ucsc.edu/cgi-bin/hgTracks?db=mm10&amp;lastVirtModeType=default&amp;lastVirtModeExtraState=&amp;virtModeType=default&amp;virtMode=0&amp;nonVirtPosition=&amp;position=chr7:90442780-90448043","chr7:90442780-90448043")</f>
        <v>chr7:90442780-90448043</v>
      </c>
      <c r="F582" t="s">
        <v>30</v>
      </c>
      <c r="G582">
        <v>0.73409837616356599</v>
      </c>
      <c r="H582">
        <v>0.15017760029778901</v>
      </c>
      <c r="I582">
        <v>4.8882015341030396</v>
      </c>
      <c r="J582" s="1">
        <v>1.0176132887493001E-6</v>
      </c>
      <c r="K582" s="1">
        <v>2.3575881573774999E-5</v>
      </c>
      <c r="L582" t="s">
        <v>26</v>
      </c>
      <c r="M582" t="s">
        <v>27</v>
      </c>
      <c r="N582">
        <v>268.930519867594</v>
      </c>
      <c r="O582">
        <v>192.30364957484201</v>
      </c>
      <c r="P582">
        <v>326.400672587158</v>
      </c>
      <c r="Q582">
        <v>178.73040726783799</v>
      </c>
      <c r="R582">
        <v>172.560986845222</v>
      </c>
      <c r="S582">
        <v>225.61955461146599</v>
      </c>
      <c r="T582">
        <v>316.22387537510701</v>
      </c>
      <c r="U582">
        <v>346.88359283345699</v>
      </c>
      <c r="V582">
        <v>284.69795244319698</v>
      </c>
      <c r="W582">
        <v>357.79726969687198</v>
      </c>
    </row>
    <row r="583" spans="1:23" x14ac:dyDescent="0.2">
      <c r="A583" t="s">
        <v>1182</v>
      </c>
      <c r="B583" s="3" t="str">
        <f>HYPERLINK("http://www.ncbi.nlm.nih.gov/gene/56434","Tspan3")</f>
        <v>Tspan3</v>
      </c>
      <c r="C583">
        <v>56434</v>
      </c>
      <c r="D583" t="s">
        <v>1183</v>
      </c>
      <c r="E583" s="3" t="str">
        <f>HYPERLINK("http://genome.ucsc.edu/cgi-bin/hgTracks?db=mm10&amp;lastVirtModeType=default&amp;lastVirtModeExtraState=&amp;virtModeType=default&amp;virtMode=0&amp;nonVirtPosition=&amp;position=chr9:56135883-56161070","chr9:56135883-56161070")</f>
        <v>chr9:56135883-56161070</v>
      </c>
      <c r="F583" t="s">
        <v>25</v>
      </c>
      <c r="G583">
        <v>-0.74721532947642</v>
      </c>
      <c r="H583">
        <v>0.15287422988243199</v>
      </c>
      <c r="I583">
        <v>-4.8877782086036703</v>
      </c>
      <c r="J583" s="1">
        <v>1.01980324811953E-6</v>
      </c>
      <c r="K583" s="1">
        <v>2.3585812254867999E-5</v>
      </c>
      <c r="L583" t="s">
        <v>26</v>
      </c>
      <c r="M583" t="s">
        <v>27</v>
      </c>
      <c r="N583">
        <v>1280.18670149066</v>
      </c>
      <c r="O583">
        <v>1683.32843024351</v>
      </c>
      <c r="P583">
        <v>977.83040492603004</v>
      </c>
      <c r="Q583">
        <v>2080.7337444233899</v>
      </c>
      <c r="R583">
        <v>1480.99044753976</v>
      </c>
      <c r="S583">
        <v>1488.26109876737</v>
      </c>
      <c r="T583">
        <v>843.26366766695298</v>
      </c>
      <c r="U583">
        <v>1053.4983189756799</v>
      </c>
      <c r="V583">
        <v>1055.6629502738699</v>
      </c>
      <c r="W583">
        <v>958.89668278761701</v>
      </c>
    </row>
    <row r="584" spans="1:23" x14ac:dyDescent="0.2">
      <c r="A584" t="s">
        <v>1184</v>
      </c>
      <c r="B584" s="3" t="str">
        <f>HYPERLINK("http://www.ncbi.nlm.nih.gov/gene/232685","Lncpint")</f>
        <v>Lncpint</v>
      </c>
      <c r="C584">
        <v>232685</v>
      </c>
      <c r="D584" t="s">
        <v>1185</v>
      </c>
      <c r="E584" s="3" t="str">
        <f>HYPERLINK("http://genome.ucsc.edu/cgi-bin/hgTracks?db=mm10&amp;lastVirtModeType=default&amp;lastVirtModeExtraState=&amp;virtModeType=default&amp;virtMode=0&amp;nonVirtPosition=&amp;position=chr6:31093562-31218474","chr6:31093562-31218474")</f>
        <v>chr6:31093562-31218474</v>
      </c>
      <c r="F584" t="s">
        <v>25</v>
      </c>
      <c r="G584">
        <v>1.02840649002034</v>
      </c>
      <c r="H584">
        <v>0.210436918087896</v>
      </c>
      <c r="I584">
        <v>4.8870060413581697</v>
      </c>
      <c r="J584" s="1">
        <v>1.02380953468623E-6</v>
      </c>
      <c r="K584" s="1">
        <v>2.36376439292815E-5</v>
      </c>
      <c r="L584" t="s">
        <v>26</v>
      </c>
      <c r="M584" t="s">
        <v>27</v>
      </c>
      <c r="N584">
        <v>125.402172517254</v>
      </c>
      <c r="O584">
        <v>76.188387314274706</v>
      </c>
      <c r="P584">
        <v>162.312511419488</v>
      </c>
      <c r="Q584">
        <v>57.906424784595401</v>
      </c>
      <c r="R584">
        <v>65.611100492798599</v>
      </c>
      <c r="S584">
        <v>105.04763666543001</v>
      </c>
      <c r="T584">
        <v>142.07159618301901</v>
      </c>
      <c r="U584">
        <v>162.735512687301</v>
      </c>
      <c r="V584">
        <v>175.085562484447</v>
      </c>
      <c r="W584">
        <v>169.35737432318601</v>
      </c>
    </row>
    <row r="585" spans="1:23" x14ac:dyDescent="0.2">
      <c r="A585" t="s">
        <v>1186</v>
      </c>
      <c r="B585" s="3" t="str">
        <f>HYPERLINK("http://www.ncbi.nlm.nih.gov/gene/56219","Extl1")</f>
        <v>Extl1</v>
      </c>
      <c r="C585">
        <v>56219</v>
      </c>
      <c r="D585" t="s">
        <v>1187</v>
      </c>
      <c r="E585" s="3" t="str">
        <f>HYPERLINK("http://genome.ucsc.edu/cgi-bin/hgTracks?db=mm10&amp;lastVirtModeType=default&amp;lastVirtModeExtraState=&amp;virtModeType=default&amp;virtMode=0&amp;nonVirtPosition=&amp;position=chr4:134356372-134372547","chr4:134356372-134372547")</f>
        <v>chr4:134356372-134372547</v>
      </c>
      <c r="F585" t="s">
        <v>25</v>
      </c>
      <c r="G585">
        <v>1.4671309221630999</v>
      </c>
      <c r="H585">
        <v>0.30024123797667701</v>
      </c>
      <c r="I585">
        <v>4.8865070369749404</v>
      </c>
      <c r="J585" s="1">
        <v>1.02640660577811E-6</v>
      </c>
      <c r="K585" s="1">
        <v>2.3656817311488201E-5</v>
      </c>
      <c r="L585" t="s">
        <v>26</v>
      </c>
      <c r="M585" t="s">
        <v>27</v>
      </c>
      <c r="N585">
        <v>105.702674605038</v>
      </c>
      <c r="O585">
        <v>44.812153116670601</v>
      </c>
      <c r="P585">
        <v>151.370565721313</v>
      </c>
      <c r="Q585">
        <v>81.291711716835806</v>
      </c>
      <c r="R585">
        <v>28.823373626894199</v>
      </c>
      <c r="S585">
        <v>24.3213740062818</v>
      </c>
      <c r="T585">
        <v>142.07159618301901</v>
      </c>
      <c r="U585">
        <v>128.47540475313201</v>
      </c>
      <c r="V585">
        <v>150.07333927238301</v>
      </c>
      <c r="W585">
        <v>184.861922676717</v>
      </c>
    </row>
    <row r="586" spans="1:23" x14ac:dyDescent="0.2">
      <c r="A586" t="s">
        <v>1188</v>
      </c>
      <c r="B586" s="3" t="str">
        <f>HYPERLINK("http://www.ncbi.nlm.nih.gov/gene/72713","Angptl1")</f>
        <v>Angptl1</v>
      </c>
      <c r="C586">
        <v>72713</v>
      </c>
      <c r="D586" t="s">
        <v>1189</v>
      </c>
      <c r="E586" s="3" t="str">
        <f>HYPERLINK("http://genome.ucsc.edu/cgi-bin/hgTracks?db=mm10&amp;lastVirtModeType=default&amp;lastVirtModeExtraState=&amp;virtModeType=default&amp;virtMode=0&amp;nonVirtPosition=&amp;position=chr1:156839022-156861079","chr1:156839022-156861079")</f>
        <v>chr1:156839022-156861079</v>
      </c>
      <c r="F586" t="s">
        <v>30</v>
      </c>
      <c r="G586">
        <v>1.5259754174845801</v>
      </c>
      <c r="H586">
        <v>0.31231408449852999</v>
      </c>
      <c r="I586">
        <v>4.8860281787636097</v>
      </c>
      <c r="J586" s="1">
        <v>1.02890478741224E-6</v>
      </c>
      <c r="K586" s="1">
        <v>2.3673649498689601E-5</v>
      </c>
      <c r="L586" t="s">
        <v>26</v>
      </c>
      <c r="M586" t="s">
        <v>27</v>
      </c>
      <c r="N586">
        <v>34.1326648036055</v>
      </c>
      <c r="O586">
        <v>13.3653958621799</v>
      </c>
      <c r="P586">
        <v>49.708116509674703</v>
      </c>
      <c r="Q586">
        <v>21.7149092942233</v>
      </c>
      <c r="R586">
        <v>10.619137652013601</v>
      </c>
      <c r="S586">
        <v>7.7621406403027198</v>
      </c>
      <c r="T586">
        <v>59.578411302556397</v>
      </c>
      <c r="U586">
        <v>47.107648409481797</v>
      </c>
      <c r="V586">
        <v>55.174021791317301</v>
      </c>
      <c r="W586">
        <v>36.972384535343402</v>
      </c>
    </row>
    <row r="587" spans="1:23" x14ac:dyDescent="0.2">
      <c r="A587" t="s">
        <v>1190</v>
      </c>
      <c r="B587" s="3" t="str">
        <f>HYPERLINK("http://www.ncbi.nlm.nih.gov/gene/69539","Trnp1")</f>
        <v>Trnp1</v>
      </c>
      <c r="C587">
        <v>69539</v>
      </c>
      <c r="D587" t="s">
        <v>1191</v>
      </c>
      <c r="E587" s="3" t="str">
        <f>HYPERLINK("http://genome.ucsc.edu/cgi-bin/hgTracks?db=mm10&amp;lastVirtModeType=default&amp;lastVirtModeExtraState=&amp;virtModeType=default&amp;virtMode=0&amp;nonVirtPosition=&amp;position=chr4:133491099-133498550","chr4:133491099-133498550")</f>
        <v>chr4:133491099-133498550</v>
      </c>
      <c r="F587" t="s">
        <v>25</v>
      </c>
      <c r="G587">
        <v>-1.0257339348724399</v>
      </c>
      <c r="H587">
        <v>0.210032456512911</v>
      </c>
      <c r="I587">
        <v>-4.8836925106829403</v>
      </c>
      <c r="J587" s="1">
        <v>1.0411739876260201E-6</v>
      </c>
      <c r="K587" s="1">
        <v>2.3914855691766699E-5</v>
      </c>
      <c r="L587" t="s">
        <v>26</v>
      </c>
      <c r="M587" t="s">
        <v>27</v>
      </c>
      <c r="N587">
        <v>129.039803669713</v>
      </c>
      <c r="O587">
        <v>184.63377414367699</v>
      </c>
      <c r="P587">
        <v>87.344325814239497</v>
      </c>
      <c r="Q587">
        <v>240.53437987447299</v>
      </c>
      <c r="R587">
        <v>142.59984846989801</v>
      </c>
      <c r="S587">
        <v>170.76709408665999</v>
      </c>
      <c r="T587">
        <v>100.825003742788</v>
      </c>
      <c r="U587">
        <v>83.509013089535898</v>
      </c>
      <c r="V587">
        <v>77.979284131728406</v>
      </c>
      <c r="W587">
        <v>87.064002292905499</v>
      </c>
    </row>
    <row r="588" spans="1:23" x14ac:dyDescent="0.2">
      <c r="A588" t="s">
        <v>1192</v>
      </c>
      <c r="B588" s="3" t="str">
        <f>HYPERLINK("http://www.ncbi.nlm.nih.gov/gene/100226","Stx12")</f>
        <v>Stx12</v>
      </c>
      <c r="C588">
        <v>100226</v>
      </c>
      <c r="D588" t="s">
        <v>1193</v>
      </c>
      <c r="E588" s="3" t="str">
        <f>HYPERLINK("http://genome.ucsc.edu/cgi-bin/hgTracks?db=mm10&amp;lastVirtModeType=default&amp;lastVirtModeExtraState=&amp;virtModeType=default&amp;virtMode=0&amp;nonVirtPosition=&amp;position=chr4:132854063-132884458","chr4:132854063-132884458")</f>
        <v>chr4:132854063-132884458</v>
      </c>
      <c r="F588" t="s">
        <v>25</v>
      </c>
      <c r="G588">
        <v>-0.59458605490912297</v>
      </c>
      <c r="H588">
        <v>0.12180184458043899</v>
      </c>
      <c r="I588">
        <v>-4.8815849789241401</v>
      </c>
      <c r="J588" s="1">
        <v>1.05236555247899E-6</v>
      </c>
      <c r="K588" s="1">
        <v>2.4130525878846099E-5</v>
      </c>
      <c r="L588" t="s">
        <v>26</v>
      </c>
      <c r="M588" t="s">
        <v>27</v>
      </c>
      <c r="N588">
        <v>672.38486596719304</v>
      </c>
      <c r="O588">
        <v>840.06093013442899</v>
      </c>
      <c r="P588">
        <v>546.62781784176696</v>
      </c>
      <c r="Q588">
        <v>861.35806867085705</v>
      </c>
      <c r="R588">
        <v>856.73685556781504</v>
      </c>
      <c r="S588">
        <v>802.08786616461396</v>
      </c>
      <c r="T588">
        <v>494.95910928277601</v>
      </c>
      <c r="U588">
        <v>595.26937535617901</v>
      </c>
      <c r="V588">
        <v>612.06381507167998</v>
      </c>
      <c r="W588">
        <v>484.21897165643298</v>
      </c>
    </row>
    <row r="589" spans="1:23" x14ac:dyDescent="0.2">
      <c r="A589" t="s">
        <v>1194</v>
      </c>
      <c r="B589" s="3" t="str">
        <f>HYPERLINK("http://www.ncbi.nlm.nih.gov/gene/67392","4833420G17Rik")</f>
        <v>4833420G17Rik</v>
      </c>
      <c r="C589">
        <v>67392</v>
      </c>
      <c r="D589" t="s">
        <v>1195</v>
      </c>
      <c r="E589" s="3" t="str">
        <f>HYPERLINK("http://genome.ucsc.edu/cgi-bin/hgTracks?db=mm10&amp;lastVirtModeType=default&amp;lastVirtModeExtraState=&amp;virtModeType=default&amp;virtMode=0&amp;nonVirtPosition=&amp;position=chr13:119462758-119486117","chr13:119462758-119486117")</f>
        <v>chr13:119462758-119486117</v>
      </c>
      <c r="F589" t="s">
        <v>30</v>
      </c>
      <c r="G589">
        <v>0.72760499557265101</v>
      </c>
      <c r="H589">
        <v>0.14911655683035299</v>
      </c>
      <c r="I589">
        <v>4.8794380117053899</v>
      </c>
      <c r="J589" s="1">
        <v>1.0638855404428701E-6</v>
      </c>
      <c r="K589" s="1">
        <v>2.43529765334537E-5</v>
      </c>
      <c r="L589" t="s">
        <v>26</v>
      </c>
      <c r="M589" t="s">
        <v>27</v>
      </c>
      <c r="N589">
        <v>230.31061892384099</v>
      </c>
      <c r="O589">
        <v>164.011239961954</v>
      </c>
      <c r="P589">
        <v>280.035153145256</v>
      </c>
      <c r="Q589">
        <v>146.993232145511</v>
      </c>
      <c r="R589">
        <v>193.42000723310599</v>
      </c>
      <c r="S589">
        <v>151.62048050724599</v>
      </c>
      <c r="T589">
        <v>311.64092065952599</v>
      </c>
      <c r="U589">
        <v>250.52703926860801</v>
      </c>
      <c r="V589">
        <v>272.92749446104898</v>
      </c>
      <c r="W589">
        <v>285.04515819184098</v>
      </c>
    </row>
    <row r="590" spans="1:23" x14ac:dyDescent="0.2">
      <c r="A590" t="s">
        <v>1196</v>
      </c>
      <c r="B590" s="3" t="str">
        <f>HYPERLINK("http://www.ncbi.nlm.nih.gov/gene/65254","Dpysl5")</f>
        <v>Dpysl5</v>
      </c>
      <c r="C590">
        <v>65254</v>
      </c>
      <c r="D590" t="s">
        <v>1197</v>
      </c>
      <c r="E590" s="3" t="str">
        <f>HYPERLINK("http://genome.ucsc.edu/cgi-bin/hgTracks?db=mm10&amp;lastVirtModeType=default&amp;lastVirtModeExtraState=&amp;virtModeType=default&amp;virtMode=0&amp;nonVirtPosition=&amp;position=chr5:30711894-30799369","chr5:30711894-30799369")</f>
        <v>chr5:30711894-30799369</v>
      </c>
      <c r="F590" t="s">
        <v>30</v>
      </c>
      <c r="G590">
        <v>1.0896169484956899</v>
      </c>
      <c r="H590">
        <v>0.22337111399498399</v>
      </c>
      <c r="I590">
        <v>4.8780566520349602</v>
      </c>
      <c r="J590" s="1">
        <v>1.0713615677084201E-6</v>
      </c>
      <c r="K590" s="1">
        <v>2.4467770803426401E-5</v>
      </c>
      <c r="L590" t="s">
        <v>26</v>
      </c>
      <c r="M590" t="s">
        <v>27</v>
      </c>
      <c r="N590">
        <v>67.680154454939299</v>
      </c>
      <c r="O590">
        <v>39.964084153728102</v>
      </c>
      <c r="P590">
        <v>88.467207180847595</v>
      </c>
      <c r="Q590">
        <v>47.8841589564923</v>
      </c>
      <c r="R590">
        <v>40.959530943481198</v>
      </c>
      <c r="S590">
        <v>31.0485625612109</v>
      </c>
      <c r="T590">
        <v>68.744320733718993</v>
      </c>
      <c r="U590">
        <v>85.650269835421398</v>
      </c>
      <c r="V590">
        <v>89.749742113876096</v>
      </c>
      <c r="W590">
        <v>109.72449604037401</v>
      </c>
    </row>
    <row r="591" spans="1:23" x14ac:dyDescent="0.2">
      <c r="A591" t="s">
        <v>1198</v>
      </c>
      <c r="B591" s="3" t="str">
        <f>HYPERLINK("http://www.ncbi.nlm.nih.gov/gene/240753","Plekha6")</f>
        <v>Plekha6</v>
      </c>
      <c r="C591">
        <v>240753</v>
      </c>
      <c r="D591" t="s">
        <v>1199</v>
      </c>
      <c r="E591" s="3" t="str">
        <f>HYPERLINK("http://genome.ucsc.edu/cgi-bin/hgTracks?db=mm10&amp;lastVirtModeType=default&amp;lastVirtModeExtraState=&amp;virtModeType=default&amp;virtMode=0&amp;nonVirtPosition=&amp;position=chr1:133246096-133303435","chr1:133246096-133303435")</f>
        <v>chr1:133246096-133303435</v>
      </c>
      <c r="F591" t="s">
        <v>30</v>
      </c>
      <c r="G591">
        <v>0.93802560548693703</v>
      </c>
      <c r="H591">
        <v>0.192307890249591</v>
      </c>
      <c r="I591">
        <v>4.8777281278968898</v>
      </c>
      <c r="J591" s="1">
        <v>1.07314699409669E-6</v>
      </c>
      <c r="K591" s="1">
        <v>2.4467770803426401E-5</v>
      </c>
      <c r="L591" t="s">
        <v>26</v>
      </c>
      <c r="M591" t="s">
        <v>27</v>
      </c>
      <c r="N591">
        <v>202.42305519430701</v>
      </c>
      <c r="O591">
        <v>130.26552040503799</v>
      </c>
      <c r="P591">
        <v>256.54120628625901</v>
      </c>
      <c r="Q591">
        <v>174.83285944579799</v>
      </c>
      <c r="R591">
        <v>108.84616093314</v>
      </c>
      <c r="S591">
        <v>107.117540836177</v>
      </c>
      <c r="T591">
        <v>215.39887163231899</v>
      </c>
      <c r="U591">
        <v>256.95080950626402</v>
      </c>
      <c r="V591">
        <v>260.42138285501699</v>
      </c>
      <c r="W591">
        <v>293.393761151435</v>
      </c>
    </row>
    <row r="592" spans="1:23" x14ac:dyDescent="0.2">
      <c r="A592" t="s">
        <v>1200</v>
      </c>
      <c r="B592" s="3" t="str">
        <f>HYPERLINK("http://www.ncbi.nlm.nih.gov/gene/23792","Adam23")</f>
        <v>Adam23</v>
      </c>
      <c r="C592">
        <v>23792</v>
      </c>
      <c r="D592" t="s">
        <v>1201</v>
      </c>
      <c r="E592" s="3" t="str">
        <f>HYPERLINK("http://genome.ucsc.edu/cgi-bin/hgTracks?db=mm10&amp;lastVirtModeType=default&amp;lastVirtModeExtraState=&amp;virtModeType=default&amp;virtMode=0&amp;nonVirtPosition=&amp;position=chr1:63445890-63596101","chr1:63445890-63596101")</f>
        <v>chr1:63445890-63596101</v>
      </c>
      <c r="F592" t="s">
        <v>30</v>
      </c>
      <c r="G592">
        <v>0.99061631406711204</v>
      </c>
      <c r="H592">
        <v>0.203104809396988</v>
      </c>
      <c r="I592">
        <v>4.8773651249727799</v>
      </c>
      <c r="J592" s="1">
        <v>1.0751231320168999E-6</v>
      </c>
      <c r="K592" s="1">
        <v>2.4467770803426401E-5</v>
      </c>
      <c r="L592" t="s">
        <v>26</v>
      </c>
      <c r="M592" t="s">
        <v>27</v>
      </c>
      <c r="N592">
        <v>505.38924968964102</v>
      </c>
      <c r="O592">
        <v>313.02836580579799</v>
      </c>
      <c r="P592">
        <v>649.65991260252304</v>
      </c>
      <c r="Q592">
        <v>409.24252131420798</v>
      </c>
      <c r="R592">
        <v>318.19487464426601</v>
      </c>
      <c r="S592">
        <v>211.64770145892101</v>
      </c>
      <c r="T592">
        <v>527.03979229184495</v>
      </c>
      <c r="U592">
        <v>580.28057813498003</v>
      </c>
      <c r="V592">
        <v>726.82578039761904</v>
      </c>
      <c r="W592">
        <v>764.49349958565006</v>
      </c>
    </row>
    <row r="593" spans="1:23" x14ac:dyDescent="0.2">
      <c r="A593" t="s">
        <v>1202</v>
      </c>
      <c r="B593" s="3" t="str">
        <f>HYPERLINK("http://www.ncbi.nlm.nih.gov/gene/212391","Lcor")</f>
        <v>Lcor</v>
      </c>
      <c r="C593">
        <v>212391</v>
      </c>
      <c r="D593" t="s">
        <v>1203</v>
      </c>
      <c r="E593" s="3" t="str">
        <f>HYPERLINK("http://genome.ucsc.edu/cgi-bin/hgTracks?db=mm10&amp;lastVirtModeType=default&amp;lastVirtModeExtraState=&amp;virtModeType=default&amp;virtMode=0&amp;nonVirtPosition=&amp;position=chr19:41549638-41559781","chr19:41549638-41559781")</f>
        <v>chr19:41549638-41559781</v>
      </c>
      <c r="F593" t="s">
        <v>30</v>
      </c>
      <c r="G593">
        <v>0.77736441707326298</v>
      </c>
      <c r="H593">
        <v>0.15938855329772</v>
      </c>
      <c r="I593">
        <v>4.8771659004974497</v>
      </c>
      <c r="J593" s="1">
        <v>1.0762091705786101E-6</v>
      </c>
      <c r="K593" s="1">
        <v>2.4467770803426401E-5</v>
      </c>
      <c r="L593" t="s">
        <v>26</v>
      </c>
      <c r="M593" t="s">
        <v>27</v>
      </c>
      <c r="N593">
        <v>169.048236980501</v>
      </c>
      <c r="O593">
        <v>120.264522321532</v>
      </c>
      <c r="P593">
        <v>205.63602297472801</v>
      </c>
      <c r="Q593">
        <v>108.57454647111599</v>
      </c>
      <c r="R593">
        <v>113.01796501071701</v>
      </c>
      <c r="S593">
        <v>139.201055482762</v>
      </c>
      <c r="T593">
        <v>164.98636976092499</v>
      </c>
      <c r="U593">
        <v>211.98441784266799</v>
      </c>
      <c r="V593">
        <v>227.316969780227</v>
      </c>
      <c r="W593">
        <v>218.25633451509199</v>
      </c>
    </row>
    <row r="594" spans="1:23" x14ac:dyDescent="0.2">
      <c r="A594" t="s">
        <v>1204</v>
      </c>
      <c r="B594" s="3" t="str">
        <f>HYPERLINK("http://www.ncbi.nlm.nih.gov/gene/100504114","Gm16907")</f>
        <v>Gm16907</v>
      </c>
      <c r="C594">
        <v>100504114</v>
      </c>
      <c r="D594" t="s">
        <v>1205</v>
      </c>
      <c r="E594" s="3" t="str">
        <f>HYPERLINK("http://genome.ucsc.edu/cgi-bin/hgTracks?db=mm10&amp;lastVirtModeType=default&amp;lastVirtModeExtraState=&amp;virtModeType=default&amp;virtMode=0&amp;nonVirtPosition=&amp;position=chr13:63289153-63297147","chr13:63289153-63297147")</f>
        <v>chr13:63289153-63297147</v>
      </c>
      <c r="F594" t="s">
        <v>25</v>
      </c>
      <c r="G594">
        <v>1.32468850854413</v>
      </c>
      <c r="H594">
        <v>0.27168286243872403</v>
      </c>
      <c r="I594">
        <v>4.8758633380598404</v>
      </c>
      <c r="J594" s="1">
        <v>1.0833359314109599E-6</v>
      </c>
      <c r="K594" s="1">
        <v>2.45880533178377E-5</v>
      </c>
      <c r="L594" t="s">
        <v>26</v>
      </c>
      <c r="M594" t="s">
        <v>27</v>
      </c>
      <c r="N594">
        <v>50.870675859434499</v>
      </c>
      <c r="O594">
        <v>25.371051277026002</v>
      </c>
      <c r="P594">
        <v>69.995394296241003</v>
      </c>
      <c r="Q594">
        <v>26.169249662269099</v>
      </c>
      <c r="R594">
        <v>16.307961394163801</v>
      </c>
      <c r="S594">
        <v>33.635942774645102</v>
      </c>
      <c r="T594">
        <v>54.995456586975202</v>
      </c>
      <c r="U594">
        <v>57.8139321389095</v>
      </c>
      <c r="V594">
        <v>86.071473994454905</v>
      </c>
      <c r="W594">
        <v>81.100714464624303</v>
      </c>
    </row>
    <row r="595" spans="1:23" x14ac:dyDescent="0.2">
      <c r="A595" t="s">
        <v>1206</v>
      </c>
      <c r="B595" s="3" t="str">
        <f>HYPERLINK("http://www.ncbi.nlm.nih.gov/gene/19070","Mob4")</f>
        <v>Mob4</v>
      </c>
      <c r="C595">
        <v>19070</v>
      </c>
      <c r="D595" t="s">
        <v>1207</v>
      </c>
      <c r="E595" s="3" t="str">
        <f>HYPERLINK("http://genome.ucsc.edu/cgi-bin/hgTracks?db=mm10&amp;lastVirtModeType=default&amp;lastVirtModeExtraState=&amp;virtModeType=default&amp;virtMode=0&amp;nonVirtPosition=&amp;position=chr1:55131244-55154899","chr1:55131244-55154899")</f>
        <v>chr1:55131244-55154899</v>
      </c>
      <c r="F595" t="s">
        <v>30</v>
      </c>
      <c r="G595">
        <v>-0.54721811766704698</v>
      </c>
      <c r="H595">
        <v>0.112271899128429</v>
      </c>
      <c r="I595">
        <v>-4.8740434776210702</v>
      </c>
      <c r="J595" s="1">
        <v>1.09336910336516E-6</v>
      </c>
      <c r="K595" s="1">
        <v>2.4773782847991301E-5</v>
      </c>
      <c r="L595" t="s">
        <v>26</v>
      </c>
      <c r="M595" t="s">
        <v>27</v>
      </c>
      <c r="N595">
        <v>363.38004761820298</v>
      </c>
      <c r="O595">
        <v>445.661804701741</v>
      </c>
      <c r="P595">
        <v>301.66872980555002</v>
      </c>
      <c r="Q595">
        <v>458.24026536271202</v>
      </c>
      <c r="R595">
        <v>457.00217395273</v>
      </c>
      <c r="S595">
        <v>421.74297478978099</v>
      </c>
      <c r="T595">
        <v>297.89205651278201</v>
      </c>
      <c r="U595">
        <v>291.21091744043298</v>
      </c>
      <c r="V595">
        <v>297.93971767311302</v>
      </c>
      <c r="W595">
        <v>319.632227595872</v>
      </c>
    </row>
    <row r="596" spans="1:23" x14ac:dyDescent="0.2">
      <c r="A596" t="s">
        <v>1208</v>
      </c>
      <c r="B596" s="3" t="str">
        <f>HYPERLINK("http://www.ncbi.nlm.nih.gov/gene/77305","Wdr82")</f>
        <v>Wdr82</v>
      </c>
      <c r="C596">
        <v>77305</v>
      </c>
      <c r="D596" t="s">
        <v>1209</v>
      </c>
      <c r="E596" s="3" t="str">
        <f>HYPERLINK("http://genome.ucsc.edu/cgi-bin/hgTracks?db=mm10&amp;lastVirtModeType=default&amp;lastVirtModeExtraState=&amp;virtModeType=default&amp;virtMode=0&amp;nonVirtPosition=&amp;position=chr9:106170928-106191706","chr9:106170928-106191706")</f>
        <v>chr9:106170928-106191706</v>
      </c>
      <c r="F596" t="s">
        <v>30</v>
      </c>
      <c r="G596">
        <v>-0.45800581609679403</v>
      </c>
      <c r="H596">
        <v>9.3985264254637296E-2</v>
      </c>
      <c r="I596">
        <v>-4.8731662322713003</v>
      </c>
      <c r="J596" s="1">
        <v>1.09823737623981E-6</v>
      </c>
      <c r="K596" s="1">
        <v>2.4842055245316301E-5</v>
      </c>
      <c r="L596" t="s">
        <v>26</v>
      </c>
      <c r="M596" t="s">
        <v>27</v>
      </c>
      <c r="N596">
        <v>797.87332758392802</v>
      </c>
      <c r="O596">
        <v>944.38230640792199</v>
      </c>
      <c r="P596">
        <v>687.99159346593206</v>
      </c>
      <c r="Q596">
        <v>912.58298290338303</v>
      </c>
      <c r="R596">
        <v>972.03035007539199</v>
      </c>
      <c r="S596">
        <v>948.53358624499197</v>
      </c>
      <c r="T596">
        <v>714.94093563067702</v>
      </c>
      <c r="U596">
        <v>685.20215868337095</v>
      </c>
      <c r="V596">
        <v>667.23783686299703</v>
      </c>
      <c r="W596">
        <v>684.58544268668197</v>
      </c>
    </row>
    <row r="597" spans="1:23" x14ac:dyDescent="0.2">
      <c r="A597" t="s">
        <v>1210</v>
      </c>
      <c r="B597" s="3" t="str">
        <f>HYPERLINK("http://www.ncbi.nlm.nih.gov/gene/212427","A730008H23Rik")</f>
        <v>A730008H23Rik</v>
      </c>
      <c r="C597">
        <v>212427</v>
      </c>
      <c r="D597" t="s">
        <v>1211</v>
      </c>
      <c r="E597" s="3" t="str">
        <f>HYPERLINK("http://genome.ucsc.edu/cgi-bin/hgTracks?db=mm10&amp;lastVirtModeType=default&amp;lastVirtModeExtraState=&amp;virtModeType=default&amp;virtMode=0&amp;nonVirtPosition=&amp;position=chr1:88264827-88277557","chr1:88264827-88277557")</f>
        <v>chr1:88264827-88277557</v>
      </c>
      <c r="F597" t="s">
        <v>25</v>
      </c>
      <c r="G597">
        <v>0.86501450939709801</v>
      </c>
      <c r="H597">
        <v>0.177784451824648</v>
      </c>
      <c r="I597">
        <v>4.8655239562246804</v>
      </c>
      <c r="J597" s="1">
        <v>1.1415398220308699E-6</v>
      </c>
      <c r="K597" s="1">
        <v>2.5778009707951798E-5</v>
      </c>
      <c r="L597" t="s">
        <v>26</v>
      </c>
      <c r="M597" t="s">
        <v>27</v>
      </c>
      <c r="N597">
        <v>1618.90700847269</v>
      </c>
      <c r="O597">
        <v>1075.0456378507999</v>
      </c>
      <c r="P597">
        <v>2026.80303643911</v>
      </c>
      <c r="Q597">
        <v>780.62314950002599</v>
      </c>
      <c r="R597">
        <v>1049.39835296863</v>
      </c>
      <c r="S597">
        <v>1395.1154110837399</v>
      </c>
      <c r="T597">
        <v>2245.64781063482</v>
      </c>
      <c r="U597">
        <v>1907.85976058401</v>
      </c>
      <c r="V597">
        <v>1873.7097800331301</v>
      </c>
      <c r="W597">
        <v>2079.9947945044801</v>
      </c>
    </row>
    <row r="598" spans="1:23" x14ac:dyDescent="0.2">
      <c r="A598" t="s">
        <v>1210</v>
      </c>
      <c r="B598" s="3" t="str">
        <f>HYPERLINK("http://www.ncbi.nlm.nih.gov/gene/381280","Hjurp")</f>
        <v>Hjurp</v>
      </c>
      <c r="C598">
        <v>381280</v>
      </c>
      <c r="D598" t="s">
        <v>1212</v>
      </c>
      <c r="E598" s="3" t="str">
        <f>HYPERLINK("http://genome.ucsc.edu/cgi-bin/hgTracks?db=mm10&amp;lastVirtModeType=default&amp;lastVirtModeExtraState=&amp;virtModeType=default&amp;virtMode=0&amp;nonVirtPosition=&amp;position=chr1:88258855-88277579","chr1:88258855-88277579")</f>
        <v>chr1:88258855-88277579</v>
      </c>
      <c r="F598" t="s">
        <v>25</v>
      </c>
      <c r="G598">
        <v>0.86501450939709801</v>
      </c>
      <c r="H598">
        <v>0.177784451824648</v>
      </c>
      <c r="I598">
        <v>4.8655239562246804</v>
      </c>
      <c r="J598" s="1">
        <v>1.1415398220308699E-6</v>
      </c>
      <c r="K598" s="1">
        <v>2.5778009707951798E-5</v>
      </c>
      <c r="L598" t="s">
        <v>26</v>
      </c>
      <c r="M598" t="s">
        <v>27</v>
      </c>
      <c r="N598">
        <v>1618.90700847269</v>
      </c>
      <c r="O598">
        <v>1075.0456378507999</v>
      </c>
      <c r="P598">
        <v>2026.80303643911</v>
      </c>
      <c r="Q598">
        <v>780.62314950002599</v>
      </c>
      <c r="R598">
        <v>1049.39835296863</v>
      </c>
      <c r="S598">
        <v>1395.1154110837399</v>
      </c>
      <c r="T598">
        <v>2245.64781063482</v>
      </c>
      <c r="U598">
        <v>1907.85976058401</v>
      </c>
      <c r="V598">
        <v>1873.7097800331301</v>
      </c>
      <c r="W598">
        <v>2079.9947945044801</v>
      </c>
    </row>
    <row r="599" spans="1:23" x14ac:dyDescent="0.2">
      <c r="A599" t="s">
        <v>1213</v>
      </c>
      <c r="B599" s="3" t="str">
        <f>HYPERLINK("http://www.ncbi.nlm.nih.gov/gene/13609","S1pr1")</f>
        <v>S1pr1</v>
      </c>
      <c r="C599">
        <v>13609</v>
      </c>
      <c r="D599" t="s">
        <v>1214</v>
      </c>
      <c r="E599" s="3" t="str">
        <f>HYPERLINK("http://genome.ucsc.edu/cgi-bin/hgTracks?db=mm10&amp;lastVirtModeType=default&amp;lastVirtModeExtraState=&amp;virtModeType=default&amp;virtMode=0&amp;nonVirtPosition=&amp;position=chr3:115710432-115715055","chr3:115710432-115715055")</f>
        <v>chr3:115710432-115715055</v>
      </c>
      <c r="F599" t="s">
        <v>25</v>
      </c>
      <c r="G599">
        <v>-1.0677473110975599</v>
      </c>
      <c r="H599">
        <v>0.219586282046727</v>
      </c>
      <c r="I599">
        <v>-4.8625410528620696</v>
      </c>
      <c r="J599" s="1">
        <v>1.1588833361779201E-6</v>
      </c>
      <c r="K599" s="1">
        <v>2.61256005972365E-5</v>
      </c>
      <c r="L599" t="s">
        <v>26</v>
      </c>
      <c r="M599" t="s">
        <v>27</v>
      </c>
      <c r="N599">
        <v>132.27264092795801</v>
      </c>
      <c r="O599">
        <v>191.880776607212</v>
      </c>
      <c r="P599">
        <v>87.566539168518503</v>
      </c>
      <c r="Q599">
        <v>200.44531656206101</v>
      </c>
      <c r="R599">
        <v>242.72314633174099</v>
      </c>
      <c r="S599">
        <v>132.473866927833</v>
      </c>
      <c r="T599">
        <v>105.407958458369</v>
      </c>
      <c r="U599">
        <v>74.943986105993702</v>
      </c>
      <c r="V599">
        <v>81.657552251149596</v>
      </c>
      <c r="W599">
        <v>88.256659858561704</v>
      </c>
    </row>
    <row r="600" spans="1:23" x14ac:dyDescent="0.2">
      <c r="A600" t="s">
        <v>1215</v>
      </c>
      <c r="B600" s="3" t="str">
        <f>HYPERLINK("http://www.ncbi.nlm.nih.gov/gene/18197","Nsg2")</f>
        <v>Nsg2</v>
      </c>
      <c r="C600">
        <v>18197</v>
      </c>
      <c r="D600" t="s">
        <v>1216</v>
      </c>
      <c r="E600" s="3" t="str">
        <f>HYPERLINK("http://genome.ucsc.edu/cgi-bin/hgTracks?db=mm10&amp;lastVirtModeType=default&amp;lastVirtModeExtraState=&amp;virtModeType=default&amp;virtMode=0&amp;nonVirtPosition=&amp;position=chr11:32000418-32059211","chr11:32000418-32059211")</f>
        <v>chr11:32000418-32059211</v>
      </c>
      <c r="F600" t="s">
        <v>30</v>
      </c>
      <c r="G600">
        <v>-0.82074647531269895</v>
      </c>
      <c r="H600">
        <v>0.168807686913405</v>
      </c>
      <c r="I600">
        <v>-4.86202074277415</v>
      </c>
      <c r="J600" s="1">
        <v>1.16193443371422E-6</v>
      </c>
      <c r="K600" s="1">
        <v>2.6150359667003502E-5</v>
      </c>
      <c r="L600" t="s">
        <v>26</v>
      </c>
      <c r="M600" t="s">
        <v>27</v>
      </c>
      <c r="N600">
        <v>933.21741649436797</v>
      </c>
      <c r="O600">
        <v>1260.0895647919699</v>
      </c>
      <c r="P600">
        <v>688.06330527116302</v>
      </c>
      <c r="Q600">
        <v>1548.9968629879299</v>
      </c>
      <c r="R600">
        <v>1234.09549713044</v>
      </c>
      <c r="S600">
        <v>997.17633425755503</v>
      </c>
      <c r="T600">
        <v>572.86933944765804</v>
      </c>
      <c r="U600">
        <v>640.23576701977504</v>
      </c>
      <c r="V600">
        <v>740.06754562753599</v>
      </c>
      <c r="W600">
        <v>799.08056898968096</v>
      </c>
    </row>
    <row r="601" spans="1:23" x14ac:dyDescent="0.2">
      <c r="A601" t="s">
        <v>1217</v>
      </c>
      <c r="B601" s="3" t="str">
        <f>HYPERLINK("http://www.ncbi.nlm.nih.gov/gene/192163","Pcdha3")</f>
        <v>Pcdha3</v>
      </c>
      <c r="C601">
        <v>192163</v>
      </c>
      <c r="D601" t="s">
        <v>1218</v>
      </c>
      <c r="E601" s="3" t="str">
        <f>HYPERLINK("http://genome.ucsc.edu/cgi-bin/hgTracks?db=mm10&amp;lastVirtModeType=default&amp;lastVirtModeExtraState=&amp;virtModeType=default&amp;virtMode=0&amp;nonVirtPosition=&amp;position=chr18:36946206-37187657","chr18:36946206-37187657")</f>
        <v>chr18:36946206-37187657</v>
      </c>
      <c r="F601" t="s">
        <v>30</v>
      </c>
      <c r="G601">
        <v>1.6721310497190101</v>
      </c>
      <c r="H601">
        <v>0.34400651412612399</v>
      </c>
      <c r="I601">
        <v>4.8607540295180502</v>
      </c>
      <c r="J601" s="1">
        <v>1.1693947858622101E-6</v>
      </c>
      <c r="K601" s="1">
        <v>2.6274103317921001E-5</v>
      </c>
      <c r="L601" t="s">
        <v>26</v>
      </c>
      <c r="M601" t="s">
        <v>27</v>
      </c>
      <c r="N601">
        <v>23.852287234261301</v>
      </c>
      <c r="O601">
        <v>7.9864019431957898</v>
      </c>
      <c r="P601">
        <v>35.751701202560497</v>
      </c>
      <c r="Q601">
        <v>10.579058374108801</v>
      </c>
      <c r="R601">
        <v>8.7228630712969295</v>
      </c>
      <c r="S601">
        <v>4.6572843841816303</v>
      </c>
      <c r="T601">
        <v>32.0806830090688</v>
      </c>
      <c r="U601">
        <v>17.130053967084301</v>
      </c>
      <c r="V601">
        <v>54.438368167432998</v>
      </c>
      <c r="W601">
        <v>39.357699666655897</v>
      </c>
    </row>
    <row r="602" spans="1:23" x14ac:dyDescent="0.2">
      <c r="A602" t="s">
        <v>1219</v>
      </c>
      <c r="B602" s="3" t="str">
        <f>HYPERLINK("http://www.ncbi.nlm.nih.gov/gene/66841","Etfdh")</f>
        <v>Etfdh</v>
      </c>
      <c r="C602">
        <v>66841</v>
      </c>
      <c r="D602" t="s">
        <v>1220</v>
      </c>
      <c r="E602" s="3" t="str">
        <f>HYPERLINK("http://genome.ucsc.edu/cgi-bin/hgTracks?db=mm10&amp;lastVirtModeType=default&amp;lastVirtModeExtraState=&amp;virtModeType=default&amp;virtMode=0&amp;nonVirtPosition=&amp;position=chr3:79603787-79628767","chr3:79603787-79628767")</f>
        <v>chr3:79603787-79628767</v>
      </c>
      <c r="F602" t="s">
        <v>25</v>
      </c>
      <c r="G602">
        <v>-0.75208018897815798</v>
      </c>
      <c r="H602">
        <v>0.154758223256481</v>
      </c>
      <c r="I602">
        <v>-4.8597106709588997</v>
      </c>
      <c r="J602" s="1">
        <v>1.17557427667885E-6</v>
      </c>
      <c r="K602" s="1">
        <v>2.63687020753877E-5</v>
      </c>
      <c r="L602" t="s">
        <v>26</v>
      </c>
      <c r="M602" t="s">
        <v>27</v>
      </c>
      <c r="N602">
        <v>263.53507314886002</v>
      </c>
      <c r="O602">
        <v>347.00801083372897</v>
      </c>
      <c r="P602">
        <v>200.93036988520799</v>
      </c>
      <c r="Q602">
        <v>395.32270766406498</v>
      </c>
      <c r="R602">
        <v>353.84483676174102</v>
      </c>
      <c r="S602">
        <v>291.856488075382</v>
      </c>
      <c r="T602">
        <v>206.23296220115699</v>
      </c>
      <c r="U602">
        <v>188.43059363792699</v>
      </c>
      <c r="V602">
        <v>226.58131615634301</v>
      </c>
      <c r="W602">
        <v>182.47660754540499</v>
      </c>
    </row>
    <row r="603" spans="1:23" x14ac:dyDescent="0.2">
      <c r="A603" t="s">
        <v>1221</v>
      </c>
      <c r="B603" s="3" t="str">
        <f>HYPERLINK("http://www.ncbi.nlm.nih.gov/gene/240354","Malt1")</f>
        <v>Malt1</v>
      </c>
      <c r="C603">
        <v>240354</v>
      </c>
      <c r="D603" t="s">
        <v>1222</v>
      </c>
      <c r="E603" s="3" t="str">
        <f>HYPERLINK("http://genome.ucsc.edu/cgi-bin/hgTracks?db=mm10&amp;lastVirtModeType=default&amp;lastVirtModeExtraState=&amp;virtModeType=default&amp;virtMode=0&amp;nonVirtPosition=&amp;position=chr18:65430996-65478792","chr18:65430996-65478792")</f>
        <v>chr18:65430996-65478792</v>
      </c>
      <c r="F603" t="s">
        <v>30</v>
      </c>
      <c r="G603">
        <v>1.3882211529172299</v>
      </c>
      <c r="H603">
        <v>0.28570643505168503</v>
      </c>
      <c r="I603">
        <v>4.8589075449634196</v>
      </c>
      <c r="J603" s="1">
        <v>1.1803523320532901E-6</v>
      </c>
      <c r="K603" s="1">
        <v>2.64088856227366E-5</v>
      </c>
      <c r="L603" t="s">
        <v>26</v>
      </c>
      <c r="M603" t="s">
        <v>27</v>
      </c>
      <c r="N603">
        <v>67.186906157966007</v>
      </c>
      <c r="O603">
        <v>29.387287727258698</v>
      </c>
      <c r="P603">
        <v>95.536619980996406</v>
      </c>
      <c r="Q603">
        <v>40.0890633124122</v>
      </c>
      <c r="R603">
        <v>29.9611383753242</v>
      </c>
      <c r="S603">
        <v>18.111661494039701</v>
      </c>
      <c r="T603">
        <v>155.82046032976299</v>
      </c>
      <c r="U603">
        <v>62.096445630680499</v>
      </c>
      <c r="V603">
        <v>83.128859498918004</v>
      </c>
      <c r="W603">
        <v>81.100714464624303</v>
      </c>
    </row>
    <row r="604" spans="1:23" x14ac:dyDescent="0.2">
      <c r="A604" t="s">
        <v>1223</v>
      </c>
      <c r="B604" s="3" t="str">
        <f>HYPERLINK("http://www.ncbi.nlm.nih.gov/gene/16885","Limk1")</f>
        <v>Limk1</v>
      </c>
      <c r="C604">
        <v>16885</v>
      </c>
      <c r="D604" t="s">
        <v>1224</v>
      </c>
      <c r="E604" s="3" t="str">
        <f>HYPERLINK("http://genome.ucsc.edu/cgi-bin/hgTracks?db=mm10&amp;lastVirtModeType=default&amp;lastVirtModeExtraState=&amp;virtModeType=default&amp;virtMode=0&amp;nonVirtPosition=&amp;position=chr5:134656038-134688590","chr5:134656038-134688590")</f>
        <v>chr5:134656038-134688590</v>
      </c>
      <c r="F604" t="s">
        <v>25</v>
      </c>
      <c r="G604">
        <v>0.78655592674306096</v>
      </c>
      <c r="H604">
        <v>0.16188569222928001</v>
      </c>
      <c r="I604">
        <v>4.8587118225930297</v>
      </c>
      <c r="J604" s="1">
        <v>1.1815195759993199E-6</v>
      </c>
      <c r="K604" s="1">
        <v>2.64088856227366E-5</v>
      </c>
      <c r="L604" t="s">
        <v>26</v>
      </c>
      <c r="M604" t="s">
        <v>27</v>
      </c>
      <c r="N604">
        <v>245.043089299076</v>
      </c>
      <c r="O604">
        <v>170.61810424888401</v>
      </c>
      <c r="P604">
        <v>300.86182808671902</v>
      </c>
      <c r="Q604">
        <v>160.356253249649</v>
      </c>
      <c r="R604">
        <v>182.800869581092</v>
      </c>
      <c r="S604">
        <v>168.69718991591199</v>
      </c>
      <c r="T604">
        <v>247.47955464138801</v>
      </c>
      <c r="U604">
        <v>398.27375473471</v>
      </c>
      <c r="V604">
        <v>271.456187213281</v>
      </c>
      <c r="W604">
        <v>286.23781575749803</v>
      </c>
    </row>
    <row r="605" spans="1:23" x14ac:dyDescent="0.2">
      <c r="A605" t="s">
        <v>1225</v>
      </c>
      <c r="B605" s="3" t="str">
        <f>HYPERLINK("http://www.ncbi.nlm.nih.gov/gene/70797","Ankib1")</f>
        <v>Ankib1</v>
      </c>
      <c r="C605">
        <v>70797</v>
      </c>
      <c r="D605" t="s">
        <v>1226</v>
      </c>
      <c r="E605" s="3" t="str">
        <f>HYPERLINK("http://genome.ucsc.edu/cgi-bin/hgTracks?db=mm10&amp;lastVirtModeType=default&amp;lastVirtModeExtraState=&amp;virtModeType=default&amp;virtMode=0&amp;nonVirtPosition=&amp;position=chr5:3689998-3803124","chr5:3689998-3803124")</f>
        <v>chr5:3689998-3803124</v>
      </c>
      <c r="F605" t="s">
        <v>25</v>
      </c>
      <c r="G605">
        <v>-0.57996582381926198</v>
      </c>
      <c r="H605">
        <v>0.119373423147194</v>
      </c>
      <c r="I605">
        <v>-4.8584166268243196</v>
      </c>
      <c r="J605" s="1">
        <v>1.1832821576911299E-6</v>
      </c>
      <c r="K605" s="1">
        <v>2.64088856227366E-5</v>
      </c>
      <c r="L605" t="s">
        <v>26</v>
      </c>
      <c r="M605" t="s">
        <v>27</v>
      </c>
      <c r="N605">
        <v>703.79294165829401</v>
      </c>
      <c r="O605">
        <v>873.53533398501895</v>
      </c>
      <c r="P605">
        <v>576.48614741325002</v>
      </c>
      <c r="Q605">
        <v>951.55846112378401</v>
      </c>
      <c r="R605">
        <v>895.42085701443705</v>
      </c>
      <c r="S605">
        <v>773.62668381683704</v>
      </c>
      <c r="T605">
        <v>527.03979229184495</v>
      </c>
      <c r="U605">
        <v>633.81199678211794</v>
      </c>
      <c r="V605">
        <v>573.80982662969996</v>
      </c>
      <c r="W605">
        <v>571.28297394933895</v>
      </c>
    </row>
    <row r="606" spans="1:23" x14ac:dyDescent="0.2">
      <c r="A606" t="s">
        <v>1227</v>
      </c>
      <c r="B606" s="3" t="str">
        <f>HYPERLINK("http://www.ncbi.nlm.nih.gov/gene/14184","Fgfr3")</f>
        <v>Fgfr3</v>
      </c>
      <c r="C606">
        <v>14184</v>
      </c>
      <c r="D606" t="s">
        <v>1228</v>
      </c>
      <c r="E606" s="3" t="str">
        <f>HYPERLINK("http://genome.ucsc.edu/cgi-bin/hgTracks?db=mm10&amp;lastVirtModeType=default&amp;lastVirtModeExtraState=&amp;virtModeType=default&amp;virtMode=0&amp;nonVirtPosition=&amp;position=chr5:33721723-33737068","chr5:33721723-33737068")</f>
        <v>chr5:33721723-33737068</v>
      </c>
      <c r="F606" t="s">
        <v>30</v>
      </c>
      <c r="G606">
        <v>0.78361517710545403</v>
      </c>
      <c r="H606">
        <v>0.16138863580555299</v>
      </c>
      <c r="I606">
        <v>4.8554544946372999</v>
      </c>
      <c r="J606" s="1">
        <v>1.2011093559986499E-6</v>
      </c>
      <c r="K606" s="1">
        <v>2.67347668134371E-5</v>
      </c>
      <c r="L606" t="s">
        <v>26</v>
      </c>
      <c r="M606" t="s">
        <v>27</v>
      </c>
      <c r="N606">
        <v>137.24538966598999</v>
      </c>
      <c r="O606">
        <v>97.256332945273499</v>
      </c>
      <c r="P606">
        <v>167.23718220652799</v>
      </c>
      <c r="Q606">
        <v>100.222658281031</v>
      </c>
      <c r="R606">
        <v>96.330748700409501</v>
      </c>
      <c r="S606">
        <v>95.215591854379994</v>
      </c>
      <c r="T606">
        <v>151.237505614182</v>
      </c>
      <c r="U606">
        <v>141.32294522844501</v>
      </c>
      <c r="V606">
        <v>183.177752347173</v>
      </c>
      <c r="W606">
        <v>193.21052563631099</v>
      </c>
    </row>
    <row r="607" spans="1:23" x14ac:dyDescent="0.2">
      <c r="A607" t="s">
        <v>1229</v>
      </c>
      <c r="B607" s="3" t="str">
        <f>HYPERLINK("http://www.ncbi.nlm.nih.gov/gene/232286","Tmf1")</f>
        <v>Tmf1</v>
      </c>
      <c r="C607">
        <v>232286</v>
      </c>
      <c r="D607" t="s">
        <v>1230</v>
      </c>
      <c r="E607" s="3" t="str">
        <f>HYPERLINK("http://genome.ucsc.edu/cgi-bin/hgTracks?db=mm10&amp;lastVirtModeType=default&amp;lastVirtModeExtraState=&amp;virtModeType=default&amp;virtMode=0&amp;nonVirtPosition=&amp;position=chr6:97151949-97179124","chr6:97151949-97179124")</f>
        <v>chr6:97151949-97179124</v>
      </c>
      <c r="F607" t="s">
        <v>25</v>
      </c>
      <c r="G607">
        <v>-0.53028672716661795</v>
      </c>
      <c r="H607">
        <v>0.109217488782654</v>
      </c>
      <c r="I607">
        <v>-4.8553279614577596</v>
      </c>
      <c r="J607" s="1">
        <v>1.20187660530872E-6</v>
      </c>
      <c r="K607" s="1">
        <v>2.67347668134371E-5</v>
      </c>
      <c r="L607" t="s">
        <v>26</v>
      </c>
      <c r="M607" t="s">
        <v>27</v>
      </c>
      <c r="N607">
        <v>649.78999449820003</v>
      </c>
      <c r="O607">
        <v>791.76155967002296</v>
      </c>
      <c r="P607">
        <v>543.31132061933397</v>
      </c>
      <c r="Q607">
        <v>811.80353207634698</v>
      </c>
      <c r="R607">
        <v>840.04963925750803</v>
      </c>
      <c r="S607">
        <v>723.43150767621296</v>
      </c>
      <c r="T607">
        <v>540.78865643858899</v>
      </c>
      <c r="U607">
        <v>537.45544321726902</v>
      </c>
      <c r="V607">
        <v>573.80982662969996</v>
      </c>
      <c r="W607">
        <v>521.191356191777</v>
      </c>
    </row>
    <row r="608" spans="1:23" x14ac:dyDescent="0.2">
      <c r="A608" t="s">
        <v>1231</v>
      </c>
      <c r="B608" s="3" t="str">
        <f>HYPERLINK("http://www.ncbi.nlm.nih.gov/gene/56085","Ubqln1")</f>
        <v>Ubqln1</v>
      </c>
      <c r="C608">
        <v>56085</v>
      </c>
      <c r="D608" t="s">
        <v>1232</v>
      </c>
      <c r="E608" s="3" t="str">
        <f>HYPERLINK("http://genome.ucsc.edu/cgi-bin/hgTracks?db=mm10&amp;lastVirtModeType=default&amp;lastVirtModeExtraState=&amp;virtModeType=default&amp;virtMode=0&amp;nonVirtPosition=&amp;position=chr13:58176155-58215653","chr13:58176155-58215653")</f>
        <v>chr13:58176155-58215653</v>
      </c>
      <c r="F608" t="s">
        <v>25</v>
      </c>
      <c r="G608">
        <v>-0.48922680691995502</v>
      </c>
      <c r="H608">
        <v>0.100793607643946</v>
      </c>
      <c r="I608">
        <v>-4.8537483512659803</v>
      </c>
      <c r="J608" s="1">
        <v>1.2114945375535099E-6</v>
      </c>
      <c r="K608" s="1">
        <v>2.6904018826499199E-5</v>
      </c>
      <c r="L608" t="s">
        <v>26</v>
      </c>
      <c r="M608" t="s">
        <v>27</v>
      </c>
      <c r="N608">
        <v>865.07886623210595</v>
      </c>
      <c r="O608">
        <v>1038.02732891596</v>
      </c>
      <c r="P608">
        <v>735.36751921921405</v>
      </c>
      <c r="Q608">
        <v>966.03506731993298</v>
      </c>
      <c r="R608">
        <v>1086.1860798345399</v>
      </c>
      <c r="S608">
        <v>1061.86083959341</v>
      </c>
      <c r="T608">
        <v>747.02161863974595</v>
      </c>
      <c r="U608">
        <v>713.03849637988299</v>
      </c>
      <c r="V608">
        <v>765.81542246348397</v>
      </c>
      <c r="W608">
        <v>715.59453939374396</v>
      </c>
    </row>
    <row r="609" spans="1:23" x14ac:dyDescent="0.2">
      <c r="A609" t="s">
        <v>1233</v>
      </c>
      <c r="B609" s="3" t="str">
        <f>HYPERLINK("http://www.ncbi.nlm.nih.gov/gene/67254","2900011O08Rik")</f>
        <v>2900011O08Rik</v>
      </c>
      <c r="C609">
        <v>67254</v>
      </c>
      <c r="D609" t="s">
        <v>1234</v>
      </c>
      <c r="E609" s="3" t="str">
        <f>HYPERLINK("http://genome.ucsc.edu/cgi-bin/hgTracks?db=mm10&amp;lastVirtModeType=default&amp;lastVirtModeExtraState=&amp;virtModeType=default&amp;virtMode=0&amp;nonVirtPosition=&amp;position=chr16:13986636-14101494","chr16:13986636-14101494")</f>
        <v>chr16:13986636-14101494</v>
      </c>
      <c r="F609" t="s">
        <v>30</v>
      </c>
      <c r="G609">
        <v>-0.98603025841019598</v>
      </c>
      <c r="H609">
        <v>0.20333982949412299</v>
      </c>
      <c r="I609">
        <v>-4.8491742166956602</v>
      </c>
      <c r="J609" s="1">
        <v>1.2397650153607399E-6</v>
      </c>
      <c r="K609" s="1">
        <v>2.74862472196948E-5</v>
      </c>
      <c r="L609" t="s">
        <v>26</v>
      </c>
      <c r="M609" t="s">
        <v>27</v>
      </c>
      <c r="N609">
        <v>291.79071068853699</v>
      </c>
      <c r="O609">
        <v>416.30713354705</v>
      </c>
      <c r="P609">
        <v>198.403393544652</v>
      </c>
      <c r="Q609">
        <v>568.48518947184505</v>
      </c>
      <c r="R609">
        <v>362.18844491689401</v>
      </c>
      <c r="S609">
        <v>318.247766252411</v>
      </c>
      <c r="T609">
        <v>164.98636976092499</v>
      </c>
      <c r="U609">
        <v>241.96201228506499</v>
      </c>
      <c r="V609">
        <v>183.91340597105801</v>
      </c>
      <c r="W609">
        <v>202.751786161561</v>
      </c>
    </row>
    <row r="610" spans="1:23" x14ac:dyDescent="0.2">
      <c r="A610" t="s">
        <v>1235</v>
      </c>
      <c r="B610" s="3" t="str">
        <f>HYPERLINK("http://www.ncbi.nlm.nih.gov/gene/56710","Brinp1")</f>
        <v>Brinp1</v>
      </c>
      <c r="C610">
        <v>56710</v>
      </c>
      <c r="D610" t="s">
        <v>1236</v>
      </c>
      <c r="E610" s="3" t="str">
        <f>HYPERLINK("http://genome.ucsc.edu/cgi-bin/hgTracks?db=mm10&amp;lastVirtModeType=default&amp;lastVirtModeExtraState=&amp;virtModeType=default&amp;virtMode=0&amp;nonVirtPosition=&amp;position=chr4:68761371-68954397","chr4:68761371-68954397")</f>
        <v>chr4:68761371-68954397</v>
      </c>
      <c r="F610" t="s">
        <v>25</v>
      </c>
      <c r="G610">
        <v>-1.0742881255755301</v>
      </c>
      <c r="H610">
        <v>0.22169813472563701</v>
      </c>
      <c r="I610">
        <v>-4.8457246918429</v>
      </c>
      <c r="J610" s="1">
        <v>1.26150349078543E-6</v>
      </c>
      <c r="K610" s="1">
        <v>2.79219723059632E-5</v>
      </c>
      <c r="L610" t="s">
        <v>26</v>
      </c>
      <c r="M610" t="s">
        <v>27</v>
      </c>
      <c r="N610">
        <v>402.68261135285502</v>
      </c>
      <c r="O610">
        <v>588.827821092146</v>
      </c>
      <c r="P610">
        <v>263.07370404838599</v>
      </c>
      <c r="Q610">
        <v>879.17543014303999</v>
      </c>
      <c r="R610">
        <v>444.866016636143</v>
      </c>
      <c r="S610">
        <v>442.442016497255</v>
      </c>
      <c r="T610">
        <v>302.47501122836297</v>
      </c>
      <c r="U610">
        <v>239.82075553918</v>
      </c>
      <c r="V610">
        <v>236.880466890722</v>
      </c>
      <c r="W610">
        <v>273.11858253527902</v>
      </c>
    </row>
    <row r="611" spans="1:23" x14ac:dyDescent="0.2">
      <c r="A611" t="s">
        <v>1237</v>
      </c>
      <c r="B611" s="3" t="str">
        <f>HYPERLINK("http://www.ncbi.nlm.nih.gov/gene/77011","Ticrr")</f>
        <v>Ticrr</v>
      </c>
      <c r="C611">
        <v>77011</v>
      </c>
      <c r="D611" t="s">
        <v>1238</v>
      </c>
      <c r="E611" s="3" t="str">
        <f>HYPERLINK("http://genome.ucsc.edu/cgi-bin/hgTracks?db=mm10&amp;lastVirtModeType=default&amp;lastVirtModeExtraState=&amp;virtModeType=default&amp;virtMode=0&amp;nonVirtPosition=&amp;position=chr7:79660195-79698145","chr7:79660195-79698145")</f>
        <v>chr7:79660195-79698145</v>
      </c>
      <c r="F611" t="s">
        <v>30</v>
      </c>
      <c r="G611">
        <v>1.11546158259562</v>
      </c>
      <c r="H611">
        <v>0.230213985903826</v>
      </c>
      <c r="I611">
        <v>4.8453250058474699</v>
      </c>
      <c r="J611" s="1">
        <v>1.26404583804684E-6</v>
      </c>
      <c r="K611" s="1">
        <v>2.7932075606081301E-5</v>
      </c>
      <c r="L611" t="s">
        <v>26</v>
      </c>
      <c r="M611" t="s">
        <v>27</v>
      </c>
      <c r="N611">
        <v>148.704016042425</v>
      </c>
      <c r="O611">
        <v>83.028899125864299</v>
      </c>
      <c r="P611">
        <v>197.960353729845</v>
      </c>
      <c r="Q611">
        <v>50.668121686520998</v>
      </c>
      <c r="R611">
        <v>84.573846299965894</v>
      </c>
      <c r="S611">
        <v>113.844729391106</v>
      </c>
      <c r="T611">
        <v>247.47955464138801</v>
      </c>
      <c r="U611">
        <v>182.00682340027001</v>
      </c>
      <c r="V611">
        <v>184.649059594942</v>
      </c>
      <c r="W611">
        <v>177.70597728278</v>
      </c>
    </row>
    <row r="612" spans="1:23" x14ac:dyDescent="0.2">
      <c r="A612" t="s">
        <v>1239</v>
      </c>
      <c r="B612" s="3" t="str">
        <f>HYPERLINK("http://www.ncbi.nlm.nih.gov/gene/14066","F3")</f>
        <v>F3</v>
      </c>
      <c r="C612">
        <v>14066</v>
      </c>
      <c r="D612" t="s">
        <v>1240</v>
      </c>
      <c r="E612" s="3" t="str">
        <f>HYPERLINK("http://genome.ucsc.edu/cgi-bin/hgTracks?db=mm10&amp;lastVirtModeType=default&amp;lastVirtModeExtraState=&amp;virtModeType=default&amp;virtMode=0&amp;nonVirtPosition=&amp;position=chr3:121723536-121735052","chr3:121723536-121735052")</f>
        <v>chr3:121723536-121735052</v>
      </c>
      <c r="F612" t="s">
        <v>30</v>
      </c>
      <c r="G612">
        <v>-0.87754625594131996</v>
      </c>
      <c r="H612">
        <v>0.18116118290140201</v>
      </c>
      <c r="I612">
        <v>-4.8440082024576396</v>
      </c>
      <c r="J612" s="1">
        <v>1.2724567566990901E-6</v>
      </c>
      <c r="K612" s="1">
        <v>2.8071611909320498E-5</v>
      </c>
      <c r="L612" t="s">
        <v>26</v>
      </c>
      <c r="M612" t="s">
        <v>27</v>
      </c>
      <c r="N612">
        <v>397.285253151755</v>
      </c>
      <c r="O612">
        <v>548.31637618772595</v>
      </c>
      <c r="P612">
        <v>284.01191087477702</v>
      </c>
      <c r="Q612">
        <v>400.89063312412202</v>
      </c>
      <c r="R612">
        <v>613.25519940378797</v>
      </c>
      <c r="S612">
        <v>630.80329603526695</v>
      </c>
      <c r="T612">
        <v>215.39887163231899</v>
      </c>
      <c r="U612">
        <v>323.32976862871601</v>
      </c>
      <c r="V612">
        <v>307.50321478360797</v>
      </c>
      <c r="W612">
        <v>289.81578845446597</v>
      </c>
    </row>
    <row r="613" spans="1:23" x14ac:dyDescent="0.2">
      <c r="A613" t="s">
        <v>1241</v>
      </c>
      <c r="B613" s="3" t="str">
        <f>HYPERLINK("http://www.ncbi.nlm.nih.gov/gene/66606","Lrrc57")</f>
        <v>Lrrc57</v>
      </c>
      <c r="C613">
        <v>66606</v>
      </c>
      <c r="D613" t="s">
        <v>1242</v>
      </c>
      <c r="E613" s="3" t="str">
        <f>HYPERLINK("http://genome.ucsc.edu/cgi-bin/hgTracks?db=mm10&amp;lastVirtModeType=default&amp;lastVirtModeExtraState=&amp;virtModeType=default&amp;virtMode=0&amp;nonVirtPosition=&amp;position=chr2:120604237-120609315","chr2:120604237-120609315")</f>
        <v>chr2:120604237-120609315</v>
      </c>
      <c r="F613" t="s">
        <v>25</v>
      </c>
      <c r="G613">
        <v>-0.90389021211611598</v>
      </c>
      <c r="H613">
        <v>0.18672324504725599</v>
      </c>
      <c r="I613">
        <v>-4.8408017538863897</v>
      </c>
      <c r="J613" s="1">
        <v>1.29316330092299E-6</v>
      </c>
      <c r="K613" s="1">
        <v>2.8481496320164099E-5</v>
      </c>
      <c r="L613" t="s">
        <v>26</v>
      </c>
      <c r="M613" t="s">
        <v>27</v>
      </c>
      <c r="N613">
        <v>122.286064623348</v>
      </c>
      <c r="O613">
        <v>169.69838350317599</v>
      </c>
      <c r="P613">
        <v>86.726825463476004</v>
      </c>
      <c r="Q613">
        <v>206.57003456812399</v>
      </c>
      <c r="R613">
        <v>158.149300031775</v>
      </c>
      <c r="S613">
        <v>144.37581590963001</v>
      </c>
      <c r="T613">
        <v>87.076139596044001</v>
      </c>
      <c r="U613">
        <v>81.367756343650299</v>
      </c>
      <c r="V613">
        <v>89.014088489991806</v>
      </c>
      <c r="W613">
        <v>89.449317424217995</v>
      </c>
    </row>
    <row r="614" spans="1:23" x14ac:dyDescent="0.2">
      <c r="A614" t="s">
        <v>1243</v>
      </c>
      <c r="B614" s="3" t="str">
        <f>HYPERLINK("http://www.ncbi.nlm.nih.gov/gene/17122","Mxd4")</f>
        <v>Mxd4</v>
      </c>
      <c r="C614">
        <v>17122</v>
      </c>
      <c r="D614" t="s">
        <v>1244</v>
      </c>
      <c r="E614" s="3" t="str">
        <f>HYPERLINK("http://genome.ucsc.edu/cgi-bin/hgTracks?db=mm10&amp;lastVirtModeType=default&amp;lastVirtModeExtraState=&amp;virtModeType=default&amp;virtMode=0&amp;nonVirtPosition=&amp;position=chr5:34176579-34187710","chr5:34176579-34187710")</f>
        <v>chr5:34176579-34187710</v>
      </c>
      <c r="F614" t="s">
        <v>25</v>
      </c>
      <c r="G614">
        <v>-0.83654997347250803</v>
      </c>
      <c r="H614">
        <v>0.172861656601906</v>
      </c>
      <c r="I614">
        <v>-4.8394189314004601</v>
      </c>
      <c r="J614" s="1">
        <v>1.30219295102037E-6</v>
      </c>
      <c r="K614" s="1">
        <v>2.8633277187378998E-5</v>
      </c>
      <c r="L614" t="s">
        <v>26</v>
      </c>
      <c r="M614" t="s">
        <v>27</v>
      </c>
      <c r="N614">
        <v>778.93926029601005</v>
      </c>
      <c r="O614">
        <v>1059.0999350044201</v>
      </c>
      <c r="P614">
        <v>568.81875426470197</v>
      </c>
      <c r="Q614">
        <v>1212.13737265446</v>
      </c>
      <c r="R614">
        <v>812.743285295188</v>
      </c>
      <c r="S614">
        <v>1152.4191470636099</v>
      </c>
      <c r="T614">
        <v>439.96365269580099</v>
      </c>
      <c r="U614">
        <v>584.56309162675097</v>
      </c>
      <c r="V614">
        <v>678.27264122125996</v>
      </c>
      <c r="W614">
        <v>572.47563151499503</v>
      </c>
    </row>
    <row r="615" spans="1:23" x14ac:dyDescent="0.2">
      <c r="A615" t="s">
        <v>1245</v>
      </c>
      <c r="B615" s="3" t="str">
        <f>HYPERLINK("http://www.ncbi.nlm.nih.gov/gene/22146","Tuba1c")</f>
        <v>Tuba1c</v>
      </c>
      <c r="C615">
        <v>22146</v>
      </c>
      <c r="D615" t="s">
        <v>1246</v>
      </c>
      <c r="E615" s="3" t="str">
        <f>HYPERLINK("http://genome.ucsc.edu/cgi-bin/hgTracks?db=mm10&amp;lastVirtModeType=default&amp;lastVirtModeExtraState=&amp;virtModeType=default&amp;virtMode=0&amp;nonVirtPosition=&amp;position=chr15:99029890-99038105","chr15:99029890-99038105")</f>
        <v>chr15:99029890-99038105</v>
      </c>
      <c r="F615" t="s">
        <v>30</v>
      </c>
      <c r="G615">
        <v>1.0431823854640501</v>
      </c>
      <c r="H615">
        <v>0.21562321650628599</v>
      </c>
      <c r="I615">
        <v>4.8379873112301501</v>
      </c>
      <c r="J615" s="1">
        <v>1.3116051250452601E-6</v>
      </c>
      <c r="K615" s="1">
        <v>2.87929577532477E-5</v>
      </c>
      <c r="L615" t="s">
        <v>26</v>
      </c>
      <c r="M615" t="s">
        <v>27</v>
      </c>
      <c r="N615">
        <v>69.665091238066097</v>
      </c>
      <c r="O615">
        <v>41.328398560618801</v>
      </c>
      <c r="P615">
        <v>90.917610746151496</v>
      </c>
      <c r="Q615">
        <v>34.521137852354897</v>
      </c>
      <c r="R615">
        <v>41.338785859624601</v>
      </c>
      <c r="S615">
        <v>48.125271969876799</v>
      </c>
      <c r="T615">
        <v>105.407958458369</v>
      </c>
      <c r="U615">
        <v>66.378959122451604</v>
      </c>
      <c r="V615">
        <v>100.04889284825499</v>
      </c>
      <c r="W615">
        <v>91.834632555530504</v>
      </c>
    </row>
    <row r="616" spans="1:23" x14ac:dyDescent="0.2">
      <c r="A616" t="s">
        <v>1247</v>
      </c>
      <c r="B616" s="3" t="str">
        <f>HYPERLINK("http://www.ncbi.nlm.nih.gov/gene/71452","Ankrd40")</f>
        <v>Ankrd40</v>
      </c>
      <c r="C616">
        <v>71452</v>
      </c>
      <c r="D616" t="s">
        <v>1248</v>
      </c>
      <c r="E616" s="3" t="str">
        <f>HYPERLINK("http://genome.ucsc.edu/cgi-bin/hgTracks?db=mm10&amp;lastVirtModeType=default&amp;lastVirtModeExtraState=&amp;virtModeType=default&amp;virtMode=0&amp;nonVirtPosition=&amp;position=chr11:94328000-94341847","chr11:94328000-94341847")</f>
        <v>chr11:94328000-94341847</v>
      </c>
      <c r="F616" t="s">
        <v>30</v>
      </c>
      <c r="G616">
        <v>-0.59737136271879498</v>
      </c>
      <c r="H616">
        <v>0.123496904425055</v>
      </c>
      <c r="I616">
        <v>-4.8371363274235897</v>
      </c>
      <c r="J616" s="1">
        <v>1.31723088208604E-6</v>
      </c>
      <c r="K616" s="1">
        <v>2.88691305106615E-5</v>
      </c>
      <c r="L616" t="s">
        <v>26</v>
      </c>
      <c r="M616" t="s">
        <v>27</v>
      </c>
      <c r="N616">
        <v>526.74764672234096</v>
      </c>
      <c r="O616">
        <v>658.099842243338</v>
      </c>
      <c r="P616">
        <v>428.23350008159298</v>
      </c>
      <c r="Q616">
        <v>738.30691600359103</v>
      </c>
      <c r="R616">
        <v>659.52429917327595</v>
      </c>
      <c r="S616">
        <v>576.46831155314806</v>
      </c>
      <c r="T616">
        <v>412.46592440231399</v>
      </c>
      <c r="U616">
        <v>421.82757893945001</v>
      </c>
      <c r="V616">
        <v>442.127827954422</v>
      </c>
      <c r="W616">
        <v>436.51266903018399</v>
      </c>
    </row>
    <row r="617" spans="1:23" x14ac:dyDescent="0.2">
      <c r="A617" t="s">
        <v>1249</v>
      </c>
      <c r="B617" s="3" t="str">
        <f>HYPERLINK("http://www.ncbi.nlm.nih.gov/gene/54667","Atp8b2")</f>
        <v>Atp8b2</v>
      </c>
      <c r="C617">
        <v>54667</v>
      </c>
      <c r="D617" t="s">
        <v>1250</v>
      </c>
      <c r="E617" s="3" t="str">
        <f>HYPERLINK("http://genome.ucsc.edu/cgi-bin/hgTracks?db=mm10&amp;lastVirtModeType=default&amp;lastVirtModeExtraState=&amp;virtModeType=default&amp;virtMode=0&amp;nonVirtPosition=&amp;position=chr3:89939480-89963332","chr3:89939480-89963332")</f>
        <v>chr3:89939480-89963332</v>
      </c>
      <c r="F617" t="s">
        <v>25</v>
      </c>
      <c r="G617">
        <v>0.65957215266584401</v>
      </c>
      <c r="H617">
        <v>0.13638974720314301</v>
      </c>
      <c r="I617">
        <v>4.8359364702352297</v>
      </c>
      <c r="J617" s="1">
        <v>1.3252024477641001E-6</v>
      </c>
      <c r="K617" s="1">
        <v>2.8996382317008301E-5</v>
      </c>
      <c r="L617" t="s">
        <v>26</v>
      </c>
      <c r="M617" t="s">
        <v>27</v>
      </c>
      <c r="N617">
        <v>389.57691044113602</v>
      </c>
      <c r="O617">
        <v>290.827512803628</v>
      </c>
      <c r="P617">
        <v>463.63895866926703</v>
      </c>
      <c r="Q617">
        <v>260.02211898467402</v>
      </c>
      <c r="R617">
        <v>270.40875521020502</v>
      </c>
      <c r="S617">
        <v>342.05166421600597</v>
      </c>
      <c r="T617">
        <v>421.63183383347598</v>
      </c>
      <c r="U617">
        <v>511.76036226664303</v>
      </c>
      <c r="V617">
        <v>461.99047579929697</v>
      </c>
      <c r="W617">
        <v>459.17316277765201</v>
      </c>
    </row>
    <row r="618" spans="1:23" x14ac:dyDescent="0.2">
      <c r="A618" t="s">
        <v>1251</v>
      </c>
      <c r="B618" s="3" t="str">
        <f>HYPERLINK("http://www.ncbi.nlm.nih.gov/gene/58194","Sh3kbp1")</f>
        <v>Sh3kbp1</v>
      </c>
      <c r="C618">
        <v>58194</v>
      </c>
      <c r="D618" t="s">
        <v>1252</v>
      </c>
      <c r="E618" s="3" t="str">
        <f>HYPERLINK("http://genome.ucsc.edu/cgi-bin/hgTracks?db=mm10&amp;lastVirtModeType=default&amp;lastVirtModeExtraState=&amp;virtModeType=default&amp;virtMode=0&amp;nonVirtPosition=&amp;position=chrX:159708600-159975920","chrX:159708600-159975920")</f>
        <v>chrX:159708600-159975920</v>
      </c>
      <c r="F618" t="s">
        <v>30</v>
      </c>
      <c r="G618">
        <v>-0.65961264452051105</v>
      </c>
      <c r="H618">
        <v>0.13654411207631301</v>
      </c>
      <c r="I618">
        <v>-4.8307659297082104</v>
      </c>
      <c r="J618" s="1">
        <v>1.36008823266572E-6</v>
      </c>
      <c r="K618" s="1">
        <v>2.9711160723697701E-5</v>
      </c>
      <c r="L618" t="s">
        <v>26</v>
      </c>
      <c r="M618" t="s">
        <v>27</v>
      </c>
      <c r="N618">
        <v>457.59679759930702</v>
      </c>
      <c r="O618">
        <v>586.74267325755898</v>
      </c>
      <c r="P618">
        <v>360.73739085561698</v>
      </c>
      <c r="Q618">
        <v>667.03747011485905</v>
      </c>
      <c r="R618">
        <v>508.960097464368</v>
      </c>
      <c r="S618">
        <v>584.23045219345101</v>
      </c>
      <c r="T618">
        <v>316.22387537510701</v>
      </c>
      <c r="U618">
        <v>351.16610632522799</v>
      </c>
      <c r="V618">
        <v>379.597269924263</v>
      </c>
      <c r="W618">
        <v>395.96231179787202</v>
      </c>
    </row>
    <row r="619" spans="1:23" x14ac:dyDescent="0.2">
      <c r="A619" t="s">
        <v>1253</v>
      </c>
      <c r="B619" s="3" t="str">
        <f>HYPERLINK("http://www.ncbi.nlm.nih.gov/gene/230793","Ahdc1")</f>
        <v>Ahdc1</v>
      </c>
      <c r="C619">
        <v>230793</v>
      </c>
      <c r="D619" t="s">
        <v>1254</v>
      </c>
      <c r="E619" s="3" t="str">
        <f>HYPERLINK("http://genome.ucsc.edu/cgi-bin/hgTracks?db=mm10&amp;lastVirtModeType=default&amp;lastVirtModeExtraState=&amp;virtModeType=default&amp;virtMode=0&amp;nonVirtPosition=&amp;position=chr4:133011505-133078110","chr4:133011505-133078110")</f>
        <v>chr4:133011505-133078110</v>
      </c>
      <c r="F619" t="s">
        <v>30</v>
      </c>
      <c r="G619">
        <v>0.96912423810598003</v>
      </c>
      <c r="H619">
        <v>0.200871029632639</v>
      </c>
      <c r="I619">
        <v>4.8246093021893399</v>
      </c>
      <c r="J619" s="1">
        <v>1.4027797277864201E-6</v>
      </c>
      <c r="K619" s="1">
        <v>3.0593849079459198E-5</v>
      </c>
      <c r="L619" t="s">
        <v>26</v>
      </c>
      <c r="M619" t="s">
        <v>27</v>
      </c>
      <c r="N619">
        <v>390.52789123827603</v>
      </c>
      <c r="O619">
        <v>244.77546638019999</v>
      </c>
      <c r="P619">
        <v>499.84220988183398</v>
      </c>
      <c r="Q619">
        <v>226.61456622432999</v>
      </c>
      <c r="R619">
        <v>174.45726142593901</v>
      </c>
      <c r="S619">
        <v>333.25457149033002</v>
      </c>
      <c r="T619">
        <v>403.30001497115097</v>
      </c>
      <c r="U619">
        <v>586.70434837263701</v>
      </c>
      <c r="V619">
        <v>477.43920190086499</v>
      </c>
      <c r="W619">
        <v>531.92527428268295</v>
      </c>
    </row>
    <row r="620" spans="1:23" x14ac:dyDescent="0.2">
      <c r="A620" t="s">
        <v>1255</v>
      </c>
      <c r="B620" s="3" t="str">
        <f>HYPERLINK("http://www.ncbi.nlm.nih.gov/gene/22142","Tuba1a")</f>
        <v>Tuba1a</v>
      </c>
      <c r="C620">
        <v>22142</v>
      </c>
      <c r="D620" t="s">
        <v>1256</v>
      </c>
      <c r="E620" s="3" t="str">
        <f>HYPERLINK("http://genome.ucsc.edu/cgi-bin/hgTracks?db=mm10&amp;lastVirtModeType=default&amp;lastVirtModeExtraState=&amp;virtModeType=default&amp;virtMode=0&amp;nonVirtPosition=&amp;position=chr15:98949846-98953501","chr15:98949846-98953501")</f>
        <v>chr15:98949846-98953501</v>
      </c>
      <c r="F620" t="s">
        <v>25</v>
      </c>
      <c r="G620">
        <v>-0.76889405180110304</v>
      </c>
      <c r="H620">
        <v>0.15944633708488201</v>
      </c>
      <c r="I620">
        <v>-4.8222747907452801</v>
      </c>
      <c r="J620" s="1">
        <v>1.4193023471254001E-6</v>
      </c>
      <c r="K620" s="1">
        <v>3.0880297204043002E-5</v>
      </c>
      <c r="L620" t="s">
        <v>26</v>
      </c>
      <c r="M620" t="s">
        <v>27</v>
      </c>
      <c r="N620">
        <v>1630.21658136563</v>
      </c>
      <c r="O620">
        <v>2160.6329311086902</v>
      </c>
      <c r="P620">
        <v>1232.40431905833</v>
      </c>
      <c r="Q620">
        <v>1828.5067210827999</v>
      </c>
      <c r="R620">
        <v>2577.79566502631</v>
      </c>
      <c r="S620">
        <v>2075.59640721695</v>
      </c>
      <c r="T620">
        <v>962.42049027206497</v>
      </c>
      <c r="U620">
        <v>1340.4267229243501</v>
      </c>
      <c r="V620">
        <v>1375.67227666351</v>
      </c>
      <c r="W620">
        <v>1251.0977863733999</v>
      </c>
    </row>
    <row r="621" spans="1:23" x14ac:dyDescent="0.2">
      <c r="A621" t="s">
        <v>1257</v>
      </c>
      <c r="B621" s="3" t="str">
        <f>HYPERLINK("http://www.ncbi.nlm.nih.gov/gene/70356","St13")</f>
        <v>St13</v>
      </c>
      <c r="C621">
        <v>70356</v>
      </c>
      <c r="D621" t="s">
        <v>1258</v>
      </c>
      <c r="E621" s="3" t="str">
        <f>HYPERLINK("http://genome.ucsc.edu/cgi-bin/hgTracks?db=mm10&amp;lastVirtModeType=default&amp;lastVirtModeExtraState=&amp;virtModeType=default&amp;virtMode=0&amp;nonVirtPosition=&amp;position=chr15:81365043-81399694","chr15:81365043-81399694")</f>
        <v>chr15:81365043-81399694</v>
      </c>
      <c r="F621" t="s">
        <v>25</v>
      </c>
      <c r="G621">
        <v>-0.54551137640851999</v>
      </c>
      <c r="H621">
        <v>0.11312727715611</v>
      </c>
      <c r="I621">
        <v>-4.8221029456559901</v>
      </c>
      <c r="J621" s="1">
        <v>1.4205259560667999E-6</v>
      </c>
      <c r="K621" s="1">
        <v>3.0880297204043002E-5</v>
      </c>
      <c r="L621" t="s">
        <v>26</v>
      </c>
      <c r="M621" t="s">
        <v>27</v>
      </c>
      <c r="N621">
        <v>848.108071840143</v>
      </c>
      <c r="O621">
        <v>1037.02328951407</v>
      </c>
      <c r="P621">
        <v>706.421658584699</v>
      </c>
      <c r="Q621">
        <v>1130.2888683916201</v>
      </c>
      <c r="R621">
        <v>1058.12121603993</v>
      </c>
      <c r="S621">
        <v>922.65978411064896</v>
      </c>
      <c r="T621">
        <v>737.85570920858299</v>
      </c>
      <c r="U621">
        <v>665.93084797040103</v>
      </c>
      <c r="V621">
        <v>700.34224993778696</v>
      </c>
      <c r="W621">
        <v>721.55782722202503</v>
      </c>
    </row>
    <row r="622" spans="1:23" x14ac:dyDescent="0.2">
      <c r="A622" t="s">
        <v>1259</v>
      </c>
      <c r="B622" s="3" t="str">
        <f>HYPERLINK("http://www.ncbi.nlm.nih.gov/gene/70546","Zdhhc2")</f>
        <v>Zdhhc2</v>
      </c>
      <c r="C622">
        <v>70546</v>
      </c>
      <c r="D622" t="s">
        <v>1260</v>
      </c>
      <c r="E622" s="3" t="str">
        <f>HYPERLINK("http://genome.ucsc.edu/cgi-bin/hgTracks?db=mm10&amp;lastVirtModeType=default&amp;lastVirtModeExtraState=&amp;virtModeType=default&amp;virtMode=0&amp;nonVirtPosition=&amp;position=chr8:40423814-40484842","chr8:40423814-40484842")</f>
        <v>chr8:40423814-40484842</v>
      </c>
      <c r="F622" t="s">
        <v>30</v>
      </c>
      <c r="G622">
        <v>-0.817566893485276</v>
      </c>
      <c r="H622">
        <v>0.16960823128275301</v>
      </c>
      <c r="I622">
        <v>-4.8203255661708697</v>
      </c>
      <c r="J622" s="1">
        <v>1.43324129128785E-6</v>
      </c>
      <c r="K622" s="1">
        <v>3.11062141517595E-5</v>
      </c>
      <c r="L622" t="s">
        <v>26</v>
      </c>
      <c r="M622" t="s">
        <v>27</v>
      </c>
      <c r="N622">
        <v>864.62686076788702</v>
      </c>
      <c r="O622">
        <v>1162.73541804051</v>
      </c>
      <c r="P622">
        <v>641.04544281342203</v>
      </c>
      <c r="Q622">
        <v>1449.3309972529</v>
      </c>
      <c r="R622">
        <v>1002.37074336686</v>
      </c>
      <c r="S622">
        <v>1036.5045135017599</v>
      </c>
      <c r="T622">
        <v>687.44320733718996</v>
      </c>
      <c r="U622">
        <v>537.45544321726902</v>
      </c>
      <c r="V622">
        <v>758.45888622464099</v>
      </c>
      <c r="W622">
        <v>580.82423447458905</v>
      </c>
    </row>
    <row r="623" spans="1:23" x14ac:dyDescent="0.2">
      <c r="A623" t="s">
        <v>1261</v>
      </c>
      <c r="B623" s="3" t="str">
        <f>HYPERLINK("http://www.ncbi.nlm.nih.gov/gene/269630","5031425E22Rik")</f>
        <v>5031425E22Rik</v>
      </c>
      <c r="C623">
        <v>269630</v>
      </c>
      <c r="D623" t="s">
        <v>1262</v>
      </c>
      <c r="E623" s="3" t="str">
        <f>HYPERLINK("http://genome.ucsc.edu/cgi-bin/hgTracks?db=mm10&amp;lastVirtModeType=default&amp;lastVirtModeExtraState=&amp;virtModeType=default&amp;virtMode=0&amp;nonVirtPosition=&amp;position=chr5:23431807-23434353","chr5:23431807-23434353")</f>
        <v>chr5:23431807-23434353</v>
      </c>
      <c r="F623" t="s">
        <v>25</v>
      </c>
      <c r="G623">
        <v>0.87984687348713697</v>
      </c>
      <c r="H623">
        <v>0.18259205760965899</v>
      </c>
      <c r="I623">
        <v>4.8186481110150599</v>
      </c>
      <c r="J623" s="1">
        <v>1.4453421083294101E-6</v>
      </c>
      <c r="K623" s="1">
        <v>3.1318084421746199E-5</v>
      </c>
      <c r="L623" t="s">
        <v>26</v>
      </c>
      <c r="M623" t="s">
        <v>27</v>
      </c>
      <c r="N623">
        <v>112.07315157387499</v>
      </c>
      <c r="O623">
        <v>75.789665397483603</v>
      </c>
      <c r="P623">
        <v>139.28576620616801</v>
      </c>
      <c r="Q623">
        <v>79.064541532812996</v>
      </c>
      <c r="R623">
        <v>64.473335744368597</v>
      </c>
      <c r="S623">
        <v>83.8311189152693</v>
      </c>
      <c r="T623">
        <v>105.407958458369</v>
      </c>
      <c r="U623">
        <v>139.18168848255999</v>
      </c>
      <c r="V623">
        <v>151.54464652015099</v>
      </c>
      <c r="W623">
        <v>161.00877136359199</v>
      </c>
    </row>
    <row r="624" spans="1:23" x14ac:dyDescent="0.2">
      <c r="A624" t="s">
        <v>1263</v>
      </c>
      <c r="B624" s="3" t="str">
        <f>HYPERLINK("http://www.ncbi.nlm.nih.gov/gene/229473","D930015E06Rik")</f>
        <v>D930015E06Rik</v>
      </c>
      <c r="C624">
        <v>229473</v>
      </c>
      <c r="D624" t="s">
        <v>1264</v>
      </c>
      <c r="E624" s="3" t="str">
        <f>HYPERLINK("http://genome.ucsc.edu/cgi-bin/hgTracks?db=mm10&amp;lastVirtModeType=default&amp;lastVirtModeExtraState=&amp;virtModeType=default&amp;virtMode=0&amp;nonVirtPosition=&amp;position=chr3:83898286-84040161","chr3:83898286-84040161")</f>
        <v>chr3:83898286-84040161</v>
      </c>
      <c r="F624" t="s">
        <v>25</v>
      </c>
      <c r="G624">
        <v>0.74577537739518995</v>
      </c>
      <c r="H624">
        <v>0.15485155851642901</v>
      </c>
      <c r="I624">
        <v>4.8160663317835901</v>
      </c>
      <c r="J624" s="1">
        <v>1.46415869704902E-6</v>
      </c>
      <c r="K624" s="1">
        <v>3.1674554300780902E-5</v>
      </c>
      <c r="L624" t="s">
        <v>26</v>
      </c>
      <c r="M624" t="s">
        <v>27</v>
      </c>
      <c r="N624">
        <v>164.087334056446</v>
      </c>
      <c r="O624">
        <v>114.168287717707</v>
      </c>
      <c r="P624">
        <v>201.52661881050099</v>
      </c>
      <c r="Q624">
        <v>108.57454647111599</v>
      </c>
      <c r="R624">
        <v>120.603063333584</v>
      </c>
      <c r="S624">
        <v>113.32725334842</v>
      </c>
      <c r="T624">
        <v>256.64546407255102</v>
      </c>
      <c r="U624">
        <v>171.30053967084299</v>
      </c>
      <c r="V624">
        <v>195.68386395320499</v>
      </c>
      <c r="W624">
        <v>182.47660754540499</v>
      </c>
    </row>
    <row r="625" spans="1:23" x14ac:dyDescent="0.2">
      <c r="A625" t="s">
        <v>1265</v>
      </c>
      <c r="B625" s="3" t="str">
        <f>HYPERLINK("http://www.ncbi.nlm.nih.gov/gene/243362","Stard13")</f>
        <v>Stard13</v>
      </c>
      <c r="C625">
        <v>243362</v>
      </c>
      <c r="D625" t="s">
        <v>1266</v>
      </c>
      <c r="E625" s="3" t="str">
        <f>HYPERLINK("http://genome.ucsc.edu/cgi-bin/hgTracks?db=mm10&amp;lastVirtModeType=default&amp;lastVirtModeExtraState=&amp;virtModeType=default&amp;virtMode=0&amp;nonVirtPosition=&amp;position=chr5:151037514-151190193","chr5:151037514-151190193")</f>
        <v>chr5:151037514-151190193</v>
      </c>
      <c r="F625" t="s">
        <v>25</v>
      </c>
      <c r="G625">
        <v>0.832374522838494</v>
      </c>
      <c r="H625">
        <v>0.172917627421208</v>
      </c>
      <c r="I625">
        <v>4.8137054345010402</v>
      </c>
      <c r="J625" s="1">
        <v>1.48157145363264E-6</v>
      </c>
      <c r="K625" s="1">
        <v>3.19995537670883E-5</v>
      </c>
      <c r="L625" t="s">
        <v>26</v>
      </c>
      <c r="M625" t="s">
        <v>27</v>
      </c>
      <c r="N625">
        <v>665.38464992385798</v>
      </c>
      <c r="O625">
        <v>451.90444138271999</v>
      </c>
      <c r="P625">
        <v>825.49480632971199</v>
      </c>
      <c r="Q625">
        <v>363.02873999573302</v>
      </c>
      <c r="R625">
        <v>414.14636842853201</v>
      </c>
      <c r="S625">
        <v>578.53821572389597</v>
      </c>
      <c r="T625">
        <v>728.68979977742094</v>
      </c>
      <c r="U625">
        <v>794.40625272353395</v>
      </c>
      <c r="V625">
        <v>784.20676306058897</v>
      </c>
      <c r="W625">
        <v>994.67640975730399</v>
      </c>
    </row>
    <row r="626" spans="1:23" x14ac:dyDescent="0.2">
      <c r="A626" t="s">
        <v>1267</v>
      </c>
      <c r="B626" s="3" t="str">
        <f>HYPERLINK("http://www.ncbi.nlm.nih.gov/gene/22160","Twist1")</f>
        <v>Twist1</v>
      </c>
      <c r="C626">
        <v>22160</v>
      </c>
      <c r="D626" t="s">
        <v>1268</v>
      </c>
      <c r="E626" s="3" t="str">
        <f>HYPERLINK("http://genome.ucsc.edu/cgi-bin/hgTracks?db=mm10&amp;lastVirtModeType=default&amp;lastVirtModeExtraState=&amp;virtModeType=default&amp;virtMode=0&amp;nonVirtPosition=&amp;position=chr12:33957670-33959831","chr12:33957670-33959831")</f>
        <v>chr12:33957670-33959831</v>
      </c>
      <c r="F626" t="s">
        <v>30</v>
      </c>
      <c r="G626">
        <v>1.66899425303025</v>
      </c>
      <c r="H626">
        <v>0.34674309551165899</v>
      </c>
      <c r="I626">
        <v>4.8133453113679296</v>
      </c>
      <c r="J626" s="1">
        <v>1.4842449758820801E-6</v>
      </c>
      <c r="K626" s="1">
        <v>3.2005675478320402E-5</v>
      </c>
      <c r="L626" t="s">
        <v>26</v>
      </c>
      <c r="M626" t="s">
        <v>27</v>
      </c>
      <c r="N626">
        <v>20.703824786039501</v>
      </c>
      <c r="O626">
        <v>6.6012551095885597</v>
      </c>
      <c r="P626">
        <v>31.280752043377799</v>
      </c>
      <c r="Q626">
        <v>8.3518881900858695</v>
      </c>
      <c r="R626">
        <v>2.6547844130034099</v>
      </c>
      <c r="S626">
        <v>8.7970927256764107</v>
      </c>
      <c r="T626">
        <v>41.246592440231403</v>
      </c>
      <c r="U626">
        <v>21.412567458855399</v>
      </c>
      <c r="V626">
        <v>33.840066698674597</v>
      </c>
      <c r="W626">
        <v>28.623781575749799</v>
      </c>
    </row>
    <row r="627" spans="1:23" x14ac:dyDescent="0.2">
      <c r="A627" t="s">
        <v>1269</v>
      </c>
      <c r="B627" s="3" t="str">
        <f>HYPERLINK("http://www.ncbi.nlm.nih.gov/gene/29871","Scmh1")</f>
        <v>Scmh1</v>
      </c>
      <c r="C627">
        <v>29871</v>
      </c>
      <c r="D627" t="s">
        <v>1270</v>
      </c>
      <c r="E627" s="3" t="str">
        <f>HYPERLINK("http://genome.ucsc.edu/cgi-bin/hgTracks?db=mm10&amp;lastVirtModeType=default&amp;lastVirtModeExtraState=&amp;virtModeType=default&amp;virtMode=0&amp;nonVirtPosition=&amp;position=chr4:120405280-120530199","chr4:120405280-120530199")</f>
        <v>chr4:120405280-120530199</v>
      </c>
      <c r="F627" t="s">
        <v>30</v>
      </c>
      <c r="G627">
        <v>0.79222177504514302</v>
      </c>
      <c r="H627">
        <v>0.164614214551177</v>
      </c>
      <c r="I627">
        <v>4.8125963921472303</v>
      </c>
      <c r="J627" s="1">
        <v>1.48981974756381E-6</v>
      </c>
      <c r="K627" s="1">
        <v>3.2074238327374598E-5</v>
      </c>
      <c r="L627" t="s">
        <v>26</v>
      </c>
      <c r="M627" t="s">
        <v>27</v>
      </c>
      <c r="N627">
        <v>156.89975214789399</v>
      </c>
      <c r="O627">
        <v>109.339153582671</v>
      </c>
      <c r="P627">
        <v>192.570201071811</v>
      </c>
      <c r="Q627">
        <v>106.90416883309901</v>
      </c>
      <c r="R627">
        <v>93.296709371262807</v>
      </c>
      <c r="S627">
        <v>127.81658254365099</v>
      </c>
      <c r="T627">
        <v>187.90114333883199</v>
      </c>
      <c r="U627">
        <v>177.72430990849901</v>
      </c>
      <c r="V627">
        <v>187.59167409047899</v>
      </c>
      <c r="W627">
        <v>217.063676949436</v>
      </c>
    </row>
    <row r="628" spans="1:23" x14ac:dyDescent="0.2">
      <c r="A628" t="s">
        <v>1271</v>
      </c>
      <c r="B628" s="3" t="str">
        <f>HYPERLINK("http://www.ncbi.nlm.nih.gov/gene/67988","Tmx3")</f>
        <v>Tmx3</v>
      </c>
      <c r="C628">
        <v>67988</v>
      </c>
      <c r="D628" t="s">
        <v>1272</v>
      </c>
      <c r="E628" s="3" t="str">
        <f>HYPERLINK("http://genome.ucsc.edu/cgi-bin/hgTracks?db=mm10&amp;lastVirtModeType=default&amp;lastVirtModeExtraState=&amp;virtModeType=default&amp;virtMode=0&amp;nonVirtPosition=&amp;position=chr18:90510153-90543267","chr18:90510153-90543267")</f>
        <v>chr18:90510153-90543267</v>
      </c>
      <c r="F628" t="s">
        <v>30</v>
      </c>
      <c r="G628">
        <v>-0.62220103257633097</v>
      </c>
      <c r="H628">
        <v>0.12930850169667299</v>
      </c>
      <c r="I628">
        <v>-4.8117565698492504</v>
      </c>
      <c r="J628" s="1">
        <v>1.4960951251403899E-6</v>
      </c>
      <c r="K628" s="1">
        <v>3.2134493788860903E-5</v>
      </c>
      <c r="L628" t="s">
        <v>26</v>
      </c>
      <c r="M628" t="s">
        <v>27</v>
      </c>
      <c r="N628">
        <v>497.78205434463899</v>
      </c>
      <c r="O628">
        <v>629.55487943739104</v>
      </c>
      <c r="P628">
        <v>398.95243552507497</v>
      </c>
      <c r="Q628">
        <v>630.28916207848101</v>
      </c>
      <c r="R628">
        <v>670.52269174143305</v>
      </c>
      <c r="S628">
        <v>587.85278449225905</v>
      </c>
      <c r="T628">
        <v>371.21933196208198</v>
      </c>
      <c r="U628">
        <v>372.57867378408298</v>
      </c>
      <c r="V628">
        <v>471.55397290979198</v>
      </c>
      <c r="W628">
        <v>380.45776344434103</v>
      </c>
    </row>
    <row r="629" spans="1:23" x14ac:dyDescent="0.2">
      <c r="A629" t="s">
        <v>1273</v>
      </c>
      <c r="B629" s="3" t="str">
        <f>HYPERLINK("http://www.ncbi.nlm.nih.gov/gene/20955","Vamp7")</f>
        <v>Vamp7</v>
      </c>
      <c r="C629">
        <v>20955</v>
      </c>
      <c r="D629" t="s">
        <v>1274</v>
      </c>
      <c r="E629" s="3" t="str">
        <f>HYPERLINK("http://genome.ucsc.edu/cgi-bin/hgTracks?db=mm10&amp;lastVirtModeType=default&amp;lastVirtModeExtraState=&amp;virtModeType=default&amp;virtMode=0&amp;nonVirtPosition=&amp;position=chrX_GL456233_random:10736-39191","chrX_GL456233_random:10736-39191")</f>
        <v>chrX_GL456233_random:10736-39191</v>
      </c>
      <c r="F629" t="s">
        <v>25</v>
      </c>
      <c r="G629">
        <v>-0.79312449692964304</v>
      </c>
      <c r="H629">
        <v>0.16483660300983799</v>
      </c>
      <c r="I629">
        <v>-4.8115799673590001</v>
      </c>
      <c r="J629" s="1">
        <v>1.4974179765700299E-6</v>
      </c>
      <c r="K629" s="1">
        <v>3.2134493788860903E-5</v>
      </c>
      <c r="L629" t="s">
        <v>26</v>
      </c>
      <c r="M629" t="s">
        <v>27</v>
      </c>
      <c r="N629">
        <v>141.07085095250901</v>
      </c>
      <c r="O629">
        <v>187.95692092809799</v>
      </c>
      <c r="P629">
        <v>105.906298470818</v>
      </c>
      <c r="Q629">
        <v>188.75267309594099</v>
      </c>
      <c r="R629">
        <v>201.76361538825901</v>
      </c>
      <c r="S629">
        <v>173.35447430009401</v>
      </c>
      <c r="T629">
        <v>114.573867889532</v>
      </c>
      <c r="U629">
        <v>98.497810310734593</v>
      </c>
      <c r="V629">
        <v>119.91154069312999</v>
      </c>
      <c r="W629">
        <v>90.6419749898742</v>
      </c>
    </row>
    <row r="630" spans="1:23" x14ac:dyDescent="0.2">
      <c r="A630" t="s">
        <v>1275</v>
      </c>
      <c r="B630" s="3" t="str">
        <f>HYPERLINK("http://www.ncbi.nlm.nih.gov/gene/66433","Chchd7")</f>
        <v>Chchd7</v>
      </c>
      <c r="C630">
        <v>66433</v>
      </c>
      <c r="D630" t="s">
        <v>1276</v>
      </c>
      <c r="E630" s="3" t="str">
        <f>HYPERLINK("http://genome.ucsc.edu/cgi-bin/hgTracks?db=mm10&amp;lastVirtModeType=default&amp;lastVirtModeExtraState=&amp;virtModeType=default&amp;virtMode=0&amp;nonVirtPosition=&amp;position=chr4:3938887-3943525","chr4:3938887-3943525")</f>
        <v>chr4:3938887-3943525</v>
      </c>
      <c r="F630" t="s">
        <v>30</v>
      </c>
      <c r="G630">
        <v>1.4302823194900001</v>
      </c>
      <c r="H630">
        <v>0.29728133682077601</v>
      </c>
      <c r="I630">
        <v>4.8112079109503103</v>
      </c>
      <c r="J630" s="1">
        <v>1.50020856844321E-6</v>
      </c>
      <c r="K630" s="1">
        <v>3.2142868704036899E-5</v>
      </c>
      <c r="L630" t="s">
        <v>26</v>
      </c>
      <c r="M630" t="s">
        <v>27</v>
      </c>
      <c r="N630">
        <v>39.724296782047901</v>
      </c>
      <c r="O630">
        <v>16.3597989321093</v>
      </c>
      <c r="P630">
        <v>57.247670169502001</v>
      </c>
      <c r="Q630">
        <v>12.2494360121259</v>
      </c>
      <c r="R630">
        <v>23.893059717030699</v>
      </c>
      <c r="S630">
        <v>12.936901067171201</v>
      </c>
      <c r="T630">
        <v>87.076139596044001</v>
      </c>
      <c r="U630">
        <v>40.683878171825199</v>
      </c>
      <c r="V630">
        <v>55.909675415201498</v>
      </c>
      <c r="W630">
        <v>45.3209874949371</v>
      </c>
    </row>
    <row r="631" spans="1:23" x14ac:dyDescent="0.2">
      <c r="A631" t="s">
        <v>1277</v>
      </c>
      <c r="B631" s="3" t="str">
        <f>HYPERLINK("http://www.ncbi.nlm.nih.gov/gene/381629","Atraid")</f>
        <v>Atraid</v>
      </c>
      <c r="C631">
        <v>381629</v>
      </c>
      <c r="D631" t="s">
        <v>1278</v>
      </c>
      <c r="E631" s="3" t="str">
        <f>HYPERLINK("http://genome.ucsc.edu/cgi-bin/hgTracks?db=mm10&amp;lastVirtModeType=default&amp;lastVirtModeExtraState=&amp;virtModeType=default&amp;virtMode=0&amp;nonVirtPosition=&amp;position=chr5:31048639-31054633","chr5:31048639-31054633")</f>
        <v>chr5:31048639-31054633</v>
      </c>
      <c r="F631" t="s">
        <v>30</v>
      </c>
      <c r="G631">
        <v>-0.77852218135481699</v>
      </c>
      <c r="H631">
        <v>0.161838478129087</v>
      </c>
      <c r="I631">
        <v>-4.8104887685229203</v>
      </c>
      <c r="J631" s="1">
        <v>1.50561664209984E-6</v>
      </c>
      <c r="K631" s="1">
        <v>3.2207208393544701E-5</v>
      </c>
      <c r="L631" t="s">
        <v>26</v>
      </c>
      <c r="M631" t="s">
        <v>27</v>
      </c>
      <c r="N631">
        <v>166.920875436952</v>
      </c>
      <c r="O631">
        <v>226.32852133221101</v>
      </c>
      <c r="P631">
        <v>122.36514101550701</v>
      </c>
      <c r="Q631">
        <v>237.75041714444501</v>
      </c>
      <c r="R631">
        <v>229.06996935058001</v>
      </c>
      <c r="S631">
        <v>212.16517750160801</v>
      </c>
      <c r="T631">
        <v>77.910230164881497</v>
      </c>
      <c r="U631">
        <v>134.89917499078899</v>
      </c>
      <c r="V631">
        <v>138.30288129023501</v>
      </c>
      <c r="W631">
        <v>138.34827761612399</v>
      </c>
    </row>
    <row r="632" spans="1:23" x14ac:dyDescent="0.2">
      <c r="A632" t="s">
        <v>1279</v>
      </c>
      <c r="B632" s="3" t="str">
        <f>HYPERLINK("http://www.ncbi.nlm.nih.gov/gene/100040462","Mndal")</f>
        <v>Mndal</v>
      </c>
      <c r="C632">
        <v>100040462</v>
      </c>
      <c r="D632" t="s">
        <v>1280</v>
      </c>
      <c r="E632" s="3" t="str">
        <f>HYPERLINK("http://genome.ucsc.edu/cgi-bin/hgTracks?db=mm10&amp;lastVirtModeType=default&amp;lastVirtModeExtraState=&amp;virtModeType=default&amp;virtMode=0&amp;nonVirtPosition=&amp;position=chr1:173857219-173880187","chr1:173857219-173880187")</f>
        <v>chr1:173857219-173880187</v>
      </c>
      <c r="F632" t="s">
        <v>25</v>
      </c>
      <c r="G632">
        <v>1.8696204590736101</v>
      </c>
      <c r="H632">
        <v>0.38892103367252301</v>
      </c>
      <c r="I632">
        <v>4.8071981127352901</v>
      </c>
      <c r="J632" s="1">
        <v>1.53060296127158E-6</v>
      </c>
      <c r="K632" s="1">
        <v>3.2689480469517997E-5</v>
      </c>
      <c r="L632" t="s">
        <v>26</v>
      </c>
      <c r="M632" t="s">
        <v>27</v>
      </c>
      <c r="N632">
        <v>10.791190872817101</v>
      </c>
      <c r="O632">
        <v>1.7325711178107299</v>
      </c>
      <c r="P632">
        <v>17.5851556890719</v>
      </c>
      <c r="Q632">
        <v>2.78396273002862</v>
      </c>
      <c r="R632">
        <v>1.8962745807167201</v>
      </c>
      <c r="S632">
        <v>0.51747604268684799</v>
      </c>
      <c r="T632">
        <v>32.0806830090688</v>
      </c>
      <c r="U632">
        <v>10.7062837294277</v>
      </c>
      <c r="V632">
        <v>13.241765229916099</v>
      </c>
      <c r="W632">
        <v>14.3118907878749</v>
      </c>
    </row>
    <row r="633" spans="1:23" x14ac:dyDescent="0.2">
      <c r="A633" t="s">
        <v>1281</v>
      </c>
      <c r="B633" s="3" t="str">
        <f>HYPERLINK("http://www.ncbi.nlm.nih.gov/gene/319934","Sbf2")</f>
        <v>Sbf2</v>
      </c>
      <c r="C633">
        <v>319934</v>
      </c>
      <c r="D633" t="s">
        <v>1282</v>
      </c>
      <c r="E633" s="3" t="str">
        <f>HYPERLINK("http://genome.ucsc.edu/cgi-bin/hgTracks?db=mm10&amp;lastVirtModeType=default&amp;lastVirtModeExtraState=&amp;virtModeType=default&amp;virtMode=0&amp;nonVirtPosition=&amp;position=chr7:110308012-110614920","chr7:110308012-110614920")</f>
        <v>chr7:110308012-110614920</v>
      </c>
      <c r="F633" t="s">
        <v>25</v>
      </c>
      <c r="G633">
        <v>-0.46795885514847801</v>
      </c>
      <c r="H633">
        <v>9.73898109366646E-2</v>
      </c>
      <c r="I633">
        <v>-4.80500835403413</v>
      </c>
      <c r="J633" s="1">
        <v>1.5474504368982901E-6</v>
      </c>
      <c r="K633" s="1">
        <v>3.2996670064498401E-5</v>
      </c>
      <c r="L633" t="s">
        <v>26</v>
      </c>
      <c r="M633" t="s">
        <v>27</v>
      </c>
      <c r="N633">
        <v>1358.6916349482101</v>
      </c>
      <c r="O633">
        <v>1620.2613476735901</v>
      </c>
      <c r="P633">
        <v>1162.51435040418</v>
      </c>
      <c r="Q633">
        <v>1522.82761332566</v>
      </c>
      <c r="R633">
        <v>1619.4184919320801</v>
      </c>
      <c r="S633">
        <v>1718.53793776302</v>
      </c>
      <c r="T633">
        <v>1118.24095060183</v>
      </c>
      <c r="U633">
        <v>1186.25623722059</v>
      </c>
      <c r="V633">
        <v>1210.15021128956</v>
      </c>
      <c r="W633">
        <v>1135.4100025047401</v>
      </c>
    </row>
    <row r="634" spans="1:23" x14ac:dyDescent="0.2">
      <c r="A634" t="s">
        <v>1283</v>
      </c>
      <c r="B634" s="3" t="str">
        <f>HYPERLINK("http://www.ncbi.nlm.nih.gov/gene/19063","Ppt1")</f>
        <v>Ppt1</v>
      </c>
      <c r="C634">
        <v>19063</v>
      </c>
      <c r="D634" t="s">
        <v>1284</v>
      </c>
      <c r="E634" s="3" t="str">
        <f>HYPERLINK("http://genome.ucsc.edu/cgi-bin/hgTracks?db=mm10&amp;lastVirtModeType=default&amp;lastVirtModeExtraState=&amp;virtModeType=default&amp;virtMode=0&amp;nonVirtPosition=&amp;position=chr4:122836226-122859175","chr4:122836226-122859175")</f>
        <v>chr4:122836226-122859175</v>
      </c>
      <c r="F634" t="s">
        <v>30</v>
      </c>
      <c r="G634">
        <v>-0.98769642337970698</v>
      </c>
      <c r="H634">
        <v>0.20564021620102499</v>
      </c>
      <c r="I634">
        <v>-4.8030314382385999</v>
      </c>
      <c r="J634" s="1">
        <v>1.56281336238E-6</v>
      </c>
      <c r="K634" s="1">
        <v>3.3271277799094702E-5</v>
      </c>
      <c r="L634" t="s">
        <v>26</v>
      </c>
      <c r="M634" t="s">
        <v>27</v>
      </c>
      <c r="N634">
        <v>471.17978402716699</v>
      </c>
      <c r="O634">
        <v>669.63315371953604</v>
      </c>
      <c r="P634">
        <v>322.339756757891</v>
      </c>
      <c r="Q634">
        <v>938.19544001964698</v>
      </c>
      <c r="R634">
        <v>613.25519940378797</v>
      </c>
      <c r="S634">
        <v>457.448821735173</v>
      </c>
      <c r="T634">
        <v>357.47046781533902</v>
      </c>
      <c r="U634">
        <v>310.48222815340301</v>
      </c>
      <c r="V634">
        <v>289.84752781038702</v>
      </c>
      <c r="W634">
        <v>331.55880325243498</v>
      </c>
    </row>
    <row r="635" spans="1:23" x14ac:dyDescent="0.2">
      <c r="A635" t="s">
        <v>1285</v>
      </c>
      <c r="B635" s="3" t="str">
        <f>HYPERLINK("http://www.ncbi.nlm.nih.gov/gene/67163","Ccdc47")</f>
        <v>Ccdc47</v>
      </c>
      <c r="C635">
        <v>67163</v>
      </c>
      <c r="D635" t="s">
        <v>1286</v>
      </c>
      <c r="E635" s="3" t="str">
        <f>HYPERLINK("http://genome.ucsc.edu/cgi-bin/hgTracks?db=mm10&amp;lastVirtModeType=default&amp;lastVirtModeExtraState=&amp;virtModeType=default&amp;virtMode=0&amp;nonVirtPosition=&amp;position=chr11:106199355-106216367","chr11:106199355-106216367")</f>
        <v>chr11:106199355-106216367</v>
      </c>
      <c r="F635" t="s">
        <v>25</v>
      </c>
      <c r="G635">
        <v>-0.56426226497145804</v>
      </c>
      <c r="H635">
        <v>0.117560564340976</v>
      </c>
      <c r="I635">
        <v>-4.7997580492626604</v>
      </c>
      <c r="J635" s="1">
        <v>1.5885742959317099E-6</v>
      </c>
      <c r="K635" s="1">
        <v>3.37660292013039E-5</v>
      </c>
      <c r="L635" t="s">
        <v>26</v>
      </c>
      <c r="M635" t="s">
        <v>27</v>
      </c>
      <c r="N635">
        <v>588.331833805977</v>
      </c>
      <c r="O635">
        <v>723.99960225530401</v>
      </c>
      <c r="P635">
        <v>486.581007468981</v>
      </c>
      <c r="Q635">
        <v>776.16880913198099</v>
      </c>
      <c r="R635">
        <v>706.55190877505095</v>
      </c>
      <c r="S635">
        <v>689.27808885888101</v>
      </c>
      <c r="T635">
        <v>527.03979229184495</v>
      </c>
      <c r="U635">
        <v>415.40380870179399</v>
      </c>
      <c r="V635">
        <v>486.267045387476</v>
      </c>
      <c r="W635">
        <v>517.61338349480798</v>
      </c>
    </row>
    <row r="636" spans="1:23" x14ac:dyDescent="0.2">
      <c r="A636" t="s">
        <v>1287</v>
      </c>
      <c r="B636" s="3" t="str">
        <f>HYPERLINK("http://www.ncbi.nlm.nih.gov/gene/69276","Sec62")</f>
        <v>Sec62</v>
      </c>
      <c r="C636">
        <v>69276</v>
      </c>
      <c r="D636" t="s">
        <v>1288</v>
      </c>
      <c r="E636" s="3" t="str">
        <f>HYPERLINK("http://genome.ucsc.edu/cgi-bin/hgTracks?db=mm10&amp;lastVirtModeType=default&amp;lastVirtModeExtraState=&amp;virtModeType=default&amp;virtMode=0&amp;nonVirtPosition=&amp;position=chr3:30792875-30821263","chr3:30792875-30821263")</f>
        <v>chr3:30792875-30821263</v>
      </c>
      <c r="F636" t="s">
        <v>30</v>
      </c>
      <c r="G636">
        <v>-0.83747341346486603</v>
      </c>
      <c r="H636">
        <v>0.17457109183450101</v>
      </c>
      <c r="I636">
        <v>-4.7973201328133799</v>
      </c>
      <c r="J636" s="1">
        <v>1.6080249309068601E-6</v>
      </c>
      <c r="K636" s="1">
        <v>3.4125296116915598E-5</v>
      </c>
      <c r="L636" t="s">
        <v>26</v>
      </c>
      <c r="M636" t="s">
        <v>27</v>
      </c>
      <c r="N636">
        <v>522.79194968874299</v>
      </c>
      <c r="O636">
        <v>709.45018910562305</v>
      </c>
      <c r="P636">
        <v>382.79827012608399</v>
      </c>
      <c r="Q636">
        <v>916.48053072542302</v>
      </c>
      <c r="R636">
        <v>673.17747615443704</v>
      </c>
      <c r="S636">
        <v>538.69256043700796</v>
      </c>
      <c r="T636">
        <v>362.05342253091999</v>
      </c>
      <c r="U636">
        <v>355.44861981699898</v>
      </c>
      <c r="V636">
        <v>404.60949313632699</v>
      </c>
      <c r="W636">
        <v>409.08154502009</v>
      </c>
    </row>
    <row r="637" spans="1:23" x14ac:dyDescent="0.2">
      <c r="A637" t="s">
        <v>1289</v>
      </c>
      <c r="B637" s="3" t="str">
        <f>HYPERLINK("http://www.ncbi.nlm.nih.gov/gene/53761","Prrc2a")</f>
        <v>Prrc2a</v>
      </c>
      <c r="C637">
        <v>53761</v>
      </c>
      <c r="D637" t="s">
        <v>1290</v>
      </c>
      <c r="E637" s="3" t="str">
        <f>HYPERLINK("http://genome.ucsc.edu/cgi-bin/hgTracks?db=mm10&amp;lastVirtModeType=default&amp;lastVirtModeExtraState=&amp;virtModeType=default&amp;virtMode=0&amp;nonVirtPosition=&amp;position=chr17:35149085-35164877","chr17:35149085-35164877")</f>
        <v>chr17:35149085-35164877</v>
      </c>
      <c r="F637" t="s">
        <v>25</v>
      </c>
      <c r="G637">
        <v>0.79156198880672801</v>
      </c>
      <c r="H637">
        <v>0.16508909461875601</v>
      </c>
      <c r="I637">
        <v>4.7947563746394</v>
      </c>
      <c r="J637" s="1">
        <v>1.6287264686383499E-6</v>
      </c>
      <c r="K637" s="1">
        <v>3.4509930603696497E-5</v>
      </c>
      <c r="L637" t="s">
        <v>26</v>
      </c>
      <c r="M637" t="s">
        <v>27</v>
      </c>
      <c r="N637">
        <v>2768.82648483496</v>
      </c>
      <c r="O637">
        <v>1918.70238609902</v>
      </c>
      <c r="P637">
        <v>3406.4195588869202</v>
      </c>
      <c r="Q637">
        <v>1682.0702814833001</v>
      </c>
      <c r="R637">
        <v>1581.87225523389</v>
      </c>
      <c r="S637">
        <v>2492.1646215798601</v>
      </c>
      <c r="T637">
        <v>3290.5614857873502</v>
      </c>
      <c r="U637">
        <v>3661.5490354642702</v>
      </c>
      <c r="V637">
        <v>3435.5024235393498</v>
      </c>
      <c r="W637">
        <v>3238.06529075669</v>
      </c>
    </row>
    <row r="638" spans="1:23" x14ac:dyDescent="0.2">
      <c r="A638" t="s">
        <v>1291</v>
      </c>
      <c r="B638" s="3" t="str">
        <f>HYPERLINK("http://www.ncbi.nlm.nih.gov/gene/15460","Hr")</f>
        <v>Hr</v>
      </c>
      <c r="C638">
        <v>15460</v>
      </c>
      <c r="D638" t="s">
        <v>1292</v>
      </c>
      <c r="E638" s="3" t="str">
        <f>HYPERLINK("http://genome.ucsc.edu/cgi-bin/hgTracks?db=mm10&amp;lastVirtModeType=default&amp;lastVirtModeExtraState=&amp;virtModeType=default&amp;virtMode=0&amp;nonVirtPosition=&amp;position=chr14:70554055-70573548","chr14:70554055-70573548")</f>
        <v>chr14:70554055-70573548</v>
      </c>
      <c r="F638" t="s">
        <v>30</v>
      </c>
      <c r="G638">
        <v>0.60022037312550103</v>
      </c>
      <c r="H638">
        <v>0.12526072596525201</v>
      </c>
      <c r="I638">
        <v>4.79176827772819</v>
      </c>
      <c r="J638" s="1">
        <v>1.6531777401028599E-6</v>
      </c>
      <c r="K638" s="1">
        <v>3.4972674751528302E-5</v>
      </c>
      <c r="L638" t="s">
        <v>26</v>
      </c>
      <c r="M638" t="s">
        <v>27</v>
      </c>
      <c r="N638">
        <v>644.44191352092798</v>
      </c>
      <c r="O638">
        <v>491.53812249399101</v>
      </c>
      <c r="P638">
        <v>759.11975679113198</v>
      </c>
      <c r="Q638">
        <v>423.16233496435098</v>
      </c>
      <c r="R638">
        <v>501.37499914150197</v>
      </c>
      <c r="S638">
        <v>550.07703337611895</v>
      </c>
      <c r="T638">
        <v>843.26366766695298</v>
      </c>
      <c r="U638">
        <v>740.87483407639502</v>
      </c>
      <c r="V638">
        <v>731.97535576480902</v>
      </c>
      <c r="W638">
        <v>720.36516965636895</v>
      </c>
    </row>
    <row r="639" spans="1:23" x14ac:dyDescent="0.2">
      <c r="A639" t="s">
        <v>1293</v>
      </c>
      <c r="B639" s="3" t="str">
        <f>HYPERLINK("http://www.ncbi.nlm.nih.gov/gene/13666","Eif2ak3")</f>
        <v>Eif2ak3</v>
      </c>
      <c r="C639">
        <v>13666</v>
      </c>
      <c r="D639" t="s">
        <v>1294</v>
      </c>
      <c r="E639" s="3" t="str">
        <f>HYPERLINK("http://genome.ucsc.edu/cgi-bin/hgTracks?db=mm10&amp;lastVirtModeType=default&amp;lastVirtModeExtraState=&amp;virtModeType=default&amp;virtMode=0&amp;nonVirtPosition=&amp;position=chr6:70844514-70905241","chr6:70844514-70905241")</f>
        <v>chr6:70844514-70905241</v>
      </c>
      <c r="F639" t="s">
        <v>30</v>
      </c>
      <c r="G639">
        <v>-0.57072924485427901</v>
      </c>
      <c r="H639">
        <v>0.11912064439365</v>
      </c>
      <c r="I639">
        <v>-4.7911866810275798</v>
      </c>
      <c r="J639" s="1">
        <v>1.6579777273994701E-6</v>
      </c>
      <c r="K639" s="1">
        <v>3.4986474337349801E-5</v>
      </c>
      <c r="L639" t="s">
        <v>26</v>
      </c>
      <c r="M639" t="s">
        <v>27</v>
      </c>
      <c r="N639">
        <v>449.85920617867799</v>
      </c>
      <c r="O639">
        <v>559.63758854998298</v>
      </c>
      <c r="P639">
        <v>367.52541940019898</v>
      </c>
      <c r="Q639">
        <v>526.16895597540997</v>
      </c>
      <c r="R639">
        <v>551.43664807242305</v>
      </c>
      <c r="S639">
        <v>601.30716160211705</v>
      </c>
      <c r="T639">
        <v>316.22387537510701</v>
      </c>
      <c r="U639">
        <v>391.84998449705301</v>
      </c>
      <c r="V639">
        <v>399.45991776913701</v>
      </c>
      <c r="W639">
        <v>362.56789995949703</v>
      </c>
    </row>
    <row r="640" spans="1:23" x14ac:dyDescent="0.2">
      <c r="A640" t="s">
        <v>1295</v>
      </c>
      <c r="B640" s="3" t="str">
        <f>HYPERLINK("http://www.ncbi.nlm.nih.gov/gene/218952","Fermt2")</f>
        <v>Fermt2</v>
      </c>
      <c r="C640">
        <v>218952</v>
      </c>
      <c r="D640" t="s">
        <v>1296</v>
      </c>
      <c r="E640" s="3" t="str">
        <f>HYPERLINK("http://genome.ucsc.edu/cgi-bin/hgTracks?db=mm10&amp;lastVirtModeType=default&amp;lastVirtModeExtraState=&amp;virtModeType=default&amp;virtMode=0&amp;nonVirtPosition=&amp;position=chr14:45458791-45530065","chr14:45458791-45530065")</f>
        <v>chr14:45458791-45530065</v>
      </c>
      <c r="F640" t="s">
        <v>25</v>
      </c>
      <c r="G640">
        <v>-0.62032545592328203</v>
      </c>
      <c r="H640">
        <v>0.12947571769704799</v>
      </c>
      <c r="I640">
        <v>-4.79105632281368</v>
      </c>
      <c r="J640" s="1">
        <v>1.65905542560056E-6</v>
      </c>
      <c r="K640" s="1">
        <v>3.4986474337349801E-5</v>
      </c>
      <c r="L640" t="s">
        <v>26</v>
      </c>
      <c r="M640" t="s">
        <v>27</v>
      </c>
      <c r="N640">
        <v>1003.51546109163</v>
      </c>
      <c r="O640">
        <v>1266.64182159905</v>
      </c>
      <c r="P640">
        <v>806.17069071106596</v>
      </c>
      <c r="Q640">
        <v>1409.7987264865001</v>
      </c>
      <c r="R640">
        <v>1251.1619683568899</v>
      </c>
      <c r="S640">
        <v>1138.96476995375</v>
      </c>
      <c r="T640">
        <v>687.44320733718996</v>
      </c>
      <c r="U640">
        <v>811.53630669061795</v>
      </c>
      <c r="V640">
        <v>915.88876173586698</v>
      </c>
      <c r="W640">
        <v>809.81448708058701</v>
      </c>
    </row>
    <row r="641" spans="1:23" x14ac:dyDescent="0.2">
      <c r="A641" t="s">
        <v>1297</v>
      </c>
      <c r="B641" s="3" t="str">
        <f>HYPERLINK("http://www.ncbi.nlm.nih.gov/gene/239027","Arhgap22")</f>
        <v>Arhgap22</v>
      </c>
      <c r="C641">
        <v>239027</v>
      </c>
      <c r="D641" t="s">
        <v>1298</v>
      </c>
      <c r="E641" s="3" t="str">
        <f>HYPERLINK("http://genome.ucsc.edu/cgi-bin/hgTracks?db=mm10&amp;lastVirtModeType=default&amp;lastVirtModeExtraState=&amp;virtModeType=default&amp;virtMode=0&amp;nonVirtPosition=&amp;position=chr14:33216822-33369936","chr14:33216822-33369936")</f>
        <v>chr14:33216822-33369936</v>
      </c>
      <c r="F641" t="s">
        <v>30</v>
      </c>
      <c r="G641">
        <v>-1.36463135438358</v>
      </c>
      <c r="H641">
        <v>0.28486287729311699</v>
      </c>
      <c r="I641">
        <v>-4.7904850479320604</v>
      </c>
      <c r="J641" s="1">
        <v>1.6637862186048199E-6</v>
      </c>
      <c r="K641" s="1">
        <v>3.5031071153045699E-5</v>
      </c>
      <c r="L641" t="s">
        <v>26</v>
      </c>
      <c r="M641" t="s">
        <v>27</v>
      </c>
      <c r="N641">
        <v>74.104248321066095</v>
      </c>
      <c r="O641">
        <v>120.57453818542101</v>
      </c>
      <c r="P641">
        <v>39.251530922799702</v>
      </c>
      <c r="Q641">
        <v>160.91304579565499</v>
      </c>
      <c r="R641">
        <v>65.231845576655303</v>
      </c>
      <c r="S641">
        <v>135.578723183954</v>
      </c>
      <c r="T641">
        <v>41.246592440231403</v>
      </c>
      <c r="U641">
        <v>29.9775944423975</v>
      </c>
      <c r="V641">
        <v>40.460949313632703</v>
      </c>
      <c r="W641">
        <v>45.3209874949371</v>
      </c>
    </row>
    <row r="642" spans="1:23" x14ac:dyDescent="0.2">
      <c r="A642" t="s">
        <v>1299</v>
      </c>
      <c r="B642" s="3" t="str">
        <f>HYPERLINK("http://www.ncbi.nlm.nih.gov/gene/320478","Sox2ot")</f>
        <v>Sox2ot</v>
      </c>
      <c r="C642">
        <v>320478</v>
      </c>
      <c r="D642" t="s">
        <v>1300</v>
      </c>
      <c r="E642" s="3" t="str">
        <f>HYPERLINK("http://genome.ucsc.edu/cgi-bin/hgTracks?db=mm10&amp;lastVirtModeType=default&amp;lastVirtModeExtraState=&amp;virtModeType=default&amp;virtMode=0&amp;nonVirtPosition=&amp;position=chr3:34560380-34677993","chr3:34560380-34677993")</f>
        <v>chr3:34560380-34677993</v>
      </c>
      <c r="F642" t="s">
        <v>30</v>
      </c>
      <c r="G642">
        <v>0.62016650888918301</v>
      </c>
      <c r="H642">
        <v>0.129559967070775</v>
      </c>
      <c r="I642">
        <v>4.7867140051865098</v>
      </c>
      <c r="J642" s="1">
        <v>1.6953415021446299E-6</v>
      </c>
      <c r="K642" s="1">
        <v>3.5583570619465099E-5</v>
      </c>
      <c r="L642" t="s">
        <v>26</v>
      </c>
      <c r="M642" t="s">
        <v>27</v>
      </c>
      <c r="N642">
        <v>267.55553634723299</v>
      </c>
      <c r="O642">
        <v>204.343559921831</v>
      </c>
      <c r="P642">
        <v>314.96451866628502</v>
      </c>
      <c r="Q642">
        <v>224.38739604030701</v>
      </c>
      <c r="R642">
        <v>198.72957605911299</v>
      </c>
      <c r="S642">
        <v>189.91370766607301</v>
      </c>
      <c r="T642">
        <v>311.64092065952599</v>
      </c>
      <c r="U642">
        <v>289.069660694547</v>
      </c>
      <c r="V642">
        <v>344.28589597782002</v>
      </c>
      <c r="W642">
        <v>314.861597333247</v>
      </c>
    </row>
    <row r="643" spans="1:23" x14ac:dyDescent="0.2">
      <c r="A643" t="s">
        <v>1301</v>
      </c>
      <c r="B643" s="3" t="str">
        <f>HYPERLINK("http://www.ncbi.nlm.nih.gov/gene/14593","Ggps1")</f>
        <v>Ggps1</v>
      </c>
      <c r="C643">
        <v>14593</v>
      </c>
      <c r="D643" t="s">
        <v>1302</v>
      </c>
      <c r="E643" s="3" t="str">
        <f>HYPERLINK("http://genome.ucsc.edu/cgi-bin/hgTracks?db=mm10&amp;lastVirtModeType=default&amp;lastVirtModeExtraState=&amp;virtModeType=default&amp;virtMode=0&amp;nonVirtPosition=&amp;position=chr13:14049789-14063488","chr13:14049789-14063488")</f>
        <v>chr13:14049789-14063488</v>
      </c>
      <c r="F643" t="s">
        <v>25</v>
      </c>
      <c r="G643">
        <v>-0.61785470882826299</v>
      </c>
      <c r="H643">
        <v>0.12913752468331</v>
      </c>
      <c r="I643">
        <v>-4.7844707442198304</v>
      </c>
      <c r="J643" s="1">
        <v>1.71438464735101E-6</v>
      </c>
      <c r="K643" s="1">
        <v>3.5870820019808303E-5</v>
      </c>
      <c r="L643" t="s">
        <v>26</v>
      </c>
      <c r="M643" t="s">
        <v>27</v>
      </c>
      <c r="N643">
        <v>243.918605578757</v>
      </c>
      <c r="O643">
        <v>309.63442352129198</v>
      </c>
      <c r="P643">
        <v>194.63174212185601</v>
      </c>
      <c r="Q643">
        <v>309.01986303317699</v>
      </c>
      <c r="R643">
        <v>318.19487464426601</v>
      </c>
      <c r="S643">
        <v>301.68853288643197</v>
      </c>
      <c r="T643">
        <v>174.152279192088</v>
      </c>
      <c r="U643">
        <v>184.14808014615599</v>
      </c>
      <c r="V643">
        <v>216.28216542196401</v>
      </c>
      <c r="W643">
        <v>203.94444372721699</v>
      </c>
    </row>
    <row r="644" spans="1:23" x14ac:dyDescent="0.2">
      <c r="A644" t="s">
        <v>1303</v>
      </c>
      <c r="B644" s="3" t="str">
        <f>HYPERLINK("http://www.ncbi.nlm.nih.gov/gene/246229","Bivm")</f>
        <v>Bivm</v>
      </c>
      <c r="C644">
        <v>246229</v>
      </c>
      <c r="D644" t="s">
        <v>1304</v>
      </c>
      <c r="E644" s="3" t="str">
        <f>HYPERLINK("http://genome.ucsc.edu/cgi-bin/hgTracks?db=mm10&amp;lastVirtModeType=default&amp;lastVirtModeExtraState=&amp;virtModeType=default&amp;virtMode=0&amp;nonVirtPosition=&amp;position=chr1:44119967-44144771","chr1:44119967-44144771")</f>
        <v>chr1:44119967-44144771</v>
      </c>
      <c r="F644" t="s">
        <v>30</v>
      </c>
      <c r="G644">
        <v>-0.76454838711700701</v>
      </c>
      <c r="H644">
        <v>0.15989399710941701</v>
      </c>
      <c r="I644">
        <v>-4.7815953127609898</v>
      </c>
      <c r="J644" s="1">
        <v>1.73909511640026E-6</v>
      </c>
      <c r="K644" s="1">
        <v>3.6225743241216903E-5</v>
      </c>
      <c r="L644" t="s">
        <v>26</v>
      </c>
      <c r="M644" t="s">
        <v>27</v>
      </c>
      <c r="N644">
        <v>132.08575901025401</v>
      </c>
      <c r="O644">
        <v>172.05281346883399</v>
      </c>
      <c r="P644">
        <v>102.11046816632</v>
      </c>
      <c r="Q644">
        <v>174.83285944579799</v>
      </c>
      <c r="R644">
        <v>175.215771258225</v>
      </c>
      <c r="S644">
        <v>166.109809702478</v>
      </c>
      <c r="T644">
        <v>123.739777320694</v>
      </c>
      <c r="U644">
        <v>87.791526581306996</v>
      </c>
      <c r="V644">
        <v>91.956702985528807</v>
      </c>
      <c r="W644">
        <v>104.953865777749</v>
      </c>
    </row>
    <row r="645" spans="1:23" x14ac:dyDescent="0.2">
      <c r="A645" t="s">
        <v>1305</v>
      </c>
      <c r="B645" s="3" t="str">
        <f>HYPERLINK("http://www.ncbi.nlm.nih.gov/gene/67979","Atad1")</f>
        <v>Atad1</v>
      </c>
      <c r="C645">
        <v>67979</v>
      </c>
      <c r="D645" t="s">
        <v>1306</v>
      </c>
      <c r="E645" s="3" t="str">
        <f>HYPERLINK("http://genome.ucsc.edu/cgi-bin/hgTracks?db=mm10&amp;lastVirtModeType=default&amp;lastVirtModeExtraState=&amp;virtModeType=default&amp;virtMode=0&amp;nonVirtPosition=&amp;position=chr19:32672562-32712298","chr19:32672562-32712298")</f>
        <v>chr19:32672562-32712298</v>
      </c>
      <c r="F645" t="s">
        <v>25</v>
      </c>
      <c r="G645">
        <v>-0.65130179187488602</v>
      </c>
      <c r="H645">
        <v>0.13621083617641799</v>
      </c>
      <c r="I645">
        <v>-4.7815710567353804</v>
      </c>
      <c r="J645" s="1">
        <v>1.73930501307718E-6</v>
      </c>
      <c r="K645" s="1">
        <v>3.6225743241216903E-5</v>
      </c>
      <c r="L645" t="s">
        <v>26</v>
      </c>
      <c r="M645" t="s">
        <v>27</v>
      </c>
      <c r="N645">
        <v>537.47578942235396</v>
      </c>
      <c r="O645">
        <v>687.87293016573597</v>
      </c>
      <c r="P645">
        <v>424.67793386481799</v>
      </c>
      <c r="Q645">
        <v>622.49406643440102</v>
      </c>
      <c r="R645">
        <v>766.85344044184296</v>
      </c>
      <c r="S645">
        <v>674.271283620963</v>
      </c>
      <c r="T645">
        <v>362.05342253091999</v>
      </c>
      <c r="U645">
        <v>398.27375473471</v>
      </c>
      <c r="V645">
        <v>489.94531350689698</v>
      </c>
      <c r="W645">
        <v>448.43924468674601</v>
      </c>
    </row>
    <row r="646" spans="1:23" x14ac:dyDescent="0.2">
      <c r="A646" t="s">
        <v>1307</v>
      </c>
      <c r="B646" s="3" t="str">
        <f>HYPERLINK("http://www.ncbi.nlm.nih.gov/gene/12389","Cav1")</f>
        <v>Cav1</v>
      </c>
      <c r="C646">
        <v>12389</v>
      </c>
      <c r="D646" t="s">
        <v>1308</v>
      </c>
      <c r="E646" s="3" t="str">
        <f>HYPERLINK("http://genome.ucsc.edu/cgi-bin/hgTracks?db=mm10&amp;lastVirtModeType=default&amp;lastVirtModeExtraState=&amp;virtModeType=default&amp;virtMode=0&amp;nonVirtPosition=&amp;position=chr6:17307639-17341328","chr6:17307639-17341328")</f>
        <v>chr6:17307639-17341328</v>
      </c>
      <c r="F646" t="s">
        <v>30</v>
      </c>
      <c r="G646">
        <v>-1.0913370100111499</v>
      </c>
      <c r="H646">
        <v>0.22823903927765701</v>
      </c>
      <c r="I646">
        <v>-4.7815527679448504</v>
      </c>
      <c r="J646" s="1">
        <v>1.7394632890824E-6</v>
      </c>
      <c r="K646" s="1">
        <v>3.6225743241216903E-5</v>
      </c>
      <c r="L646" t="s">
        <v>26</v>
      </c>
      <c r="M646" t="s">
        <v>27</v>
      </c>
      <c r="N646">
        <v>427.64755832978199</v>
      </c>
      <c r="O646">
        <v>632.43346073952</v>
      </c>
      <c r="P646">
        <v>274.05813152247902</v>
      </c>
      <c r="Q646">
        <v>910.35581271935996</v>
      </c>
      <c r="R646">
        <v>493.78990081863498</v>
      </c>
      <c r="S646">
        <v>493.15466868056598</v>
      </c>
      <c r="T646">
        <v>270.39432821929501</v>
      </c>
      <c r="U646">
        <v>241.96201228506499</v>
      </c>
      <c r="V646">
        <v>365.619851070462</v>
      </c>
      <c r="W646">
        <v>218.25633451509199</v>
      </c>
    </row>
    <row r="647" spans="1:23" x14ac:dyDescent="0.2">
      <c r="A647" t="s">
        <v>1309</v>
      </c>
      <c r="B647" s="3" t="str">
        <f>HYPERLINK("http://www.ncbi.nlm.nih.gov/gene/14961","H2-Ab1")</f>
        <v>H2-Ab1</v>
      </c>
      <c r="C647">
        <v>14961</v>
      </c>
      <c r="D647" t="s">
        <v>1310</v>
      </c>
      <c r="E647" s="3" t="str">
        <f>HYPERLINK("http://genome.ucsc.edu/cgi-bin/hgTracks?db=mm10&amp;lastVirtModeType=default&amp;lastVirtModeExtraState=&amp;virtModeType=default&amp;virtMode=0&amp;nonVirtPosition=&amp;position=chr17:34263226-34269418","chr17:34263226-34269418")</f>
        <v>chr17:34263226-34269418</v>
      </c>
      <c r="F647" t="s">
        <v>30</v>
      </c>
      <c r="G647">
        <v>1.8198722452046401</v>
      </c>
      <c r="H647">
        <v>0.38095458372841701</v>
      </c>
      <c r="I647">
        <v>4.7771370208844299</v>
      </c>
      <c r="J647" s="1">
        <v>1.7780861815726501E-6</v>
      </c>
      <c r="K647" s="1">
        <v>3.6952920474474902E-5</v>
      </c>
      <c r="L647" t="s">
        <v>26</v>
      </c>
      <c r="M647" t="s">
        <v>27</v>
      </c>
      <c r="N647">
        <v>453.11172280503098</v>
      </c>
      <c r="O647">
        <v>97.466241112433394</v>
      </c>
      <c r="P647">
        <v>719.84583407448099</v>
      </c>
      <c r="Q647">
        <v>135.30058867939101</v>
      </c>
      <c r="R647">
        <v>70.162159486518803</v>
      </c>
      <c r="S647">
        <v>86.935975171390396</v>
      </c>
      <c r="T647">
        <v>1329.05686751857</v>
      </c>
      <c r="U647">
        <v>282.64589045689098</v>
      </c>
      <c r="V647">
        <v>503.18707873681302</v>
      </c>
      <c r="W647">
        <v>764.49349958565006</v>
      </c>
    </row>
    <row r="648" spans="1:23" x14ac:dyDescent="0.2">
      <c r="A648" t="s">
        <v>1311</v>
      </c>
      <c r="B648" s="3" t="str">
        <f>HYPERLINK("http://www.ncbi.nlm.nih.gov/gene/14651","Hagh")</f>
        <v>Hagh</v>
      </c>
      <c r="C648">
        <v>14651</v>
      </c>
      <c r="D648" t="s">
        <v>1312</v>
      </c>
      <c r="E648" s="3" t="str">
        <f>HYPERLINK("http://genome.ucsc.edu/cgi-bin/hgTracks?db=mm10&amp;lastVirtModeType=default&amp;lastVirtModeExtraState=&amp;virtModeType=default&amp;virtMode=0&amp;nonVirtPosition=&amp;position=chr17:24850666-24864450","chr17:24850666-24864450")</f>
        <v>chr17:24850666-24864450</v>
      </c>
      <c r="F648" t="s">
        <v>30</v>
      </c>
      <c r="G648">
        <v>-0.93752654892345999</v>
      </c>
      <c r="H648">
        <v>0.19626123055682301</v>
      </c>
      <c r="I648">
        <v>-4.7769319812351902</v>
      </c>
      <c r="J648" s="1">
        <v>1.77989946277622E-6</v>
      </c>
      <c r="K648" s="1">
        <v>3.6952920474474902E-5</v>
      </c>
      <c r="L648" t="s">
        <v>26</v>
      </c>
      <c r="M648" t="s">
        <v>27</v>
      </c>
      <c r="N648">
        <v>75.514178041917205</v>
      </c>
      <c r="O648">
        <v>103.92336981858899</v>
      </c>
      <c r="P648">
        <v>54.2072842094137</v>
      </c>
      <c r="Q648">
        <v>100.222658281031</v>
      </c>
      <c r="R648">
        <v>109.604670765427</v>
      </c>
      <c r="S648">
        <v>101.94278040930899</v>
      </c>
      <c r="T648">
        <v>64.161366018137699</v>
      </c>
      <c r="U648">
        <v>55.672675393023901</v>
      </c>
      <c r="V648">
        <v>49.288792800243399</v>
      </c>
      <c r="W648">
        <v>47.706302626249602</v>
      </c>
    </row>
    <row r="649" spans="1:23" x14ac:dyDescent="0.2">
      <c r="A649" t="s">
        <v>1313</v>
      </c>
      <c r="B649" s="3" t="str">
        <f>HYPERLINK("http://www.ncbi.nlm.nih.gov/gene/21826","Thbs2")</f>
        <v>Thbs2</v>
      </c>
      <c r="C649">
        <v>21826</v>
      </c>
      <c r="D649" t="s">
        <v>1314</v>
      </c>
      <c r="E649" s="3" t="str">
        <f>HYPERLINK("http://genome.ucsc.edu/cgi-bin/hgTracks?db=mm10&amp;lastVirtModeType=default&amp;lastVirtModeExtraState=&amp;virtModeType=default&amp;virtMode=0&amp;nonVirtPosition=&amp;position=chr17:14665499-14694262","chr17:14665499-14694262")</f>
        <v>chr17:14665499-14694262</v>
      </c>
      <c r="F649" t="s">
        <v>25</v>
      </c>
      <c r="G649">
        <v>-1.43426429746967</v>
      </c>
      <c r="H649">
        <v>0.30037282919685399</v>
      </c>
      <c r="I649">
        <v>-4.77494685955668</v>
      </c>
      <c r="J649" s="1">
        <v>1.7975471426703599E-6</v>
      </c>
      <c r="K649" s="1">
        <v>3.7258408836449498E-5</v>
      </c>
      <c r="L649" t="s">
        <v>26</v>
      </c>
      <c r="M649" t="s">
        <v>27</v>
      </c>
      <c r="N649">
        <v>74.735798915558604</v>
      </c>
      <c r="O649">
        <v>127.25826884377599</v>
      </c>
      <c r="P649">
        <v>35.343946469395398</v>
      </c>
      <c r="Q649">
        <v>155.34512033559699</v>
      </c>
      <c r="R649">
        <v>87.228630712969306</v>
      </c>
      <c r="S649">
        <v>139.201055482762</v>
      </c>
      <c r="T649">
        <v>22.914773577906299</v>
      </c>
      <c r="U649">
        <v>17.130053967084301</v>
      </c>
      <c r="V649">
        <v>59.587943534622603</v>
      </c>
      <c r="W649">
        <v>41.743014797968399</v>
      </c>
    </row>
    <row r="650" spans="1:23" x14ac:dyDescent="0.2">
      <c r="A650" t="s">
        <v>1315</v>
      </c>
      <c r="B650" s="3" t="str">
        <f>HYPERLINK("http://www.ncbi.nlm.nih.gov/gene/26357","Abcg2")</f>
        <v>Abcg2</v>
      </c>
      <c r="C650">
        <v>26357</v>
      </c>
      <c r="D650" t="s">
        <v>1316</v>
      </c>
      <c r="E650" s="3" t="str">
        <f>HYPERLINK("http://genome.ucsc.edu/cgi-bin/hgTracks?db=mm10&amp;lastVirtModeType=default&amp;lastVirtModeExtraState=&amp;virtModeType=default&amp;virtMode=0&amp;nonVirtPosition=&amp;position=chr6:58596671-58692451","chr6:58596671-58692451")</f>
        <v>chr6:58596671-58692451</v>
      </c>
      <c r="F650" t="s">
        <v>30</v>
      </c>
      <c r="G650">
        <v>-0.65921707306130195</v>
      </c>
      <c r="H650">
        <v>0.13807592984582401</v>
      </c>
      <c r="I650">
        <v>-4.77430840985381</v>
      </c>
      <c r="J650" s="1">
        <v>1.80325859117441E-6</v>
      </c>
      <c r="K650" s="1">
        <v>3.7258408836449498E-5</v>
      </c>
      <c r="L650" t="s">
        <v>26</v>
      </c>
      <c r="M650" t="s">
        <v>27</v>
      </c>
      <c r="N650">
        <v>336.17487541147</v>
      </c>
      <c r="O650">
        <v>424.26463049620997</v>
      </c>
      <c r="P650">
        <v>270.10755909791402</v>
      </c>
      <c r="Q650">
        <v>449.88837717262601</v>
      </c>
      <c r="R650">
        <v>377.35864156262801</v>
      </c>
      <c r="S650">
        <v>445.54687275337602</v>
      </c>
      <c r="T650">
        <v>311.64092065952599</v>
      </c>
      <c r="U650">
        <v>278.36337696511998</v>
      </c>
      <c r="V650">
        <v>262.62834372666998</v>
      </c>
      <c r="W650">
        <v>227.797595040342</v>
      </c>
    </row>
    <row r="651" spans="1:23" x14ac:dyDescent="0.2">
      <c r="A651" t="s">
        <v>1317</v>
      </c>
      <c r="B651" s="3" t="str">
        <f>HYPERLINK("http://www.ncbi.nlm.nih.gov/gene/224650","Anks1")</f>
        <v>Anks1</v>
      </c>
      <c r="C651">
        <v>224650</v>
      </c>
      <c r="D651" t="s">
        <v>1318</v>
      </c>
      <c r="E651" s="3" t="str">
        <f>HYPERLINK("http://genome.ucsc.edu/cgi-bin/hgTracks?db=mm10&amp;lastVirtModeType=default&amp;lastVirtModeExtraState=&amp;virtModeType=default&amp;virtMode=0&amp;nonVirtPosition=&amp;position=chr17:27909305-28062779","chr17:27909305-28062779")</f>
        <v>chr17:27909305-28062779</v>
      </c>
      <c r="F651" t="s">
        <v>30</v>
      </c>
      <c r="G651">
        <v>0.76671753879406301</v>
      </c>
      <c r="H651">
        <v>0.16059643017631201</v>
      </c>
      <c r="I651">
        <v>4.7741879315269804</v>
      </c>
      <c r="J651" s="1">
        <v>1.80433832118353E-6</v>
      </c>
      <c r="K651" s="1">
        <v>3.7258408836449498E-5</v>
      </c>
      <c r="L651" t="s">
        <v>26</v>
      </c>
      <c r="M651" t="s">
        <v>27</v>
      </c>
      <c r="N651">
        <v>222.12772685525101</v>
      </c>
      <c r="O651">
        <v>157.94062419305499</v>
      </c>
      <c r="P651">
        <v>270.268053851898</v>
      </c>
      <c r="Q651">
        <v>147.550024691517</v>
      </c>
      <c r="R651">
        <v>138.428044392321</v>
      </c>
      <c r="S651">
        <v>187.843803495326</v>
      </c>
      <c r="T651">
        <v>224.564781063482</v>
      </c>
      <c r="U651">
        <v>271.939606727463</v>
      </c>
      <c r="V651">
        <v>268.51357271774401</v>
      </c>
      <c r="W651">
        <v>316.05425489890399</v>
      </c>
    </row>
    <row r="652" spans="1:23" x14ac:dyDescent="0.2">
      <c r="A652" t="s">
        <v>1319</v>
      </c>
      <c r="B652" s="3" t="str">
        <f>HYPERLINK("http://www.ncbi.nlm.nih.gov/gene/12815","Col11a2")</f>
        <v>Col11a2</v>
      </c>
      <c r="C652">
        <v>12815</v>
      </c>
      <c r="D652" t="s">
        <v>1320</v>
      </c>
      <c r="E652" s="3" t="str">
        <f>HYPERLINK("http://genome.ucsc.edu/cgi-bin/hgTracks?db=mm10&amp;lastVirtModeType=default&amp;lastVirtModeExtraState=&amp;virtModeType=default&amp;virtMode=0&amp;nonVirtPosition=&amp;position=chr17:34039137-34066684","chr17:34039137-34066684")</f>
        <v>chr17:34039137-34066684</v>
      </c>
      <c r="F652" t="s">
        <v>30</v>
      </c>
      <c r="G652">
        <v>1.7638269769567001</v>
      </c>
      <c r="H652">
        <v>0.36946280310539198</v>
      </c>
      <c r="I652">
        <v>4.7740312749523399</v>
      </c>
      <c r="J652" s="1">
        <v>1.80574321072778E-6</v>
      </c>
      <c r="K652" s="1">
        <v>3.7258408836449498E-5</v>
      </c>
      <c r="L652" t="s">
        <v>26</v>
      </c>
      <c r="M652" t="s">
        <v>27</v>
      </c>
      <c r="N652">
        <v>992.96387365542296</v>
      </c>
      <c r="O652">
        <v>254.70869267342101</v>
      </c>
      <c r="P652">
        <v>1546.65525939193</v>
      </c>
      <c r="Q652">
        <v>484.96630757098598</v>
      </c>
      <c r="R652">
        <v>117.189769088293</v>
      </c>
      <c r="S652">
        <v>161.97000136098299</v>
      </c>
      <c r="T652">
        <v>1622.3659693157699</v>
      </c>
      <c r="U652">
        <v>1248.3526828512699</v>
      </c>
      <c r="V652">
        <v>1516.1821188254</v>
      </c>
      <c r="W652">
        <v>1799.72026657527</v>
      </c>
    </row>
    <row r="653" spans="1:23" x14ac:dyDescent="0.2">
      <c r="A653" t="s">
        <v>1321</v>
      </c>
      <c r="B653" s="3" t="str">
        <f>HYPERLINK("http://www.ncbi.nlm.nih.gov/gene/12289","Cacna1d")</f>
        <v>Cacna1d</v>
      </c>
      <c r="C653">
        <v>12289</v>
      </c>
      <c r="D653" t="s">
        <v>1322</v>
      </c>
      <c r="E653" s="3" t="str">
        <f>HYPERLINK("http://genome.ucsc.edu/cgi-bin/hgTracks?db=mm10&amp;lastVirtModeType=default&amp;lastVirtModeExtraState=&amp;virtModeType=default&amp;virtMode=0&amp;nonVirtPosition=&amp;position=chr14:30039940-30353486","chr14:30039940-30353486")</f>
        <v>chr14:30039940-30353486</v>
      </c>
      <c r="F653" t="s">
        <v>25</v>
      </c>
      <c r="G653">
        <v>0.59020386538858205</v>
      </c>
      <c r="H653">
        <v>0.123822805519527</v>
      </c>
      <c r="I653">
        <v>4.7665198903565997</v>
      </c>
      <c r="J653" s="1">
        <v>1.87435233944626E-6</v>
      </c>
      <c r="K653" s="1">
        <v>3.8606579466603102E-5</v>
      </c>
      <c r="L653" t="s">
        <v>26</v>
      </c>
      <c r="M653" t="s">
        <v>27</v>
      </c>
      <c r="N653">
        <v>378.86795587717398</v>
      </c>
      <c r="O653">
        <v>290.77653492693901</v>
      </c>
      <c r="P653">
        <v>444.93652158984997</v>
      </c>
      <c r="Q653">
        <v>289.53212392297701</v>
      </c>
      <c r="R653">
        <v>260.92738230662098</v>
      </c>
      <c r="S653">
        <v>321.87009855121897</v>
      </c>
      <c r="T653">
        <v>485.79319985161402</v>
      </c>
      <c r="U653">
        <v>411.12129521002299</v>
      </c>
      <c r="V653">
        <v>429.62171634839001</v>
      </c>
      <c r="W653">
        <v>453.209874949371</v>
      </c>
    </row>
    <row r="654" spans="1:23" x14ac:dyDescent="0.2">
      <c r="A654" t="s">
        <v>1323</v>
      </c>
      <c r="B654" s="3" t="str">
        <f>HYPERLINK("http://www.ncbi.nlm.nih.gov/gene/671535","Parp10")</f>
        <v>Parp10</v>
      </c>
      <c r="C654">
        <v>671535</v>
      </c>
      <c r="D654" t="s">
        <v>1324</v>
      </c>
      <c r="E654" s="3" t="str">
        <f>HYPERLINK("http://genome.ucsc.edu/cgi-bin/hgTracks?db=mm10&amp;lastVirtModeType=default&amp;lastVirtModeExtraState=&amp;virtModeType=default&amp;virtMode=0&amp;nonVirtPosition=&amp;position=chr15:76232994-76243440","chr15:76232994-76243440")</f>
        <v>chr15:76232994-76243440</v>
      </c>
      <c r="F654" t="s">
        <v>25</v>
      </c>
      <c r="G654">
        <v>1.50807511822061</v>
      </c>
      <c r="H654">
        <v>0.31640981701248899</v>
      </c>
      <c r="I654">
        <v>4.7662083700806397</v>
      </c>
      <c r="J654" s="1">
        <v>1.8772511918351801E-6</v>
      </c>
      <c r="K654" s="1">
        <v>3.8606579466603102E-5</v>
      </c>
      <c r="L654" t="s">
        <v>26</v>
      </c>
      <c r="M654" t="s">
        <v>27</v>
      </c>
      <c r="N654">
        <v>86.489550966803193</v>
      </c>
      <c r="O654">
        <v>33.5776413791409</v>
      </c>
      <c r="P654">
        <v>126.17348315755</v>
      </c>
      <c r="Q654">
        <v>45.100196226463702</v>
      </c>
      <c r="R654">
        <v>21.996785136313999</v>
      </c>
      <c r="S654">
        <v>33.635942774645102</v>
      </c>
      <c r="T654">
        <v>201.650007485576</v>
      </c>
      <c r="U654">
        <v>57.8139321389095</v>
      </c>
      <c r="V654">
        <v>79.450591379496899</v>
      </c>
      <c r="W654">
        <v>165.77940162621701</v>
      </c>
    </row>
    <row r="655" spans="1:23" x14ac:dyDescent="0.2">
      <c r="A655" t="s">
        <v>1325</v>
      </c>
      <c r="B655" s="3" t="str">
        <f>HYPERLINK("http://www.ncbi.nlm.nih.gov/gene/76959","Chmp5")</f>
        <v>Chmp5</v>
      </c>
      <c r="C655">
        <v>76959</v>
      </c>
      <c r="D655" t="s">
        <v>1326</v>
      </c>
      <c r="E655" s="3" t="str">
        <f>HYPERLINK("http://genome.ucsc.edu/cgi-bin/hgTracks?db=mm10&amp;lastVirtModeType=default&amp;lastVirtModeExtraState=&amp;virtModeType=default&amp;virtMode=0&amp;nonVirtPosition=&amp;position=chr4:40948552-40965302","chr4:40948552-40965302")</f>
        <v>chr4:40948552-40965302</v>
      </c>
      <c r="F655" t="s">
        <v>30</v>
      </c>
      <c r="G655">
        <v>-0.70785459938352402</v>
      </c>
      <c r="H655">
        <v>0.14852353989481301</v>
      </c>
      <c r="I655">
        <v>-4.7659421522328396</v>
      </c>
      <c r="J655" s="1">
        <v>1.87973189546899E-6</v>
      </c>
      <c r="K655" s="1">
        <v>3.8606579466603102E-5</v>
      </c>
      <c r="L655" t="s">
        <v>26</v>
      </c>
      <c r="M655" t="s">
        <v>27</v>
      </c>
      <c r="N655">
        <v>281.11107466316201</v>
      </c>
      <c r="O655">
        <v>366.19376260835497</v>
      </c>
      <c r="P655">
        <v>217.299058704267</v>
      </c>
      <c r="Q655">
        <v>420.378372234322</v>
      </c>
      <c r="R655">
        <v>347.01824827116002</v>
      </c>
      <c r="S655">
        <v>331.18466731958301</v>
      </c>
      <c r="T655">
        <v>215.39887163231899</v>
      </c>
      <c r="U655">
        <v>184.14808014615599</v>
      </c>
      <c r="V655">
        <v>244.23700312956399</v>
      </c>
      <c r="W655">
        <v>225.412279909029</v>
      </c>
    </row>
    <row r="656" spans="1:23" x14ac:dyDescent="0.2">
      <c r="A656" t="s">
        <v>1327</v>
      </c>
      <c r="B656" s="3" t="str">
        <f>HYPERLINK("http://www.ncbi.nlm.nih.gov/gene/219135","Mtmr6")</f>
        <v>Mtmr6</v>
      </c>
      <c r="C656">
        <v>219135</v>
      </c>
      <c r="D656" t="s">
        <v>1328</v>
      </c>
      <c r="E656" s="3" t="str">
        <f>HYPERLINK("http://genome.ucsc.edu/cgi-bin/hgTracks?db=mm10&amp;lastVirtModeType=default&amp;lastVirtModeExtraState=&amp;virtModeType=default&amp;virtMode=0&amp;nonVirtPosition=&amp;position=chr14:60265204-60302371","chr14:60265204-60302371")</f>
        <v>chr14:60265204-60302371</v>
      </c>
      <c r="F656" t="s">
        <v>30</v>
      </c>
      <c r="G656">
        <v>-0.70685904776569897</v>
      </c>
      <c r="H656">
        <v>0.14833939095885801</v>
      </c>
      <c r="I656">
        <v>-4.7651472963222998</v>
      </c>
      <c r="J656" s="1">
        <v>1.88715737370823E-6</v>
      </c>
      <c r="K656" s="1">
        <v>3.8699731074007501E-5</v>
      </c>
      <c r="L656" t="s">
        <v>26</v>
      </c>
      <c r="M656" t="s">
        <v>27</v>
      </c>
      <c r="N656">
        <v>516.95716431304197</v>
      </c>
      <c r="O656">
        <v>670.75375079738899</v>
      </c>
      <c r="P656">
        <v>401.60972444978199</v>
      </c>
      <c r="Q656">
        <v>790.08862278212405</v>
      </c>
      <c r="R656">
        <v>636.38974928853202</v>
      </c>
      <c r="S656">
        <v>585.78288032151204</v>
      </c>
      <c r="T656">
        <v>412.46592440231399</v>
      </c>
      <c r="U656">
        <v>334.03605235814302</v>
      </c>
      <c r="V656">
        <v>447.27740332161198</v>
      </c>
      <c r="W656">
        <v>412.65951771705897</v>
      </c>
    </row>
    <row r="657" spans="1:23" x14ac:dyDescent="0.2">
      <c r="A657" t="s">
        <v>1329</v>
      </c>
      <c r="B657" s="3" t="str">
        <f>HYPERLINK("http://www.ncbi.nlm.nih.gov/gene/18541","Pcnt")</f>
        <v>Pcnt</v>
      </c>
      <c r="C657">
        <v>18541</v>
      </c>
      <c r="D657" t="s">
        <v>1330</v>
      </c>
      <c r="E657" s="3" t="str">
        <f>HYPERLINK("http://genome.ucsc.edu/cgi-bin/hgTracks?db=mm10&amp;lastVirtModeType=default&amp;lastVirtModeExtraState=&amp;virtModeType=default&amp;virtMode=0&amp;nonVirtPosition=&amp;position=chr10:76351253-76442912","chr10:76351253-76442912")</f>
        <v>chr10:76351253-76442912</v>
      </c>
      <c r="F657" t="s">
        <v>25</v>
      </c>
      <c r="G657">
        <v>0.78742727799852097</v>
      </c>
      <c r="H657">
        <v>0.165264525850112</v>
      </c>
      <c r="I657">
        <v>4.76464791187363</v>
      </c>
      <c r="J657" s="1">
        <v>1.8918369885156101E-6</v>
      </c>
      <c r="K657" s="1">
        <v>3.8736374790844799E-5</v>
      </c>
      <c r="L657" t="s">
        <v>26</v>
      </c>
      <c r="M657" t="s">
        <v>27</v>
      </c>
      <c r="N657">
        <v>436.86040657247298</v>
      </c>
      <c r="O657">
        <v>301.81238325991899</v>
      </c>
      <c r="P657">
        <v>538.14642405688903</v>
      </c>
      <c r="Q657">
        <v>252.783815886599</v>
      </c>
      <c r="R657">
        <v>266.61620604877101</v>
      </c>
      <c r="S657">
        <v>386.03712784438801</v>
      </c>
      <c r="T657">
        <v>618.69888660347101</v>
      </c>
      <c r="U657">
        <v>490.34779480778798</v>
      </c>
      <c r="V657">
        <v>497.30184974574001</v>
      </c>
      <c r="W657">
        <v>546.23716507055804</v>
      </c>
    </row>
    <row r="658" spans="1:23" x14ac:dyDescent="0.2">
      <c r="A658" t="s">
        <v>1331</v>
      </c>
      <c r="B658" s="3" t="str">
        <f>HYPERLINK("http://www.ncbi.nlm.nih.gov/gene/100217415","Scarna6")</f>
        <v>Scarna6</v>
      </c>
      <c r="C658">
        <v>100217415</v>
      </c>
      <c r="D658" t="s">
        <v>1332</v>
      </c>
      <c r="E658" s="3" t="str">
        <f>HYPERLINK("http://genome.ucsc.edu/cgi-bin/hgTracks?db=mm10&amp;lastVirtModeType=default&amp;lastVirtModeExtraState=&amp;virtModeType=default&amp;virtMode=0&amp;nonVirtPosition=&amp;position=chr1:87784570-87784818","chr1:87784570-87784818")</f>
        <v>chr1:87784570-87784818</v>
      </c>
      <c r="F658" t="s">
        <v>30</v>
      </c>
      <c r="G658">
        <v>1.3757247169918501</v>
      </c>
      <c r="H658">
        <v>0.28908966936763097</v>
      </c>
      <c r="I658">
        <v>4.7588165983280302</v>
      </c>
      <c r="J658" s="1">
        <v>1.9473126926852698E-6</v>
      </c>
      <c r="K658" s="1">
        <v>3.9811395828623502E-5</v>
      </c>
      <c r="L658" t="s">
        <v>26</v>
      </c>
      <c r="M658" t="s">
        <v>27</v>
      </c>
      <c r="N658">
        <v>62.002787472706302</v>
      </c>
      <c r="O658">
        <v>27.069516611293501</v>
      </c>
      <c r="P658">
        <v>88.202740618765901</v>
      </c>
      <c r="Q658">
        <v>29.5100049383034</v>
      </c>
      <c r="R658">
        <v>24.272314633174101</v>
      </c>
      <c r="S658">
        <v>27.4262302624029</v>
      </c>
      <c r="T658">
        <v>132.90568675185699</v>
      </c>
      <c r="U658">
        <v>81.367756343650299</v>
      </c>
      <c r="V658">
        <v>41.932256561401097</v>
      </c>
      <c r="W658">
        <v>96.605262818155396</v>
      </c>
    </row>
    <row r="659" spans="1:23" x14ac:dyDescent="0.2">
      <c r="A659" t="s">
        <v>1333</v>
      </c>
      <c r="B659" s="3" t="str">
        <f>HYPERLINK("http://www.ncbi.nlm.nih.gov/gene/235472","Prtg")</f>
        <v>Prtg</v>
      </c>
      <c r="C659">
        <v>235472</v>
      </c>
      <c r="D659" t="s">
        <v>1334</v>
      </c>
      <c r="E659" s="3" t="str">
        <f>HYPERLINK("http://genome.ucsc.edu/cgi-bin/hgTracks?db=mm10&amp;lastVirtModeType=default&amp;lastVirtModeExtraState=&amp;virtModeType=default&amp;virtMode=0&amp;nonVirtPosition=&amp;position=chr9:72807273-72917307","chr9:72807273-72917307")</f>
        <v>chr9:72807273-72917307</v>
      </c>
      <c r="F659" t="s">
        <v>30</v>
      </c>
      <c r="G659">
        <v>0.972632352561831</v>
      </c>
      <c r="H659">
        <v>0.20445917262080901</v>
      </c>
      <c r="I659">
        <v>4.7570981536038897</v>
      </c>
      <c r="J659" s="1">
        <v>1.9639569012774702E-6</v>
      </c>
      <c r="K659" s="1">
        <v>4.0090467782022303E-5</v>
      </c>
      <c r="L659" t="s">
        <v>26</v>
      </c>
      <c r="M659" t="s">
        <v>27</v>
      </c>
      <c r="N659">
        <v>88.921739316808498</v>
      </c>
      <c r="O659">
        <v>55.619506847871399</v>
      </c>
      <c r="P659">
        <v>113.898413668511</v>
      </c>
      <c r="Q659">
        <v>59.0200098766068</v>
      </c>
      <c r="R659">
        <v>63.335570995938603</v>
      </c>
      <c r="S659">
        <v>44.502939671068901</v>
      </c>
      <c r="T659">
        <v>100.825003742788</v>
      </c>
      <c r="U659">
        <v>130.61666149901799</v>
      </c>
      <c r="V659">
        <v>128.73938417974</v>
      </c>
      <c r="W659">
        <v>95.412605252499205</v>
      </c>
    </row>
    <row r="660" spans="1:23" x14ac:dyDescent="0.2">
      <c r="A660" t="s">
        <v>1335</v>
      </c>
      <c r="B660" s="3" t="str">
        <f>HYPERLINK("http://www.ncbi.nlm.nih.gov/gene/381352","Mamdc4")</f>
        <v>Mamdc4</v>
      </c>
      <c r="C660">
        <v>381352</v>
      </c>
      <c r="D660" t="s">
        <v>1336</v>
      </c>
      <c r="E660" s="3" t="str">
        <f>HYPERLINK("http://genome.ucsc.edu/cgi-bin/hgTracks?db=mm10&amp;lastVirtModeType=default&amp;lastVirtModeExtraState=&amp;virtModeType=default&amp;virtMode=0&amp;nonVirtPosition=&amp;position=chr2:25563114-25571316","chr2:25563114-25571316")</f>
        <v>chr2:25563114-25571316</v>
      </c>
      <c r="F660" t="s">
        <v>25</v>
      </c>
      <c r="G660">
        <v>1.3076191032372799</v>
      </c>
      <c r="H660">
        <v>0.27498677108745301</v>
      </c>
      <c r="I660">
        <v>4.7552073071232197</v>
      </c>
      <c r="J660" s="1">
        <v>1.9824288377166299E-6</v>
      </c>
      <c r="K660" s="1">
        <v>4.0405943022623203E-5</v>
      </c>
      <c r="L660" t="s">
        <v>26</v>
      </c>
      <c r="M660" t="s">
        <v>27</v>
      </c>
      <c r="N660">
        <v>45.163983928932701</v>
      </c>
      <c r="O660">
        <v>21.608301401738402</v>
      </c>
      <c r="P660">
        <v>62.830745824328403</v>
      </c>
      <c r="Q660">
        <v>21.158116748217498</v>
      </c>
      <c r="R660">
        <v>13.653176981160399</v>
      </c>
      <c r="S660">
        <v>30.013610475837201</v>
      </c>
      <c r="T660">
        <v>73.327275449300203</v>
      </c>
      <c r="U660">
        <v>62.096445630680499</v>
      </c>
      <c r="V660">
        <v>51.495753671896097</v>
      </c>
      <c r="W660">
        <v>64.403508545436907</v>
      </c>
    </row>
    <row r="661" spans="1:23" x14ac:dyDescent="0.2">
      <c r="A661" t="s">
        <v>1337</v>
      </c>
      <c r="B661" s="3" t="str">
        <f>HYPERLINK("http://www.ncbi.nlm.nih.gov/gene/72386","2610035D17Rik")</f>
        <v>2610035D17Rik</v>
      </c>
      <c r="C661">
        <v>72386</v>
      </c>
      <c r="D661" t="s">
        <v>1338</v>
      </c>
      <c r="E661" s="3" t="str">
        <f>HYPERLINK("http://genome.ucsc.edu/cgi-bin/hgTracks?db=mm10&amp;lastVirtModeType=default&amp;lastVirtModeExtraState=&amp;virtModeType=default&amp;virtMode=0&amp;nonVirtPosition=&amp;position=chr11:113043905-113201838","chr11:113043905-113201838")</f>
        <v>chr11:113043905-113201838</v>
      </c>
      <c r="F661" t="s">
        <v>25</v>
      </c>
      <c r="G661">
        <v>1.0831764068998799</v>
      </c>
      <c r="H661">
        <v>0.22790214645877699</v>
      </c>
      <c r="I661">
        <v>4.7528135374354701</v>
      </c>
      <c r="J661" s="1">
        <v>2.00605338270798E-6</v>
      </c>
      <c r="K661" s="1">
        <v>4.0825320437450699E-5</v>
      </c>
      <c r="L661" t="s">
        <v>26</v>
      </c>
      <c r="M661" t="s">
        <v>27</v>
      </c>
      <c r="N661">
        <v>108.447339660753</v>
      </c>
      <c r="O661">
        <v>63.684122435367399</v>
      </c>
      <c r="P661">
        <v>142.019752579792</v>
      </c>
      <c r="Q661">
        <v>83.518881900858702</v>
      </c>
      <c r="R661">
        <v>54.233453008498302</v>
      </c>
      <c r="S661">
        <v>53.300032396745301</v>
      </c>
      <c r="T661">
        <v>91.659094311625296</v>
      </c>
      <c r="U661">
        <v>192.71310712969799</v>
      </c>
      <c r="V661">
        <v>134.624613170814</v>
      </c>
      <c r="W661">
        <v>149.08219570703</v>
      </c>
    </row>
    <row r="662" spans="1:23" x14ac:dyDescent="0.2">
      <c r="A662" t="s">
        <v>1339</v>
      </c>
      <c r="B662" s="3" t="str">
        <f>HYPERLINK("http://www.ncbi.nlm.nih.gov/gene/20239","Atxn2")</f>
        <v>Atxn2</v>
      </c>
      <c r="C662">
        <v>20239</v>
      </c>
      <c r="D662" t="s">
        <v>1340</v>
      </c>
      <c r="E662" s="3" t="str">
        <f>HYPERLINK("http://genome.ucsc.edu/cgi-bin/hgTracks?db=mm10&amp;lastVirtModeType=default&amp;lastVirtModeExtraState=&amp;virtModeType=default&amp;virtMode=0&amp;nonVirtPosition=&amp;position=chr5:121711608-121814950","chr5:121711608-121814950")</f>
        <v>chr5:121711608-121814950</v>
      </c>
      <c r="F662" t="s">
        <v>30</v>
      </c>
      <c r="G662">
        <v>0.62637592790915197</v>
      </c>
      <c r="H662">
        <v>0.13200514494992299</v>
      </c>
      <c r="I662">
        <v>4.7450872323709303</v>
      </c>
      <c r="J662" s="1">
        <v>2.0841649912335101E-6</v>
      </c>
      <c r="K662" s="1">
        <v>4.2350612135975602E-5</v>
      </c>
      <c r="L662" t="s">
        <v>26</v>
      </c>
      <c r="M662" t="s">
        <v>27</v>
      </c>
      <c r="N662">
        <v>484.17340315220503</v>
      </c>
      <c r="O662">
        <v>367.427127113778</v>
      </c>
      <c r="P662">
        <v>571.73311018102402</v>
      </c>
      <c r="Q662">
        <v>348.552133799584</v>
      </c>
      <c r="R662">
        <v>331.46879670928303</v>
      </c>
      <c r="S662">
        <v>422.260450832468</v>
      </c>
      <c r="T662">
        <v>568.28638473207695</v>
      </c>
      <c r="U662">
        <v>507.47784877487197</v>
      </c>
      <c r="V662">
        <v>582.63767011631001</v>
      </c>
      <c r="W662">
        <v>628.53053710083805</v>
      </c>
    </row>
    <row r="663" spans="1:23" x14ac:dyDescent="0.2">
      <c r="A663" t="s">
        <v>1341</v>
      </c>
      <c r="B663" s="3" t="str">
        <f>HYPERLINK("http://www.ncbi.nlm.nih.gov/gene/56386","B4galt6")</f>
        <v>B4galt6</v>
      </c>
      <c r="C663">
        <v>56386</v>
      </c>
      <c r="D663" t="s">
        <v>1342</v>
      </c>
      <c r="E663" s="3" t="str">
        <f>HYPERLINK("http://genome.ucsc.edu/cgi-bin/hgTracks?db=mm10&amp;lastVirtModeType=default&amp;lastVirtModeExtraState=&amp;virtModeType=default&amp;virtMode=0&amp;nonVirtPosition=&amp;position=chr18:20684598-20746404","chr18:20684598-20746404")</f>
        <v>chr18:20684598-20746404</v>
      </c>
      <c r="F663" t="s">
        <v>25</v>
      </c>
      <c r="G663">
        <v>-0.550605895543964</v>
      </c>
      <c r="H663">
        <v>0.11611868329529799</v>
      </c>
      <c r="I663">
        <v>-4.7417511111776598</v>
      </c>
      <c r="J663" s="1">
        <v>2.1187882359405502E-6</v>
      </c>
      <c r="K663" s="1">
        <v>4.29889291931514E-5</v>
      </c>
      <c r="L663" t="s">
        <v>26</v>
      </c>
      <c r="M663" t="s">
        <v>27</v>
      </c>
      <c r="N663">
        <v>381.17380991617898</v>
      </c>
      <c r="O663">
        <v>467.78325199241903</v>
      </c>
      <c r="P663">
        <v>316.21672835899898</v>
      </c>
      <c r="Q663">
        <v>505.567631773198</v>
      </c>
      <c r="R663">
        <v>467.242056688601</v>
      </c>
      <c r="S663">
        <v>430.540067515457</v>
      </c>
      <c r="T663">
        <v>311.64092065952599</v>
      </c>
      <c r="U663">
        <v>316.90599839105897</v>
      </c>
      <c r="V663">
        <v>311.91713652691402</v>
      </c>
      <c r="W663">
        <v>324.40285785849699</v>
      </c>
    </row>
    <row r="664" spans="1:23" x14ac:dyDescent="0.2">
      <c r="A664" t="s">
        <v>1343</v>
      </c>
      <c r="B664" s="3" t="str">
        <f>HYPERLINK("http://www.ncbi.nlm.nih.gov/gene/319278","A230050P20Rik")</f>
        <v>A230050P20Rik</v>
      </c>
      <c r="C664">
        <v>319278</v>
      </c>
      <c r="D664" t="s">
        <v>1344</v>
      </c>
      <c r="E664" s="3" t="str">
        <f>HYPERLINK("http://genome.ucsc.edu/cgi-bin/hgTracks?db=mm10&amp;lastVirtModeType=default&amp;lastVirtModeExtraState=&amp;virtModeType=default&amp;virtMode=0&amp;nonVirtPosition=&amp;position=chr9:20868641-20874307","chr9:20868641-20874307")</f>
        <v>chr9:20868641-20874307</v>
      </c>
      <c r="F664" t="s">
        <v>30</v>
      </c>
      <c r="G664">
        <v>0.92143044523826401</v>
      </c>
      <c r="H664">
        <v>0.19440631568622499</v>
      </c>
      <c r="I664">
        <v>4.7397145611538001</v>
      </c>
      <c r="J664" s="1">
        <v>2.1401949842935599E-6</v>
      </c>
      <c r="K664" s="1">
        <v>4.3357565861838301E-5</v>
      </c>
      <c r="L664" t="s">
        <v>26</v>
      </c>
      <c r="M664" t="s">
        <v>27</v>
      </c>
      <c r="N664">
        <v>118.25184265655599</v>
      </c>
      <c r="O664">
        <v>73.529692109861401</v>
      </c>
      <c r="P664">
        <v>151.79345556657799</v>
      </c>
      <c r="Q664">
        <v>73.4966160727557</v>
      </c>
      <c r="R664">
        <v>72.058434067235495</v>
      </c>
      <c r="S664">
        <v>75.034026189592893</v>
      </c>
      <c r="T664">
        <v>201.650007485576</v>
      </c>
      <c r="U664">
        <v>141.32294522844501</v>
      </c>
      <c r="V664">
        <v>110.348043582635</v>
      </c>
      <c r="W664">
        <v>153.85282596965499</v>
      </c>
    </row>
    <row r="665" spans="1:23" x14ac:dyDescent="0.2">
      <c r="A665" t="s">
        <v>1345</v>
      </c>
      <c r="B665" s="3" t="str">
        <f>HYPERLINK("http://www.ncbi.nlm.nih.gov/gene/209478","Tbc1d12")</f>
        <v>Tbc1d12</v>
      </c>
      <c r="C665">
        <v>209478</v>
      </c>
      <c r="D665" t="s">
        <v>1346</v>
      </c>
      <c r="E665" s="3" t="str">
        <f>HYPERLINK("http://genome.ucsc.edu/cgi-bin/hgTracks?db=mm10&amp;lastVirtModeType=default&amp;lastVirtModeExtraState=&amp;virtModeType=default&amp;virtMode=0&amp;nonVirtPosition=&amp;position=chr19:38836578-38919923","chr19:38836578-38919923")</f>
        <v>chr19:38836578-38919923</v>
      </c>
      <c r="F665" t="s">
        <v>30</v>
      </c>
      <c r="G665">
        <v>-0.924085692994011</v>
      </c>
      <c r="H665">
        <v>0.195133822835513</v>
      </c>
      <c r="I665">
        <v>-4.7356510499615601</v>
      </c>
      <c r="J665" s="1">
        <v>2.1835300527581899E-6</v>
      </c>
      <c r="K665" s="1">
        <v>4.4168657003753703E-5</v>
      </c>
      <c r="L665" t="s">
        <v>26</v>
      </c>
      <c r="M665" t="s">
        <v>27</v>
      </c>
      <c r="N665">
        <v>259.85077692962898</v>
      </c>
      <c r="O665">
        <v>362.117334864616</v>
      </c>
      <c r="P665">
        <v>183.15085847838799</v>
      </c>
      <c r="Q665">
        <v>478.28479701891803</v>
      </c>
      <c r="R665">
        <v>347.77675810344698</v>
      </c>
      <c r="S665">
        <v>260.29044947148401</v>
      </c>
      <c r="T665">
        <v>192.48409805441301</v>
      </c>
      <c r="U665">
        <v>169.15928292495701</v>
      </c>
      <c r="V665">
        <v>176.55686973221501</v>
      </c>
      <c r="W665">
        <v>194.40318320196701</v>
      </c>
    </row>
    <row r="666" spans="1:23" x14ac:dyDescent="0.2">
      <c r="A666" t="s">
        <v>1347</v>
      </c>
      <c r="B666" s="3" t="str">
        <f>HYPERLINK("http://www.ncbi.nlm.nih.gov/gene/71770","Ap2b1")</f>
        <v>Ap2b1</v>
      </c>
      <c r="C666">
        <v>71770</v>
      </c>
      <c r="D666" t="s">
        <v>1348</v>
      </c>
      <c r="E666" s="3" t="str">
        <f>HYPERLINK("http://genome.ucsc.edu/cgi-bin/hgTracks?db=mm10&amp;lastVirtModeType=default&amp;lastVirtModeExtraState=&amp;virtModeType=default&amp;virtMode=0&amp;nonVirtPosition=&amp;position=chr11:83302696-83405033","chr11:83302696-83405033")</f>
        <v>chr11:83302696-83405033</v>
      </c>
      <c r="F666" t="s">
        <v>30</v>
      </c>
      <c r="G666">
        <v>-0.48117929759855599</v>
      </c>
      <c r="H666">
        <v>0.101615111398938</v>
      </c>
      <c r="I666">
        <v>-4.7353124055482496</v>
      </c>
      <c r="J666" s="1">
        <v>2.1871793005442799E-6</v>
      </c>
      <c r="K666" s="1">
        <v>4.4175743610239001E-5</v>
      </c>
      <c r="L666" t="s">
        <v>26</v>
      </c>
      <c r="M666" t="s">
        <v>27</v>
      </c>
      <c r="N666">
        <v>1338.1224054982899</v>
      </c>
      <c r="O666">
        <v>1604.93115586979</v>
      </c>
      <c r="P666">
        <v>1138.01584271966</v>
      </c>
      <c r="Q666">
        <v>1702.67160568551</v>
      </c>
      <c r="R666">
        <v>1517.7781744056699</v>
      </c>
      <c r="S666">
        <v>1594.3436875181801</v>
      </c>
      <c r="T666">
        <v>1049.4966298681099</v>
      </c>
      <c r="U666">
        <v>1203.3862911876699</v>
      </c>
      <c r="V666">
        <v>1188.81625619692</v>
      </c>
      <c r="W666">
        <v>1110.3641936259601</v>
      </c>
    </row>
    <row r="667" spans="1:23" x14ac:dyDescent="0.2">
      <c r="A667" t="s">
        <v>1349</v>
      </c>
      <c r="B667" s="3" t="str">
        <f>HYPERLINK("http://www.ncbi.nlm.nih.gov/gene/171171","Ntng2")</f>
        <v>Ntng2</v>
      </c>
      <c r="C667">
        <v>171171</v>
      </c>
      <c r="D667" t="s">
        <v>1350</v>
      </c>
      <c r="E667" s="3" t="str">
        <f>HYPERLINK("http://genome.ucsc.edu/cgi-bin/hgTracks?db=mm10&amp;lastVirtModeType=default&amp;lastVirtModeExtraState=&amp;virtModeType=default&amp;virtMode=0&amp;nonVirtPosition=&amp;position=chr2:29194725-29248099","chr2:29194725-29248099")</f>
        <v>chr2:29194725-29248099</v>
      </c>
      <c r="F667" t="s">
        <v>25</v>
      </c>
      <c r="G667">
        <v>1.3221775336653101</v>
      </c>
      <c r="H667">
        <v>0.27929864348946998</v>
      </c>
      <c r="I667">
        <v>4.73392035545334</v>
      </c>
      <c r="J667" s="1">
        <v>2.20224171223333E-6</v>
      </c>
      <c r="K667" s="1">
        <v>4.4412980073067002E-5</v>
      </c>
      <c r="L667" t="s">
        <v>26</v>
      </c>
      <c r="M667" t="s">
        <v>27</v>
      </c>
      <c r="N667">
        <v>29.244870364309602</v>
      </c>
      <c r="O667">
        <v>13.6808348626873</v>
      </c>
      <c r="P667">
        <v>40.917896990526202</v>
      </c>
      <c r="Q667">
        <v>15.5901912881603</v>
      </c>
      <c r="R667">
        <v>12.5154122327304</v>
      </c>
      <c r="S667">
        <v>12.936901067171201</v>
      </c>
      <c r="T667">
        <v>45.829547155812598</v>
      </c>
      <c r="U667">
        <v>47.107648409481797</v>
      </c>
      <c r="V667">
        <v>39.7252956897484</v>
      </c>
      <c r="W667">
        <v>31.009096707062199</v>
      </c>
    </row>
    <row r="668" spans="1:23" x14ac:dyDescent="0.2">
      <c r="A668" t="s">
        <v>1351</v>
      </c>
      <c r="B668" s="3" t="str">
        <f>HYPERLINK("http://www.ncbi.nlm.nih.gov/gene/53379","Hnrnpa2b1")</f>
        <v>Hnrnpa2b1</v>
      </c>
      <c r="C668">
        <v>53379</v>
      </c>
      <c r="D668" t="s">
        <v>1352</v>
      </c>
      <c r="E668" s="3" t="str">
        <f>HYPERLINK("http://genome.ucsc.edu/cgi-bin/hgTracks?db=mm10&amp;lastVirtModeType=default&amp;lastVirtModeExtraState=&amp;virtModeType=default&amp;virtMode=0&amp;nonVirtPosition=&amp;position=chr6:51460434-51469894","chr6:51460434-51469894")</f>
        <v>chr6:51460434-51469894</v>
      </c>
      <c r="F668" t="s">
        <v>25</v>
      </c>
      <c r="G668">
        <v>0.69243860290280601</v>
      </c>
      <c r="H668">
        <v>0.14631181014962599</v>
      </c>
      <c r="I668">
        <v>4.7326227609014202</v>
      </c>
      <c r="J668" s="1">
        <v>2.2163717531298599E-6</v>
      </c>
      <c r="K668" s="1">
        <v>4.4626164541281102E-5</v>
      </c>
      <c r="L668" t="s">
        <v>26</v>
      </c>
      <c r="M668" t="s">
        <v>27</v>
      </c>
      <c r="N668">
        <v>2538.0861220829302</v>
      </c>
      <c r="O668">
        <v>1851.97362891853</v>
      </c>
      <c r="P668">
        <v>3052.6704919562299</v>
      </c>
      <c r="Q668">
        <v>1555.1215809939899</v>
      </c>
      <c r="R668">
        <v>1865.17567759297</v>
      </c>
      <c r="S668">
        <v>2135.6236281686201</v>
      </c>
      <c r="T668">
        <v>3593.0364970157102</v>
      </c>
      <c r="U668">
        <v>2957.0755660679201</v>
      </c>
      <c r="V668">
        <v>2894.7970099844501</v>
      </c>
      <c r="W668">
        <v>2765.7728947568198</v>
      </c>
    </row>
    <row r="669" spans="1:23" x14ac:dyDescent="0.2">
      <c r="A669" t="s">
        <v>1353</v>
      </c>
      <c r="B669" s="3" t="str">
        <f>HYPERLINK("http://www.ncbi.nlm.nih.gov/gene/75292","Prkd3")</f>
        <v>Prkd3</v>
      </c>
      <c r="C669">
        <v>75292</v>
      </c>
      <c r="D669" t="s">
        <v>1354</v>
      </c>
      <c r="E669" s="3" t="str">
        <f>HYPERLINK("http://genome.ucsc.edu/cgi-bin/hgTracks?db=mm10&amp;lastVirtModeType=default&amp;lastVirtModeExtraState=&amp;virtModeType=default&amp;virtMode=0&amp;nonVirtPosition=&amp;position=chr17:78949404-79020816","chr17:78949404-79020816")</f>
        <v>chr17:78949404-79020816</v>
      </c>
      <c r="F669" t="s">
        <v>25</v>
      </c>
      <c r="G669">
        <v>-0.65483325138002502</v>
      </c>
      <c r="H669">
        <v>0.138374133061202</v>
      </c>
      <c r="I669">
        <v>-4.7323386018281104</v>
      </c>
      <c r="J669" s="1">
        <v>2.2194776778801599E-6</v>
      </c>
      <c r="K669" s="1">
        <v>4.4626164541281102E-5</v>
      </c>
      <c r="L669" t="s">
        <v>26</v>
      </c>
      <c r="M669" t="s">
        <v>27</v>
      </c>
      <c r="N669">
        <v>909.72887268561203</v>
      </c>
      <c r="O669">
        <v>1154.3790477646901</v>
      </c>
      <c r="P669">
        <v>726.24124137630702</v>
      </c>
      <c r="Q669">
        <v>1349.6651315178799</v>
      </c>
      <c r="R669">
        <v>1098.70149206727</v>
      </c>
      <c r="S669">
        <v>1014.77051970891</v>
      </c>
      <c r="T669">
        <v>824.93184880462695</v>
      </c>
      <c r="U669">
        <v>633.81199678211794</v>
      </c>
      <c r="V669">
        <v>743.74581374695697</v>
      </c>
      <c r="W669">
        <v>702.47530617152495</v>
      </c>
    </row>
    <row r="670" spans="1:23" x14ac:dyDescent="0.2">
      <c r="A670" t="s">
        <v>1355</v>
      </c>
      <c r="B670" s="3" t="str">
        <f>HYPERLINK("http://www.ncbi.nlm.nih.gov/gene/224903","Safb")</f>
        <v>Safb</v>
      </c>
      <c r="C670">
        <v>224903</v>
      </c>
      <c r="D670" t="s">
        <v>1356</v>
      </c>
      <c r="E670" s="3" t="str">
        <f>HYPERLINK("http://genome.ucsc.edu/cgi-bin/hgTracks?db=mm10&amp;lastVirtModeType=default&amp;lastVirtModeExtraState=&amp;virtModeType=default&amp;virtMode=0&amp;nonVirtPosition=&amp;position=chr17:56584981-56606294","chr17:56584981-56606294")</f>
        <v>chr17:56584981-56606294</v>
      </c>
      <c r="F670" t="s">
        <v>30</v>
      </c>
      <c r="G670">
        <v>0.78409150098441205</v>
      </c>
      <c r="H670">
        <v>0.16573010260614399</v>
      </c>
      <c r="I670">
        <v>4.7311350723519201</v>
      </c>
      <c r="J670" s="1">
        <v>2.2326789370737799E-6</v>
      </c>
      <c r="K670" s="1">
        <v>4.4824293322871E-5</v>
      </c>
      <c r="L670" t="s">
        <v>26</v>
      </c>
      <c r="M670" t="s">
        <v>27</v>
      </c>
      <c r="N670">
        <v>537.61335039612595</v>
      </c>
      <c r="O670">
        <v>372.480716815356</v>
      </c>
      <c r="P670">
        <v>661.46282558170299</v>
      </c>
      <c r="Q670">
        <v>296.21363447504598</v>
      </c>
      <c r="R670">
        <v>354.98260151017098</v>
      </c>
      <c r="S670">
        <v>466.24591446084997</v>
      </c>
      <c r="T670">
        <v>701.19207148393298</v>
      </c>
      <c r="U670">
        <v>710.89723963399797</v>
      </c>
      <c r="V670">
        <v>553.94717878482504</v>
      </c>
      <c r="W670">
        <v>679.81481242405698</v>
      </c>
    </row>
    <row r="671" spans="1:23" x14ac:dyDescent="0.2">
      <c r="A671" t="s">
        <v>1357</v>
      </c>
      <c r="B671" s="3" t="str">
        <f>HYPERLINK("http://www.ncbi.nlm.nih.gov/gene/15040","H2-T23")</f>
        <v>H2-T23</v>
      </c>
      <c r="C671">
        <v>15040</v>
      </c>
      <c r="D671" t="s">
        <v>1358</v>
      </c>
      <c r="E671" s="3" t="str">
        <f>HYPERLINK("http://genome.ucsc.edu/cgi-bin/hgTracks?db=mm10&amp;lastVirtModeType=default&amp;lastVirtModeExtraState=&amp;virtModeType=default&amp;virtMode=0&amp;nonVirtPosition=&amp;position=chr17:36029976-36032701","chr17:36029976-36032701")</f>
        <v>chr17:36029976-36032701</v>
      </c>
      <c r="F671" t="s">
        <v>25</v>
      </c>
      <c r="G671">
        <v>1.4350349968759499</v>
      </c>
      <c r="H671">
        <v>0.30350776145035901</v>
      </c>
      <c r="I671">
        <v>4.7281657313091703</v>
      </c>
      <c r="J671" s="1">
        <v>2.26557229173036E-6</v>
      </c>
      <c r="K671" s="1">
        <v>4.54165846685048E-5</v>
      </c>
      <c r="L671" t="s">
        <v>26</v>
      </c>
      <c r="M671" t="s">
        <v>27</v>
      </c>
      <c r="N671">
        <v>94.964653875545906</v>
      </c>
      <c r="O671">
        <v>40.444838600597997</v>
      </c>
      <c r="P671">
        <v>135.854515331757</v>
      </c>
      <c r="Q671">
        <v>54.008876962555298</v>
      </c>
      <c r="R671">
        <v>25.410079381604099</v>
      </c>
      <c r="S671">
        <v>41.9155594576347</v>
      </c>
      <c r="T671">
        <v>187.90114333883199</v>
      </c>
      <c r="U671">
        <v>51.390161901252803</v>
      </c>
      <c r="V671">
        <v>157.42987551122499</v>
      </c>
      <c r="W671">
        <v>146.69688057571801</v>
      </c>
    </row>
    <row r="672" spans="1:23" x14ac:dyDescent="0.2">
      <c r="A672" t="s">
        <v>1359</v>
      </c>
      <c r="B672" s="3" t="str">
        <f>HYPERLINK("http://www.ncbi.nlm.nih.gov/gene/211660","Cspp1")</f>
        <v>Cspp1</v>
      </c>
      <c r="C672">
        <v>211660</v>
      </c>
      <c r="D672" t="s">
        <v>1360</v>
      </c>
      <c r="E672" s="3" t="str">
        <f>HYPERLINK("http://genome.ucsc.edu/cgi-bin/hgTracks?db=mm10&amp;lastVirtModeType=default&amp;lastVirtModeExtraState=&amp;virtModeType=default&amp;virtMode=0&amp;nonVirtPosition=&amp;position=chr1:10038217-10136768","chr1:10038217-10136768")</f>
        <v>chr1:10038217-10136768</v>
      </c>
      <c r="F672" t="s">
        <v>30</v>
      </c>
      <c r="G672">
        <v>0.75856880256861103</v>
      </c>
      <c r="H672">
        <v>0.160456242234191</v>
      </c>
      <c r="I672">
        <v>4.7275742720028102</v>
      </c>
      <c r="J672" s="1">
        <v>2.2721796224317899E-6</v>
      </c>
      <c r="K672" s="1">
        <v>4.5480952651695097E-5</v>
      </c>
      <c r="L672" t="s">
        <v>26</v>
      </c>
      <c r="M672" t="s">
        <v>27</v>
      </c>
      <c r="N672">
        <v>260.49075819150198</v>
      </c>
      <c r="O672">
        <v>184.90593355571599</v>
      </c>
      <c r="P672">
        <v>317.17937666834098</v>
      </c>
      <c r="Q672">
        <v>205.45644947611299</v>
      </c>
      <c r="R672">
        <v>173.319496677508</v>
      </c>
      <c r="S672">
        <v>175.941854513528</v>
      </c>
      <c r="T672">
        <v>320.80683009068798</v>
      </c>
      <c r="U672">
        <v>237.67949879329399</v>
      </c>
      <c r="V672">
        <v>336.92935973897698</v>
      </c>
      <c r="W672">
        <v>373.30181805040303</v>
      </c>
    </row>
    <row r="673" spans="1:23" x14ac:dyDescent="0.2">
      <c r="A673" t="s">
        <v>1361</v>
      </c>
      <c r="B673" s="3" t="str">
        <f>HYPERLINK("http://www.ncbi.nlm.nih.gov/gene/72201","Otud6b")</f>
        <v>Otud6b</v>
      </c>
      <c r="C673">
        <v>72201</v>
      </c>
      <c r="D673" t="s">
        <v>1362</v>
      </c>
      <c r="E673" s="3" t="str">
        <f>HYPERLINK("http://genome.ucsc.edu/cgi-bin/hgTracks?db=mm10&amp;lastVirtModeType=default&amp;lastVirtModeExtraState=&amp;virtModeType=default&amp;virtMode=0&amp;nonVirtPosition=&amp;position=chr4:14809504-14826587","chr4:14809504-14826587")</f>
        <v>chr4:14809504-14826587</v>
      </c>
      <c r="F673" t="s">
        <v>25</v>
      </c>
      <c r="G673">
        <v>-0.75675915547577</v>
      </c>
      <c r="H673">
        <v>0.160149137674687</v>
      </c>
      <c r="I673">
        <v>-4.72534018268012</v>
      </c>
      <c r="J673" s="1">
        <v>2.2973044967815101E-6</v>
      </c>
      <c r="K673" s="1">
        <v>4.5915230621494202E-5</v>
      </c>
      <c r="L673" t="s">
        <v>26</v>
      </c>
      <c r="M673" t="s">
        <v>27</v>
      </c>
      <c r="N673">
        <v>183.79466810639499</v>
      </c>
      <c r="O673">
        <v>244.82985643036699</v>
      </c>
      <c r="P673">
        <v>138.01827686341599</v>
      </c>
      <c r="Q673">
        <v>259.465326438668</v>
      </c>
      <c r="R673">
        <v>261.30663722276398</v>
      </c>
      <c r="S673">
        <v>213.71760562966799</v>
      </c>
      <c r="T673">
        <v>105.407958458369</v>
      </c>
      <c r="U673">
        <v>162.735512687301</v>
      </c>
      <c r="V673">
        <v>151.54464652015099</v>
      </c>
      <c r="W673">
        <v>132.38498978784301</v>
      </c>
    </row>
    <row r="674" spans="1:23" x14ac:dyDescent="0.2">
      <c r="A674" t="s">
        <v>1363</v>
      </c>
      <c r="B674" s="3" t="str">
        <f>HYPERLINK("http://www.ncbi.nlm.nih.gov/gene/56786","Tmem9b")</f>
        <v>Tmem9b</v>
      </c>
      <c r="C674">
        <v>56786</v>
      </c>
      <c r="D674" t="s">
        <v>1364</v>
      </c>
      <c r="E674" s="3" t="str">
        <f>HYPERLINK("http://genome.ucsc.edu/cgi-bin/hgTracks?db=mm10&amp;lastVirtModeType=default&amp;lastVirtModeExtraState=&amp;virtModeType=default&amp;virtMode=0&amp;nonVirtPosition=&amp;position=chr7:109735835-109752263","chr7:109735835-109752263")</f>
        <v>chr7:109735835-109752263</v>
      </c>
      <c r="F674" t="s">
        <v>25</v>
      </c>
      <c r="G674">
        <v>-0.89780665421411898</v>
      </c>
      <c r="H674">
        <v>0.19002758555732899</v>
      </c>
      <c r="I674">
        <v>-4.7246122271193096</v>
      </c>
      <c r="J674" s="1">
        <v>2.3055486506921101E-6</v>
      </c>
      <c r="K674" s="1">
        <v>4.6011329331472599E-5</v>
      </c>
      <c r="L674" t="s">
        <v>26</v>
      </c>
      <c r="M674" t="s">
        <v>27</v>
      </c>
      <c r="N674">
        <v>322.40908969885902</v>
      </c>
      <c r="O674">
        <v>450.42392762342598</v>
      </c>
      <c r="P674">
        <v>226.39796125543401</v>
      </c>
      <c r="Q674">
        <v>573.49632238589697</v>
      </c>
      <c r="R674">
        <v>387.59852429849798</v>
      </c>
      <c r="S674">
        <v>390.17693618588299</v>
      </c>
      <c r="T674">
        <v>151.237505614182</v>
      </c>
      <c r="U674">
        <v>256.95080950626402</v>
      </c>
      <c r="V674">
        <v>264.83530459832298</v>
      </c>
      <c r="W674">
        <v>232.56822530296699</v>
      </c>
    </row>
    <row r="675" spans="1:23" x14ac:dyDescent="0.2">
      <c r="A675" t="s">
        <v>1365</v>
      </c>
      <c r="B675" s="3" t="str">
        <f>HYPERLINK("http://www.ncbi.nlm.nih.gov/gene/18578","Pde4b")</f>
        <v>Pde4b</v>
      </c>
      <c r="C675">
        <v>18578</v>
      </c>
      <c r="D675" t="s">
        <v>1366</v>
      </c>
      <c r="E675" s="3" t="str">
        <f>HYPERLINK("http://genome.ucsc.edu/cgi-bin/hgTracks?db=mm10&amp;lastVirtModeType=default&amp;lastVirtModeExtraState=&amp;virtModeType=default&amp;virtMode=0&amp;nonVirtPosition=&amp;position=chr4:102570059-102607262","chr4:102570059-102607262")</f>
        <v>chr4:102570059-102607262</v>
      </c>
      <c r="F675" t="s">
        <v>30</v>
      </c>
      <c r="G675">
        <v>-0.67241495865192102</v>
      </c>
      <c r="H675">
        <v>0.142334957895279</v>
      </c>
      <c r="I675">
        <v>-4.7241729550841702</v>
      </c>
      <c r="J675" s="1">
        <v>2.3105371758747E-6</v>
      </c>
      <c r="K675" s="1">
        <v>4.6042266848419803E-5</v>
      </c>
      <c r="L675" t="s">
        <v>26</v>
      </c>
      <c r="M675" t="s">
        <v>27</v>
      </c>
      <c r="N675">
        <v>689.37346328909496</v>
      </c>
      <c r="O675">
        <v>886.00765270181398</v>
      </c>
      <c r="P675">
        <v>541.89782122955501</v>
      </c>
      <c r="Q675">
        <v>1062.3601777789199</v>
      </c>
      <c r="R675">
        <v>791.50500999116002</v>
      </c>
      <c r="S675">
        <v>804.15777033536096</v>
      </c>
      <c r="T675">
        <v>467.46138098928901</v>
      </c>
      <c r="U675">
        <v>565.29178091378105</v>
      </c>
      <c r="V675">
        <v>582.63767011631001</v>
      </c>
      <c r="W675">
        <v>552.20045289883899</v>
      </c>
    </row>
    <row r="676" spans="1:23" x14ac:dyDescent="0.2">
      <c r="A676" t="s">
        <v>1367</v>
      </c>
      <c r="B676" s="3" t="str">
        <f>HYPERLINK("http://www.ncbi.nlm.nih.gov/gene/75555","1700020D05Rik")</f>
        <v>1700020D05Rik</v>
      </c>
      <c r="C676">
        <v>75555</v>
      </c>
      <c r="D676" t="s">
        <v>1368</v>
      </c>
      <c r="E676" s="3" t="str">
        <f>HYPERLINK("http://genome.ucsc.edu/cgi-bin/hgTracks?db=mm10&amp;lastVirtModeType=default&amp;lastVirtModeExtraState=&amp;virtModeType=default&amp;virtMode=0&amp;nonVirtPosition=&amp;position=chr19:5502768-5503787","chr19:5502768-5503787")</f>
        <v>chr19:5502768-5503787</v>
      </c>
      <c r="F676" t="s">
        <v>25</v>
      </c>
      <c r="G676">
        <v>1.7675798273898999</v>
      </c>
      <c r="H676">
        <v>0.37425258763006403</v>
      </c>
      <c r="I676">
        <v>4.7229595353849403</v>
      </c>
      <c r="J676" s="1">
        <v>2.3243711027926002E-6</v>
      </c>
      <c r="K676" s="1">
        <v>4.6249113577259601E-5</v>
      </c>
      <c r="L676" t="s">
        <v>26</v>
      </c>
      <c r="M676" t="s">
        <v>27</v>
      </c>
      <c r="N676">
        <v>10.3739881041871</v>
      </c>
      <c r="O676">
        <v>2.4766727690472199</v>
      </c>
      <c r="P676">
        <v>16.296974605541902</v>
      </c>
      <c r="Q676">
        <v>1.67037763801717</v>
      </c>
      <c r="R676">
        <v>2.6547844130034099</v>
      </c>
      <c r="S676">
        <v>3.10485625612109</v>
      </c>
      <c r="T676">
        <v>18.3318188623251</v>
      </c>
      <c r="U676">
        <v>14.9887972211987</v>
      </c>
      <c r="V676">
        <v>13.977418853800399</v>
      </c>
      <c r="W676">
        <v>17.889863484843598</v>
      </c>
    </row>
    <row r="677" spans="1:23" x14ac:dyDescent="0.2">
      <c r="A677" t="s">
        <v>1369</v>
      </c>
      <c r="B677" s="3" t="str">
        <f>HYPERLINK("http://www.ncbi.nlm.nih.gov/gene/70640","Dcp2")</f>
        <v>Dcp2</v>
      </c>
      <c r="C677">
        <v>70640</v>
      </c>
      <c r="D677" t="s">
        <v>1370</v>
      </c>
      <c r="E677" s="3" t="str">
        <f>HYPERLINK("http://genome.ucsc.edu/cgi-bin/hgTracks?db=mm10&amp;lastVirtModeType=default&amp;lastVirtModeExtraState=&amp;virtModeType=default&amp;virtMode=0&amp;nonVirtPosition=&amp;position=chr18:44380499-44424969","chr18:44380499-44424969")</f>
        <v>chr18:44380499-44424969</v>
      </c>
      <c r="F677" t="s">
        <v>30</v>
      </c>
      <c r="G677">
        <v>0.73453178318303802</v>
      </c>
      <c r="H677">
        <v>0.155564098986363</v>
      </c>
      <c r="I677">
        <v>4.7217307075935899</v>
      </c>
      <c r="J677" s="1">
        <v>2.3384617255303999E-6</v>
      </c>
      <c r="K677" s="1">
        <v>4.6460446537948903E-5</v>
      </c>
      <c r="L677" t="s">
        <v>26</v>
      </c>
      <c r="M677" t="s">
        <v>27</v>
      </c>
      <c r="N677">
        <v>425.44453345116898</v>
      </c>
      <c r="O677">
        <v>302.48625245066199</v>
      </c>
      <c r="P677">
        <v>517.66324420154899</v>
      </c>
      <c r="Q677">
        <v>241.64796496648501</v>
      </c>
      <c r="R677">
        <v>301.507658333959</v>
      </c>
      <c r="S677">
        <v>364.30313405154101</v>
      </c>
      <c r="T677">
        <v>591.20115830998304</v>
      </c>
      <c r="U677">
        <v>456.08768687361902</v>
      </c>
      <c r="V677">
        <v>500.98011786516099</v>
      </c>
      <c r="W677">
        <v>522.38401375743297</v>
      </c>
    </row>
    <row r="678" spans="1:23" x14ac:dyDescent="0.2">
      <c r="A678" t="s">
        <v>1371</v>
      </c>
      <c r="B678" s="3" t="str">
        <f>HYPERLINK("http://www.ncbi.nlm.nih.gov/gene/20320","Nptn")</f>
        <v>Nptn</v>
      </c>
      <c r="C678">
        <v>20320</v>
      </c>
      <c r="D678" t="s">
        <v>1372</v>
      </c>
      <c r="E678" s="3" t="str">
        <f>HYPERLINK("http://genome.ucsc.edu/cgi-bin/hgTracks?db=mm10&amp;lastVirtModeType=default&amp;lastVirtModeExtraState=&amp;virtModeType=default&amp;virtMode=0&amp;nonVirtPosition=&amp;position=chr9:58582239-58652879","chr9:58582239-58652879")</f>
        <v>chr9:58582239-58652879</v>
      </c>
      <c r="F678" t="s">
        <v>30</v>
      </c>
      <c r="G678">
        <v>-0.65347622933662997</v>
      </c>
      <c r="H678">
        <v>0.138463041064847</v>
      </c>
      <c r="I678">
        <v>-4.7194993285651297</v>
      </c>
      <c r="J678" s="1">
        <v>2.3642582646233101E-6</v>
      </c>
      <c r="K678" s="1">
        <v>4.6903381365290003E-5</v>
      </c>
      <c r="L678" t="s">
        <v>26</v>
      </c>
      <c r="M678" t="s">
        <v>27</v>
      </c>
      <c r="N678">
        <v>699.95723341097596</v>
      </c>
      <c r="O678">
        <v>892.62268414965502</v>
      </c>
      <c r="P678">
        <v>555.45814535696695</v>
      </c>
      <c r="Q678">
        <v>990.533939344185</v>
      </c>
      <c r="R678">
        <v>948.89580019064795</v>
      </c>
      <c r="S678">
        <v>738.43831291413198</v>
      </c>
      <c r="T678">
        <v>517.87388286068301</v>
      </c>
      <c r="U678">
        <v>513.90161901252804</v>
      </c>
      <c r="V678">
        <v>578.22374837300504</v>
      </c>
      <c r="W678">
        <v>611.83333118165103</v>
      </c>
    </row>
    <row r="679" spans="1:23" x14ac:dyDescent="0.2">
      <c r="A679" t="s">
        <v>1373</v>
      </c>
      <c r="B679" s="3" t="str">
        <f>HYPERLINK("http://www.ncbi.nlm.nih.gov/gene/15118","Has3")</f>
        <v>Has3</v>
      </c>
      <c r="C679">
        <v>15118</v>
      </c>
      <c r="D679" t="s">
        <v>1374</v>
      </c>
      <c r="E679" s="3" t="str">
        <f>HYPERLINK("http://genome.ucsc.edu/cgi-bin/hgTracks?db=mm10&amp;lastVirtModeType=default&amp;lastVirtModeExtraState=&amp;virtModeType=default&amp;virtMode=0&amp;nonVirtPosition=&amp;position=chr8:106870835-106882902","chr8:106870835-106882902")</f>
        <v>chr8:106870835-106882902</v>
      </c>
      <c r="F679" t="s">
        <v>30</v>
      </c>
      <c r="G679">
        <v>1.36218011918615</v>
      </c>
      <c r="H679">
        <v>0.288647777990163</v>
      </c>
      <c r="I679">
        <v>4.7191775688381403</v>
      </c>
      <c r="J679" s="1">
        <v>2.3680005309550102E-6</v>
      </c>
      <c r="K679" s="1">
        <v>4.6908128860974197E-5</v>
      </c>
      <c r="L679" t="s">
        <v>26</v>
      </c>
      <c r="M679" t="s">
        <v>27</v>
      </c>
      <c r="N679">
        <v>32.547747453885997</v>
      </c>
      <c r="O679">
        <v>14.9118846046147</v>
      </c>
      <c r="P679">
        <v>45.7746445908396</v>
      </c>
      <c r="Q679">
        <v>15.5901912881603</v>
      </c>
      <c r="R679">
        <v>9.4813729035836207</v>
      </c>
      <c r="S679">
        <v>19.6640896221002</v>
      </c>
      <c r="T679">
        <v>54.995456586975202</v>
      </c>
      <c r="U679">
        <v>38.5426214259396</v>
      </c>
      <c r="V679">
        <v>47.817485552474999</v>
      </c>
      <c r="W679">
        <v>41.743014797968399</v>
      </c>
    </row>
    <row r="680" spans="1:23" x14ac:dyDescent="0.2">
      <c r="A680" t="s">
        <v>1375</v>
      </c>
      <c r="B680" s="3" t="str">
        <f>HYPERLINK("http://www.ncbi.nlm.nih.gov/gene/14123","Fbrs")</f>
        <v>Fbrs</v>
      </c>
      <c r="C680">
        <v>14123</v>
      </c>
      <c r="D680" t="s">
        <v>1376</v>
      </c>
      <c r="E680" s="3" t="str">
        <f>HYPERLINK("http://genome.ucsc.edu/cgi-bin/hgTracks?db=mm10&amp;lastVirtModeType=default&amp;lastVirtModeExtraState=&amp;virtModeType=default&amp;virtMode=0&amp;nonVirtPosition=&amp;position=chr7:127485220-127491513","chr7:127485220-127491513")</f>
        <v>chr7:127485220-127491513</v>
      </c>
      <c r="F680" t="s">
        <v>30</v>
      </c>
      <c r="G680">
        <v>0.88657739816204095</v>
      </c>
      <c r="H680">
        <v>0.18802298115797</v>
      </c>
      <c r="I680">
        <v>4.7152608298299903</v>
      </c>
      <c r="J680" s="1">
        <v>2.4140130597413001E-6</v>
      </c>
      <c r="K680" s="1">
        <v>4.7748964376655502E-5</v>
      </c>
      <c r="L680" t="s">
        <v>26</v>
      </c>
      <c r="M680" t="s">
        <v>27</v>
      </c>
      <c r="N680">
        <v>200.118276845248</v>
      </c>
      <c r="O680">
        <v>131.48837156527901</v>
      </c>
      <c r="P680">
        <v>251.59070580522501</v>
      </c>
      <c r="Q680">
        <v>127.50549303531101</v>
      </c>
      <c r="R680">
        <v>96.710003616552896</v>
      </c>
      <c r="S680">
        <v>170.24961804397299</v>
      </c>
      <c r="T680">
        <v>238.31364521022601</v>
      </c>
      <c r="U680">
        <v>269.79834998157702</v>
      </c>
      <c r="V680">
        <v>234.67350601906901</v>
      </c>
      <c r="W680">
        <v>263.57732201002898</v>
      </c>
    </row>
    <row r="681" spans="1:23" x14ac:dyDescent="0.2">
      <c r="A681" t="s">
        <v>1377</v>
      </c>
      <c r="B681" s="3" t="str">
        <f>HYPERLINK("http://www.ncbi.nlm.nih.gov/gene/75423","Arl5a")</f>
        <v>Arl5a</v>
      </c>
      <c r="C681">
        <v>75423</v>
      </c>
      <c r="D681" t="s">
        <v>1378</v>
      </c>
      <c r="E681" s="3" t="str">
        <f>HYPERLINK("http://genome.ucsc.edu/cgi-bin/hgTracks?db=mm10&amp;lastVirtModeType=default&amp;lastVirtModeExtraState=&amp;virtModeType=default&amp;virtMode=0&amp;nonVirtPosition=&amp;position=chr2:52397950-52424874","chr2:52397950-52424874")</f>
        <v>chr2:52397950-52424874</v>
      </c>
      <c r="F681" t="s">
        <v>25</v>
      </c>
      <c r="G681">
        <v>-0.76863712244955096</v>
      </c>
      <c r="H681">
        <v>0.16303389111578301</v>
      </c>
      <c r="I681">
        <v>-4.7145849074023696</v>
      </c>
      <c r="J681" s="1">
        <v>2.4220399229645499E-6</v>
      </c>
      <c r="K681" s="1">
        <v>4.7837074643684798E-5</v>
      </c>
      <c r="L681" t="s">
        <v>26</v>
      </c>
      <c r="M681" t="s">
        <v>27</v>
      </c>
      <c r="N681">
        <v>777.36336730739697</v>
      </c>
      <c r="O681">
        <v>1027.28868255458</v>
      </c>
      <c r="P681">
        <v>589.91938087200901</v>
      </c>
      <c r="Q681">
        <v>773.94163894795804</v>
      </c>
      <c r="R681">
        <v>1181.37906378652</v>
      </c>
      <c r="S681">
        <v>1126.54534492927</v>
      </c>
      <c r="T681">
        <v>600.367067741146</v>
      </c>
      <c r="U681">
        <v>635.95325352800398</v>
      </c>
      <c r="V681">
        <v>616.47773681498495</v>
      </c>
      <c r="W681">
        <v>506.87946540390197</v>
      </c>
    </row>
    <row r="682" spans="1:23" x14ac:dyDescent="0.2">
      <c r="A682" t="s">
        <v>1379</v>
      </c>
      <c r="B682" s="3" t="str">
        <f>HYPERLINK("http://www.ncbi.nlm.nih.gov/gene/12941","Pcdha5")</f>
        <v>Pcdha5</v>
      </c>
      <c r="C682">
        <v>12941</v>
      </c>
      <c r="D682" t="s">
        <v>1380</v>
      </c>
      <c r="E682" s="3" t="str">
        <f>HYPERLINK("http://genome.ucsc.edu/cgi-bin/hgTracks?db=mm10&amp;lastVirtModeType=default&amp;lastVirtModeExtraState=&amp;virtModeType=default&amp;virtMode=0&amp;nonVirtPosition=&amp;position=chr18:36960439-37187657","chr18:36960439-37187657")</f>
        <v>chr18:36960439-37187657</v>
      </c>
      <c r="F682" t="s">
        <v>30</v>
      </c>
      <c r="G682">
        <v>1.5265879202272099</v>
      </c>
      <c r="H682">
        <v>0.323953357149388</v>
      </c>
      <c r="I682">
        <v>4.7123695017713096</v>
      </c>
      <c r="J682" s="1">
        <v>2.4485288124659298E-6</v>
      </c>
      <c r="K682" s="1">
        <v>4.8289026992240397E-5</v>
      </c>
      <c r="L682" t="s">
        <v>26</v>
      </c>
      <c r="M682" t="s">
        <v>27</v>
      </c>
      <c r="N682">
        <v>30.586087067965899</v>
      </c>
      <c r="O682">
        <v>11.097286738995701</v>
      </c>
      <c r="P682">
        <v>45.202687314693499</v>
      </c>
      <c r="Q682">
        <v>5.0111329140515304</v>
      </c>
      <c r="R682">
        <v>13.2739220650171</v>
      </c>
      <c r="S682">
        <v>15.0068052379186</v>
      </c>
      <c r="T682">
        <v>64.161366018137699</v>
      </c>
      <c r="U682">
        <v>47.107648409481797</v>
      </c>
      <c r="V682">
        <v>39.7252956897484</v>
      </c>
      <c r="W682">
        <v>29.816439141406001</v>
      </c>
    </row>
    <row r="683" spans="1:23" x14ac:dyDescent="0.2">
      <c r="A683" t="s">
        <v>1381</v>
      </c>
      <c r="B683" s="3" t="str">
        <f>HYPERLINK("http://www.ncbi.nlm.nih.gov/gene/27057","Ncoa4")</f>
        <v>Ncoa4</v>
      </c>
      <c r="C683">
        <v>27057</v>
      </c>
      <c r="D683" t="s">
        <v>1382</v>
      </c>
      <c r="E683" s="3" t="str">
        <f>HYPERLINK("http://genome.ucsc.edu/cgi-bin/hgTracks?db=mm10&amp;lastVirtModeType=default&amp;lastVirtModeExtraState=&amp;virtModeType=default&amp;virtMode=0&amp;nonVirtPosition=&amp;position=chr14:32165788-32179855","chr14:32165788-32179855")</f>
        <v>chr14:32165788-32179855</v>
      </c>
      <c r="F683" t="s">
        <v>30</v>
      </c>
      <c r="G683">
        <v>1.0364006153509999</v>
      </c>
      <c r="H683">
        <v>0.21996544718959599</v>
      </c>
      <c r="I683">
        <v>4.7116518916613801</v>
      </c>
      <c r="J683" s="1">
        <v>2.4571685169369498E-6</v>
      </c>
      <c r="K683" s="1">
        <v>4.83881523680921E-5</v>
      </c>
      <c r="L683" t="s">
        <v>26</v>
      </c>
      <c r="M683" t="s">
        <v>27</v>
      </c>
      <c r="N683">
        <v>64.575045181337799</v>
      </c>
      <c r="O683">
        <v>40.126319832547999</v>
      </c>
      <c r="P683">
        <v>82.911589192930094</v>
      </c>
      <c r="Q683">
        <v>43.986611134452303</v>
      </c>
      <c r="R683">
        <v>36.029217033617698</v>
      </c>
      <c r="S683">
        <v>40.363131329574102</v>
      </c>
      <c r="T683">
        <v>54.995456586975202</v>
      </c>
      <c r="U683">
        <v>81.367756343650299</v>
      </c>
      <c r="V683">
        <v>102.255853719908</v>
      </c>
      <c r="W683">
        <v>93.027290121186695</v>
      </c>
    </row>
    <row r="684" spans="1:23" x14ac:dyDescent="0.2">
      <c r="A684" t="s">
        <v>1383</v>
      </c>
      <c r="B684" s="3" t="str">
        <f>HYPERLINK("http://www.ncbi.nlm.nih.gov/gene/11972","Atp6v0d1")</f>
        <v>Atp6v0d1</v>
      </c>
      <c r="C684">
        <v>11972</v>
      </c>
      <c r="D684" t="s">
        <v>1384</v>
      </c>
      <c r="E684" s="3" t="str">
        <f>HYPERLINK("http://genome.ucsc.edu/cgi-bin/hgTracks?db=mm10&amp;lastVirtModeType=default&amp;lastVirtModeExtraState=&amp;virtModeType=default&amp;virtMode=0&amp;nonVirtPosition=&amp;position=chr8:105524469-105566040","chr8:105524469-105566040")</f>
        <v>chr8:105524469-105566040</v>
      </c>
      <c r="F684" t="s">
        <v>25</v>
      </c>
      <c r="G684">
        <v>-0.56170639161019098</v>
      </c>
      <c r="H684">
        <v>0.119271501857107</v>
      </c>
      <c r="I684">
        <v>-4.7094769736625004</v>
      </c>
      <c r="J684" s="1">
        <v>2.4835326820678099E-6</v>
      </c>
      <c r="K684" s="1">
        <v>4.8835515632261399E-5</v>
      </c>
      <c r="L684" t="s">
        <v>26</v>
      </c>
      <c r="M684" t="s">
        <v>27</v>
      </c>
      <c r="N684">
        <v>435.38276885571003</v>
      </c>
      <c r="O684">
        <v>539.96217821518303</v>
      </c>
      <c r="P684">
        <v>356.94821183610497</v>
      </c>
      <c r="Q684">
        <v>551.78141309167302</v>
      </c>
      <c r="R684">
        <v>574.95045287331004</v>
      </c>
      <c r="S684">
        <v>493.15466868056598</v>
      </c>
      <c r="T684">
        <v>316.22387537510701</v>
      </c>
      <c r="U684">
        <v>355.44861981699898</v>
      </c>
      <c r="V684">
        <v>384.01119166756803</v>
      </c>
      <c r="W684">
        <v>372.10916048474701</v>
      </c>
    </row>
    <row r="685" spans="1:23" x14ac:dyDescent="0.2">
      <c r="A685" t="s">
        <v>1385</v>
      </c>
      <c r="B685" s="3" t="str">
        <f>HYPERLINK("http://www.ncbi.nlm.nih.gov/gene/105782","Scrib")</f>
        <v>Scrib</v>
      </c>
      <c r="C685">
        <v>105782</v>
      </c>
      <c r="D685" t="s">
        <v>1386</v>
      </c>
      <c r="E685" s="3" t="str">
        <f>HYPERLINK("http://genome.ucsc.edu/cgi-bin/hgTracks?db=mm10&amp;lastVirtModeType=default&amp;lastVirtModeExtraState=&amp;virtModeType=default&amp;virtMode=0&amp;nonVirtPosition=&amp;position=chr15:76047162-76069784","chr15:76047162-76069784")</f>
        <v>chr15:76047162-76069784</v>
      </c>
      <c r="F685" t="s">
        <v>25</v>
      </c>
      <c r="G685">
        <v>0.86951476403473804</v>
      </c>
      <c r="H685">
        <v>0.18474002427683001</v>
      </c>
      <c r="I685">
        <v>4.7066940011428402</v>
      </c>
      <c r="J685" s="1">
        <v>2.5176638562483901E-6</v>
      </c>
      <c r="K685" s="1">
        <v>4.9434071406190898E-5</v>
      </c>
      <c r="L685" t="s">
        <v>26</v>
      </c>
      <c r="M685" t="s">
        <v>27</v>
      </c>
      <c r="N685">
        <v>579.20386923728404</v>
      </c>
      <c r="O685">
        <v>383.36445979055702</v>
      </c>
      <c r="P685">
        <v>726.08342632232802</v>
      </c>
      <c r="Q685">
        <v>333.51873505742901</v>
      </c>
      <c r="R685">
        <v>349.29377776801999</v>
      </c>
      <c r="S685">
        <v>467.28086654622302</v>
      </c>
      <c r="T685">
        <v>627.86479603463295</v>
      </c>
      <c r="U685">
        <v>989.26061659911704</v>
      </c>
      <c r="V685">
        <v>615.74208319110096</v>
      </c>
      <c r="W685">
        <v>671.46620946446296</v>
      </c>
    </row>
    <row r="686" spans="1:23" x14ac:dyDescent="0.2">
      <c r="A686" t="s">
        <v>1387</v>
      </c>
      <c r="B686" s="3" t="str">
        <f>HYPERLINK("http://www.ncbi.nlm.nih.gov/gene/72199","Mms19")</f>
        <v>Mms19</v>
      </c>
      <c r="C686">
        <v>72199</v>
      </c>
      <c r="D686" t="s">
        <v>1388</v>
      </c>
      <c r="E686" s="3" t="str">
        <f>HYPERLINK("http://genome.ucsc.edu/cgi-bin/hgTracks?db=mm10&amp;lastVirtModeType=default&amp;lastVirtModeExtraState=&amp;virtModeType=default&amp;virtMode=0&amp;nonVirtPosition=&amp;position=chr19:41943706-41981136","chr19:41943706-41981136")</f>
        <v>chr19:41943706-41981136</v>
      </c>
      <c r="F686" t="s">
        <v>25</v>
      </c>
      <c r="G686">
        <v>0.72049174482975697</v>
      </c>
      <c r="H686">
        <v>0.153140151917074</v>
      </c>
      <c r="I686">
        <v>4.7047866663989204</v>
      </c>
      <c r="J686" s="1">
        <v>2.54131551408796E-6</v>
      </c>
      <c r="K686" s="1">
        <v>4.9825411492169703E-5</v>
      </c>
      <c r="L686" t="s">
        <v>26</v>
      </c>
      <c r="M686" t="s">
        <v>27</v>
      </c>
      <c r="N686">
        <v>240.51645014906299</v>
      </c>
      <c r="O686">
        <v>172.65723941340499</v>
      </c>
      <c r="P686">
        <v>291.41085820080599</v>
      </c>
      <c r="Q686">
        <v>148.66360978352901</v>
      </c>
      <c r="R686">
        <v>168.009927851502</v>
      </c>
      <c r="S686">
        <v>201.298180605184</v>
      </c>
      <c r="T686">
        <v>311.64092065952599</v>
      </c>
      <c r="U686">
        <v>256.95080950626402</v>
      </c>
      <c r="V686">
        <v>271.456187213281</v>
      </c>
      <c r="W686">
        <v>325.59551542415301</v>
      </c>
    </row>
    <row r="687" spans="1:23" x14ac:dyDescent="0.2">
      <c r="A687" t="s">
        <v>1389</v>
      </c>
      <c r="B687" s="3" t="str">
        <f>HYPERLINK("http://www.ncbi.nlm.nih.gov/gene/65020","Zfp110")</f>
        <v>Zfp110</v>
      </c>
      <c r="C687">
        <v>65020</v>
      </c>
      <c r="D687" t="s">
        <v>1390</v>
      </c>
      <c r="E687" s="3" t="str">
        <f>HYPERLINK("http://genome.ucsc.edu/cgi-bin/hgTracks?db=mm10&amp;lastVirtModeType=default&amp;lastVirtModeExtraState=&amp;virtModeType=default&amp;virtMode=0&amp;nonVirtPosition=&amp;position=chr7:12834809-12850584","chr7:12834809-12850584")</f>
        <v>chr7:12834809-12850584</v>
      </c>
      <c r="F687" t="s">
        <v>30</v>
      </c>
      <c r="G687">
        <v>-0.68068247086312506</v>
      </c>
      <c r="H687">
        <v>0.14470149165277199</v>
      </c>
      <c r="I687">
        <v>-4.7040459852100103</v>
      </c>
      <c r="J687" s="1">
        <v>2.5505576056027999E-6</v>
      </c>
      <c r="K687" s="1">
        <v>4.9933504234834901E-5</v>
      </c>
      <c r="L687" t="s">
        <v>26</v>
      </c>
      <c r="M687" t="s">
        <v>27</v>
      </c>
      <c r="N687">
        <v>187.00096927379801</v>
      </c>
      <c r="O687">
        <v>238.69406426899101</v>
      </c>
      <c r="P687">
        <v>148.23114802740301</v>
      </c>
      <c r="Q687">
        <v>244.98872024251901</v>
      </c>
      <c r="R687">
        <v>257.89334297747399</v>
      </c>
      <c r="S687">
        <v>213.20012958698101</v>
      </c>
      <c r="T687">
        <v>160.40341504534399</v>
      </c>
      <c r="U687">
        <v>143.46420197433099</v>
      </c>
      <c r="V687">
        <v>147.13072477684599</v>
      </c>
      <c r="W687">
        <v>141.92625031309299</v>
      </c>
    </row>
    <row r="688" spans="1:23" x14ac:dyDescent="0.2">
      <c r="A688" t="s">
        <v>1391</v>
      </c>
      <c r="B688" s="3" t="str">
        <f>HYPERLINK("http://www.ncbi.nlm.nih.gov/gene/229791","Plppr4")</f>
        <v>Plppr4</v>
      </c>
      <c r="C688">
        <v>229791</v>
      </c>
      <c r="D688" t="s">
        <v>1392</v>
      </c>
      <c r="E688" s="3" t="str">
        <f>HYPERLINK("http://genome.ucsc.edu/cgi-bin/hgTracks?db=mm10&amp;lastVirtModeType=default&amp;lastVirtModeExtraState=&amp;virtModeType=default&amp;virtMode=0&amp;nonVirtPosition=&amp;position=chr3:117319145-117360876","chr3:117319145-117360876")</f>
        <v>chr3:117319145-117360876</v>
      </c>
      <c r="F688" t="s">
        <v>25</v>
      </c>
      <c r="G688">
        <v>-1.2236533767117601</v>
      </c>
      <c r="H688">
        <v>0.26026050178635601</v>
      </c>
      <c r="I688">
        <v>-4.7016484188454903</v>
      </c>
      <c r="J688" s="1">
        <v>2.58069577842573E-6</v>
      </c>
      <c r="K688" s="1">
        <v>5.0449776888903501E-5</v>
      </c>
      <c r="L688" t="s">
        <v>26</v>
      </c>
      <c r="M688" t="s">
        <v>27</v>
      </c>
      <c r="N688">
        <v>107.82606653219</v>
      </c>
      <c r="O688">
        <v>165.72555760500799</v>
      </c>
      <c r="P688">
        <v>64.401448227576097</v>
      </c>
      <c r="Q688">
        <v>183.18474763588401</v>
      </c>
      <c r="R688">
        <v>193.42000723310599</v>
      </c>
      <c r="S688">
        <v>120.571917946035</v>
      </c>
      <c r="T688">
        <v>59.578411302556397</v>
      </c>
      <c r="U688">
        <v>85.650269835421398</v>
      </c>
      <c r="V688">
        <v>36.047027570327302</v>
      </c>
      <c r="W688">
        <v>76.330084201999398</v>
      </c>
    </row>
    <row r="689" spans="1:23" x14ac:dyDescent="0.2">
      <c r="A689" t="s">
        <v>1393</v>
      </c>
      <c r="B689" s="3" t="str">
        <f>HYPERLINK("http://www.ncbi.nlm.nih.gov/gene/14999","H2-DMb1")</f>
        <v>H2-DMb1</v>
      </c>
      <c r="C689">
        <v>14999</v>
      </c>
      <c r="D689" t="s">
        <v>1394</v>
      </c>
      <c r="E689" s="3" t="str">
        <f>HYPERLINK("http://genome.ucsc.edu/cgi-bin/hgTracks?db=mm10&amp;lastVirtModeType=default&amp;lastVirtModeExtraState=&amp;virtModeType=default&amp;virtMode=0&amp;nonVirtPosition=&amp;position=chr17:34153190-34160229","chr17:34153190-34160229")</f>
        <v>chr17:34153190-34160229</v>
      </c>
      <c r="F689" t="s">
        <v>30</v>
      </c>
      <c r="G689">
        <v>1.54671716621175</v>
      </c>
      <c r="H689">
        <v>0.32910509845802599</v>
      </c>
      <c r="I689">
        <v>4.69976665040641</v>
      </c>
      <c r="J689" s="1">
        <v>2.6045893308317898E-6</v>
      </c>
      <c r="K689" s="1">
        <v>5.0842646835522501E-5</v>
      </c>
      <c r="L689" t="s">
        <v>26</v>
      </c>
      <c r="M689" t="s">
        <v>27</v>
      </c>
      <c r="N689">
        <v>46.645420475978497</v>
      </c>
      <c r="O689">
        <v>17.085814964309201</v>
      </c>
      <c r="P689">
        <v>68.815124609730503</v>
      </c>
      <c r="Q689">
        <v>27.8396273002862</v>
      </c>
      <c r="R689">
        <v>10.998392568157</v>
      </c>
      <c r="S689">
        <v>12.419425024484299</v>
      </c>
      <c r="T689">
        <v>105.407958458369</v>
      </c>
      <c r="U689">
        <v>29.9775944423975</v>
      </c>
      <c r="V689">
        <v>64.737518901812294</v>
      </c>
      <c r="W689">
        <v>75.137426636343093</v>
      </c>
    </row>
    <row r="690" spans="1:23" x14ac:dyDescent="0.2">
      <c r="A690" t="s">
        <v>1395</v>
      </c>
      <c r="B690" s="3" t="str">
        <f>HYPERLINK("http://www.ncbi.nlm.nih.gov/gene/14704","Gng3")</f>
        <v>Gng3</v>
      </c>
      <c r="C690">
        <v>14704</v>
      </c>
      <c r="D690" t="s">
        <v>1396</v>
      </c>
      <c r="E690" s="3" t="str">
        <f>HYPERLINK("http://genome.ucsc.edu/cgi-bin/hgTracks?db=mm10&amp;lastVirtModeType=default&amp;lastVirtModeExtraState=&amp;virtModeType=default&amp;virtMode=0&amp;nonVirtPosition=&amp;position=chr19:8836928-8839246","chr19:8836928-8839246")</f>
        <v>chr19:8836928-8839246</v>
      </c>
      <c r="F690" t="s">
        <v>25</v>
      </c>
      <c r="G690">
        <v>-0.70172259032231199</v>
      </c>
      <c r="H690">
        <v>0.14933033110268501</v>
      </c>
      <c r="I690">
        <v>-4.6991296754025198</v>
      </c>
      <c r="J690" s="1">
        <v>2.61272524557161E-6</v>
      </c>
      <c r="K690" s="1">
        <v>5.0896079212802098E-5</v>
      </c>
      <c r="L690" t="s">
        <v>26</v>
      </c>
      <c r="M690" t="s">
        <v>27</v>
      </c>
      <c r="N690">
        <v>315.697045355905</v>
      </c>
      <c r="O690">
        <v>410.05153110541403</v>
      </c>
      <c r="P690">
        <v>244.93118104377399</v>
      </c>
      <c r="Q690">
        <v>434.29818588446602</v>
      </c>
      <c r="R690">
        <v>438.79793797784998</v>
      </c>
      <c r="S690">
        <v>357.058469453925</v>
      </c>
      <c r="T690">
        <v>201.650007485576</v>
      </c>
      <c r="U690">
        <v>299.77594442397498</v>
      </c>
      <c r="V690">
        <v>255.271807487828</v>
      </c>
      <c r="W690">
        <v>223.02696477771701</v>
      </c>
    </row>
    <row r="691" spans="1:23" x14ac:dyDescent="0.2">
      <c r="A691" t="s">
        <v>1397</v>
      </c>
      <c r="B691" s="3" t="str">
        <f>HYPERLINK("http://www.ncbi.nlm.nih.gov/gene/20687","Sp3")</f>
        <v>Sp3</v>
      </c>
      <c r="C691">
        <v>20687</v>
      </c>
      <c r="D691" t="s">
        <v>1398</v>
      </c>
      <c r="E691" s="3" t="str">
        <f>HYPERLINK("http://genome.ucsc.edu/cgi-bin/hgTracks?db=mm10&amp;lastVirtModeType=default&amp;lastVirtModeExtraState=&amp;virtModeType=default&amp;virtMode=0&amp;nonVirtPosition=&amp;position=chr2:72936431-72980446","chr2:72936431-72980446")</f>
        <v>chr2:72936431-72980446</v>
      </c>
      <c r="F691" t="s">
        <v>25</v>
      </c>
      <c r="G691">
        <v>-0.56878262127423795</v>
      </c>
      <c r="H691">
        <v>0.121044426757433</v>
      </c>
      <c r="I691">
        <v>-4.6989575357653699</v>
      </c>
      <c r="J691" s="1">
        <v>2.6149281232475401E-6</v>
      </c>
      <c r="K691" s="1">
        <v>5.0896079212802098E-5</v>
      </c>
      <c r="L691" t="s">
        <v>26</v>
      </c>
      <c r="M691" t="s">
        <v>27</v>
      </c>
      <c r="N691">
        <v>545.03492738336399</v>
      </c>
      <c r="O691">
        <v>670.94743457431605</v>
      </c>
      <c r="P691">
        <v>450.60054699015097</v>
      </c>
      <c r="Q691">
        <v>665.36709247684098</v>
      </c>
      <c r="R691">
        <v>744.09814547324197</v>
      </c>
      <c r="S691">
        <v>603.37706577286394</v>
      </c>
      <c r="T691">
        <v>485.79319985161402</v>
      </c>
      <c r="U691">
        <v>423.96883568533599</v>
      </c>
      <c r="V691">
        <v>465.66874391871801</v>
      </c>
      <c r="W691">
        <v>426.971408504934</v>
      </c>
    </row>
    <row r="692" spans="1:23" x14ac:dyDescent="0.2">
      <c r="A692" t="s">
        <v>1399</v>
      </c>
      <c r="B692" s="3" t="str">
        <f>HYPERLINK("http://www.ncbi.nlm.nih.gov/gene/11853","Rhoc")</f>
        <v>Rhoc</v>
      </c>
      <c r="C692">
        <v>11853</v>
      </c>
      <c r="D692" t="s">
        <v>1400</v>
      </c>
      <c r="E692" s="3" t="str">
        <f>HYPERLINK("http://genome.ucsc.edu/cgi-bin/hgTracks?db=mm10&amp;lastVirtModeType=default&amp;lastVirtModeExtraState=&amp;virtModeType=default&amp;virtMode=0&amp;nonVirtPosition=&amp;position=chr3:104789033-104794459","chr3:104789033-104794459")</f>
        <v>chr3:104789033-104794459</v>
      </c>
      <c r="F692" t="s">
        <v>30</v>
      </c>
      <c r="G692">
        <v>-0.484736994800539</v>
      </c>
      <c r="H692">
        <v>0.10317343515123099</v>
      </c>
      <c r="I692">
        <v>-4.6982732918605699</v>
      </c>
      <c r="J692" s="1">
        <v>2.62370205806855E-6</v>
      </c>
      <c r="K692" s="1">
        <v>5.09837060992717E-5</v>
      </c>
      <c r="L692" t="s">
        <v>26</v>
      </c>
      <c r="M692" t="s">
        <v>27</v>
      </c>
      <c r="N692">
        <v>633.30758437128395</v>
      </c>
      <c r="O692">
        <v>757.45723414130498</v>
      </c>
      <c r="P692">
        <v>540.19534704376895</v>
      </c>
      <c r="Q692">
        <v>738.30691600359103</v>
      </c>
      <c r="R692">
        <v>764.57791094498305</v>
      </c>
      <c r="S692">
        <v>769.486875475342</v>
      </c>
      <c r="T692">
        <v>549.95456586975195</v>
      </c>
      <c r="U692">
        <v>567.43303765966698</v>
      </c>
      <c r="V692">
        <v>553.21152516094105</v>
      </c>
      <c r="W692">
        <v>490.18225948471502</v>
      </c>
    </row>
    <row r="693" spans="1:23" x14ac:dyDescent="0.2">
      <c r="A693" t="s">
        <v>1401</v>
      </c>
      <c r="B693" s="3" t="str">
        <f>HYPERLINK("http://www.ncbi.nlm.nih.gov/gene/50913","Olig2")</f>
        <v>Olig2</v>
      </c>
      <c r="C693">
        <v>50913</v>
      </c>
      <c r="D693" t="s">
        <v>1402</v>
      </c>
      <c r="E693" s="3" t="str">
        <f>HYPERLINK("http://genome.ucsc.edu/cgi-bin/hgTracks?db=mm10&amp;lastVirtModeType=default&amp;lastVirtModeExtraState=&amp;virtModeType=default&amp;virtMode=0&amp;nonVirtPosition=&amp;position=chr16:91225549-91228677","chr16:91225549-91228677")</f>
        <v>chr16:91225549-91228677</v>
      </c>
      <c r="F693" t="s">
        <v>30</v>
      </c>
      <c r="G693">
        <v>-0.69248389798978505</v>
      </c>
      <c r="H693">
        <v>0.14739930931369899</v>
      </c>
      <c r="I693">
        <v>-4.6980131807539296</v>
      </c>
      <c r="J693" s="1">
        <v>2.6270448217831E-6</v>
      </c>
      <c r="K693" s="1">
        <v>5.09837060992717E-5</v>
      </c>
      <c r="L693" t="s">
        <v>26</v>
      </c>
      <c r="M693" t="s">
        <v>27</v>
      </c>
      <c r="N693">
        <v>1758.68488742402</v>
      </c>
      <c r="O693">
        <v>2268.0701742577298</v>
      </c>
      <c r="P693">
        <v>1376.6459222987401</v>
      </c>
      <c r="Q693">
        <v>2727.1698903360402</v>
      </c>
      <c r="R693">
        <v>1807.9081852553199</v>
      </c>
      <c r="S693">
        <v>2269.1324471818298</v>
      </c>
      <c r="T693">
        <v>1324.4739128029901</v>
      </c>
      <c r="U693">
        <v>1321.1554122113801</v>
      </c>
      <c r="V693">
        <v>1399.9488462516899</v>
      </c>
      <c r="W693">
        <v>1461.00551792889</v>
      </c>
    </row>
    <row r="694" spans="1:23" x14ac:dyDescent="0.2">
      <c r="A694" t="s">
        <v>1403</v>
      </c>
      <c r="B694" s="3" t="str">
        <f>HYPERLINK("http://www.ncbi.nlm.nih.gov/gene/56209","Gde1")</f>
        <v>Gde1</v>
      </c>
      <c r="C694">
        <v>56209</v>
      </c>
      <c r="D694" t="s">
        <v>1404</v>
      </c>
      <c r="E694" s="3" t="str">
        <f>HYPERLINK("http://genome.ucsc.edu/cgi-bin/hgTracks?db=mm10&amp;lastVirtModeType=default&amp;lastVirtModeExtraState=&amp;virtModeType=default&amp;virtMode=0&amp;nonVirtPosition=&amp;position=chr7:118688557-118705738","chr7:118688557-118705738")</f>
        <v>chr7:118688557-118705738</v>
      </c>
      <c r="F694" t="s">
        <v>25</v>
      </c>
      <c r="G694">
        <v>-0.63348805689931798</v>
      </c>
      <c r="H694">
        <v>0.13487312597904899</v>
      </c>
      <c r="I694">
        <v>-4.6969183245424704</v>
      </c>
      <c r="J694" s="1">
        <v>2.64116000511063E-6</v>
      </c>
      <c r="K694" s="1">
        <v>5.1183464006420398E-5</v>
      </c>
      <c r="L694" t="s">
        <v>26</v>
      </c>
      <c r="M694" t="s">
        <v>27</v>
      </c>
      <c r="N694">
        <v>302.75333046733999</v>
      </c>
      <c r="O694">
        <v>382.183063786677</v>
      </c>
      <c r="P694">
        <v>243.18103047783799</v>
      </c>
      <c r="Q694">
        <v>379.17572382989903</v>
      </c>
      <c r="R694">
        <v>417.559662673822</v>
      </c>
      <c r="S694">
        <v>349.81380485630899</v>
      </c>
      <c r="T694">
        <v>219.98182634790101</v>
      </c>
      <c r="U694">
        <v>284.787147202776</v>
      </c>
      <c r="V694">
        <v>225.84566253245899</v>
      </c>
      <c r="W694">
        <v>242.109485828217</v>
      </c>
    </row>
    <row r="695" spans="1:23" x14ac:dyDescent="0.2">
      <c r="A695" t="s">
        <v>1405</v>
      </c>
      <c r="B695" s="3" t="str">
        <f>HYPERLINK("http://www.ncbi.nlm.nih.gov/gene/20496","Slc12a2")</f>
        <v>Slc12a2</v>
      </c>
      <c r="C695">
        <v>20496</v>
      </c>
      <c r="D695" t="s">
        <v>1406</v>
      </c>
      <c r="E695" s="3" t="str">
        <f>HYPERLINK("http://genome.ucsc.edu/cgi-bin/hgTracks?db=mm10&amp;lastVirtModeType=default&amp;lastVirtModeExtraState=&amp;virtModeType=default&amp;virtMode=0&amp;nonVirtPosition=&amp;position=chr18:57878677-57946821","chr18:57878677-57946821")</f>
        <v>chr18:57878677-57946821</v>
      </c>
      <c r="F695" t="s">
        <v>30</v>
      </c>
      <c r="G695">
        <v>-0.71430854617182005</v>
      </c>
      <c r="H695">
        <v>0.15221262257016799</v>
      </c>
      <c r="I695">
        <v>-4.6928338406529502</v>
      </c>
      <c r="J695" s="1">
        <v>2.69446331849327E-6</v>
      </c>
      <c r="K695" s="1">
        <v>5.2113141518248299E-5</v>
      </c>
      <c r="L695" t="s">
        <v>26</v>
      </c>
      <c r="M695" t="s">
        <v>27</v>
      </c>
      <c r="N695">
        <v>1113.7856363876599</v>
      </c>
      <c r="O695">
        <v>1453.4120450057101</v>
      </c>
      <c r="P695">
        <v>859.06582992412098</v>
      </c>
      <c r="Q695">
        <v>1546.2129002578999</v>
      </c>
      <c r="R695">
        <v>1341.8038933151499</v>
      </c>
      <c r="S695">
        <v>1472.2193414440801</v>
      </c>
      <c r="T695">
        <v>618.69888660347101</v>
      </c>
      <c r="U695">
        <v>946.43548168140705</v>
      </c>
      <c r="V695">
        <v>1000.48892848255</v>
      </c>
      <c r="W695">
        <v>870.64002292905502</v>
      </c>
    </row>
    <row r="696" spans="1:23" x14ac:dyDescent="0.2">
      <c r="A696" t="s">
        <v>1407</v>
      </c>
      <c r="B696" s="3" t="str">
        <f>HYPERLINK("http://www.ncbi.nlm.nih.gov/gene/218038","Amph")</f>
        <v>Amph</v>
      </c>
      <c r="C696">
        <v>218038</v>
      </c>
      <c r="D696" t="s">
        <v>1408</v>
      </c>
      <c r="E696" s="3" t="str">
        <f>HYPERLINK("http://genome.ucsc.edu/cgi-bin/hgTracks?db=mm10&amp;lastVirtModeType=default&amp;lastVirtModeExtraState=&amp;virtModeType=default&amp;virtMode=0&amp;nonVirtPosition=&amp;position=chr13:18948350-19150919","chr13:18948350-19150919")</f>
        <v>chr13:18948350-19150919</v>
      </c>
      <c r="F696" t="s">
        <v>30</v>
      </c>
      <c r="G696">
        <v>-0.59478362075657298</v>
      </c>
      <c r="H696">
        <v>0.126747979696894</v>
      </c>
      <c r="I696">
        <v>-4.6926477422278596</v>
      </c>
      <c r="J696" s="1">
        <v>2.6969163671231498E-6</v>
      </c>
      <c r="K696" s="1">
        <v>5.2113141518248299E-5</v>
      </c>
      <c r="L696" t="s">
        <v>26</v>
      </c>
      <c r="M696" t="s">
        <v>27</v>
      </c>
      <c r="N696">
        <v>401.00517809809298</v>
      </c>
      <c r="O696">
        <v>500.70896004279098</v>
      </c>
      <c r="P696">
        <v>326.22734163956898</v>
      </c>
      <c r="Q696">
        <v>538.41839198753598</v>
      </c>
      <c r="R696">
        <v>524.88880394238902</v>
      </c>
      <c r="S696">
        <v>438.81968419844702</v>
      </c>
      <c r="T696">
        <v>302.47501122836297</v>
      </c>
      <c r="U696">
        <v>353.307363071113</v>
      </c>
      <c r="V696">
        <v>335.458052491209</v>
      </c>
      <c r="W696">
        <v>313.66893976759098</v>
      </c>
    </row>
    <row r="697" spans="1:23" x14ac:dyDescent="0.2">
      <c r="A697" t="s">
        <v>1409</v>
      </c>
      <c r="B697" s="3" t="str">
        <f>HYPERLINK("http://www.ncbi.nlm.nih.gov/gene/13371","Dio2")</f>
        <v>Dio2</v>
      </c>
      <c r="C697">
        <v>13371</v>
      </c>
      <c r="D697" t="s">
        <v>1410</v>
      </c>
      <c r="E697" s="3" t="str">
        <f>HYPERLINK("http://genome.ucsc.edu/cgi-bin/hgTracks?db=mm10&amp;lastVirtModeType=default&amp;lastVirtModeExtraState=&amp;virtModeType=default&amp;virtMode=0&amp;nonVirtPosition=&amp;position=chr12:90724551-90739037","chr12:90724551-90739037")</f>
        <v>chr12:90724551-90739037</v>
      </c>
      <c r="F697" t="s">
        <v>25</v>
      </c>
      <c r="G697">
        <v>-1.3928532099421</v>
      </c>
      <c r="H697">
        <v>0.29688548235867102</v>
      </c>
      <c r="I697">
        <v>-4.6915504216517299</v>
      </c>
      <c r="J697" s="1">
        <v>2.7114242874651699E-6</v>
      </c>
      <c r="K697" s="1">
        <v>5.2317986503524602E-5</v>
      </c>
      <c r="L697" t="s">
        <v>26</v>
      </c>
      <c r="M697" t="s">
        <v>27</v>
      </c>
      <c r="N697">
        <v>40.0171273336342</v>
      </c>
      <c r="O697">
        <v>63.463116456545002</v>
      </c>
      <c r="P697">
        <v>22.432635491451101</v>
      </c>
      <c r="Q697">
        <v>82.962089354853006</v>
      </c>
      <c r="R697">
        <v>58.784512002218399</v>
      </c>
      <c r="S697">
        <v>48.6427480125637</v>
      </c>
      <c r="T697">
        <v>36.663637724650101</v>
      </c>
      <c r="U697">
        <v>19.2713107129698</v>
      </c>
      <c r="V697">
        <v>14.7130724776846</v>
      </c>
      <c r="W697">
        <v>19.0825210504998</v>
      </c>
    </row>
    <row r="698" spans="1:23" x14ac:dyDescent="0.2">
      <c r="A698" t="s">
        <v>1411</v>
      </c>
      <c r="B698" s="3" t="str">
        <f>HYPERLINK("http://www.ncbi.nlm.nih.gov/gene/52882","Rgs7bp")</f>
        <v>Rgs7bp</v>
      </c>
      <c r="C698">
        <v>52882</v>
      </c>
      <c r="D698" t="s">
        <v>1412</v>
      </c>
      <c r="E698" s="3" t="str">
        <f>HYPERLINK("http://genome.ucsc.edu/cgi-bin/hgTracks?db=mm10&amp;lastVirtModeType=default&amp;lastVirtModeExtraState=&amp;virtModeType=default&amp;virtMode=0&amp;nonVirtPosition=&amp;position=chr13:104947152-105054930","chr13:104947152-105054930")</f>
        <v>chr13:104947152-105054930</v>
      </c>
      <c r="F698" t="s">
        <v>25</v>
      </c>
      <c r="G698">
        <v>-0.73419446768604102</v>
      </c>
      <c r="H698">
        <v>0.156541496829675</v>
      </c>
      <c r="I698">
        <v>-4.6900948474057396</v>
      </c>
      <c r="J698" s="1">
        <v>2.7307843644583098E-6</v>
      </c>
      <c r="K698" s="1">
        <v>5.2615731545987399E-5</v>
      </c>
      <c r="L698" t="s">
        <v>26</v>
      </c>
      <c r="M698" t="s">
        <v>27</v>
      </c>
      <c r="N698">
        <v>419.02929555654401</v>
      </c>
      <c r="O698">
        <v>545.11673249135799</v>
      </c>
      <c r="P698">
        <v>324.46371785543403</v>
      </c>
      <c r="Q698">
        <v>499.442913767135</v>
      </c>
      <c r="R698">
        <v>668.62641716071698</v>
      </c>
      <c r="S698">
        <v>467.28086654622302</v>
      </c>
      <c r="T698">
        <v>357.47046781533902</v>
      </c>
      <c r="U698">
        <v>314.76474164517401</v>
      </c>
      <c r="V698">
        <v>286.90491331484998</v>
      </c>
      <c r="W698">
        <v>338.71474864637202</v>
      </c>
    </row>
    <row r="699" spans="1:23" x14ac:dyDescent="0.2">
      <c r="A699" t="s">
        <v>1413</v>
      </c>
      <c r="B699" s="3" t="str">
        <f>HYPERLINK("http://www.ncbi.nlm.nih.gov/gene/67712","Slc25a37")</f>
        <v>Slc25a37</v>
      </c>
      <c r="C699">
        <v>67712</v>
      </c>
      <c r="D699" t="s">
        <v>1414</v>
      </c>
      <c r="E699" s="3" t="str">
        <f>HYPERLINK("http://genome.ucsc.edu/cgi-bin/hgTracks?db=mm10&amp;lastVirtModeType=default&amp;lastVirtModeExtraState=&amp;virtModeType=default&amp;virtMode=0&amp;nonVirtPosition=&amp;position=chr14:69241850-69285103","chr14:69241850-69285103")</f>
        <v>chr14:69241850-69285103</v>
      </c>
      <c r="F699" t="s">
        <v>25</v>
      </c>
      <c r="G699">
        <v>0.80495513704376997</v>
      </c>
      <c r="H699">
        <v>0.17170223751146901</v>
      </c>
      <c r="I699">
        <v>4.6880876377048004</v>
      </c>
      <c r="J699" s="1">
        <v>2.7576992617811E-6</v>
      </c>
      <c r="K699" s="1">
        <v>5.30520889566111E-5</v>
      </c>
      <c r="L699" t="s">
        <v>26</v>
      </c>
      <c r="M699" t="s">
        <v>27</v>
      </c>
      <c r="N699">
        <v>130.58154975537599</v>
      </c>
      <c r="O699">
        <v>91.005440439638605</v>
      </c>
      <c r="P699">
        <v>160.263631742179</v>
      </c>
      <c r="Q699">
        <v>77.394163894795795</v>
      </c>
      <c r="R699">
        <v>87.987140545255997</v>
      </c>
      <c r="S699">
        <v>107.63501687886399</v>
      </c>
      <c r="T699">
        <v>137.48864146743799</v>
      </c>
      <c r="U699">
        <v>160.59425594141501</v>
      </c>
      <c r="V699">
        <v>173.61425523667799</v>
      </c>
      <c r="W699">
        <v>169.35737432318601</v>
      </c>
    </row>
    <row r="700" spans="1:23" x14ac:dyDescent="0.2">
      <c r="A700" t="s">
        <v>1415</v>
      </c>
      <c r="B700" s="3" t="str">
        <f>HYPERLINK("http://www.ncbi.nlm.nih.gov/gene/215493","A3galt2")</f>
        <v>A3galt2</v>
      </c>
      <c r="C700">
        <v>215493</v>
      </c>
      <c r="D700" t="s">
        <v>1416</v>
      </c>
      <c r="E700" s="3" t="str">
        <f>HYPERLINK("http://genome.ucsc.edu/cgi-bin/hgTracks?db=mm10&amp;lastVirtModeType=default&amp;lastVirtModeExtraState=&amp;virtModeType=default&amp;virtMode=0&amp;nonVirtPosition=&amp;position=chr4:128759257-128769298","chr4:128759257-128769298")</f>
        <v>chr4:128759257-128769298</v>
      </c>
      <c r="F700" t="s">
        <v>30</v>
      </c>
      <c r="G700">
        <v>1.6886244397951</v>
      </c>
      <c r="H700">
        <v>0.36021556246234698</v>
      </c>
      <c r="I700">
        <v>4.6878164514938403</v>
      </c>
      <c r="J700" s="1">
        <v>2.76135508944499E-6</v>
      </c>
      <c r="K700" s="1">
        <v>5.30520889566111E-5</v>
      </c>
      <c r="L700" t="s">
        <v>26</v>
      </c>
      <c r="M700" t="s">
        <v>27</v>
      </c>
      <c r="N700">
        <v>12.5752813945053</v>
      </c>
      <c r="O700">
        <v>3.68541954859377</v>
      </c>
      <c r="P700">
        <v>19.242677778938901</v>
      </c>
      <c r="Q700">
        <v>2.2271701840229001</v>
      </c>
      <c r="R700">
        <v>4.1718040775767902</v>
      </c>
      <c r="S700">
        <v>4.6572843841816303</v>
      </c>
      <c r="T700">
        <v>18.3318188623251</v>
      </c>
      <c r="U700">
        <v>17.130053967084301</v>
      </c>
      <c r="V700">
        <v>17.655686973221499</v>
      </c>
      <c r="W700">
        <v>23.853151313124801</v>
      </c>
    </row>
    <row r="701" spans="1:23" x14ac:dyDescent="0.2">
      <c r="A701" t="s">
        <v>1417</v>
      </c>
      <c r="B701" s="3" t="str">
        <f>HYPERLINK("http://www.ncbi.nlm.nih.gov/gene/111241","Hmga1-rs1")</f>
        <v>Hmga1-rs1</v>
      </c>
      <c r="C701">
        <v>111241</v>
      </c>
      <c r="D701" t="s">
        <v>1418</v>
      </c>
      <c r="E701" s="3" t="str">
        <f>HYPERLINK("http://genome.ucsc.edu/cgi-bin/hgTracks?db=mm10&amp;lastVirtModeType=default&amp;lastVirtModeExtraState=&amp;virtModeType=default&amp;virtMode=0&amp;nonVirtPosition=&amp;position=chr17:27556652-27563671","chr17:27556652-27563671")</f>
        <v>chr17:27556652-27563671</v>
      </c>
      <c r="F701" t="s">
        <v>30</v>
      </c>
      <c r="G701">
        <v>-1.87523867786091</v>
      </c>
      <c r="H701">
        <v>0.400138829739419</v>
      </c>
      <c r="I701">
        <v>-4.6864701410810801</v>
      </c>
      <c r="J701" s="1">
        <v>2.7795734967315798E-6</v>
      </c>
      <c r="K701" s="1">
        <v>5.3325599849187102E-5</v>
      </c>
      <c r="L701" t="s">
        <v>26</v>
      </c>
      <c r="M701" t="s">
        <v>27</v>
      </c>
      <c r="N701">
        <v>14.1248394082257</v>
      </c>
      <c r="O701">
        <v>31.132901600050801</v>
      </c>
      <c r="P701">
        <v>1.3687927643568301</v>
      </c>
      <c r="Q701">
        <v>7.2383030980744296</v>
      </c>
      <c r="R701">
        <v>27.685608878464201</v>
      </c>
      <c r="S701">
        <v>58.474792823613797</v>
      </c>
      <c r="T701">
        <v>0</v>
      </c>
      <c r="U701">
        <v>4.2825134917710699</v>
      </c>
      <c r="V701">
        <v>0</v>
      </c>
      <c r="W701">
        <v>1.1926575656562399</v>
      </c>
    </row>
    <row r="702" spans="1:23" x14ac:dyDescent="0.2">
      <c r="A702" t="s">
        <v>1419</v>
      </c>
      <c r="B702" s="3" t="str">
        <f>HYPERLINK("http://www.ncbi.nlm.nih.gov/gene/12499","Entpd5")</f>
        <v>Entpd5</v>
      </c>
      <c r="C702">
        <v>12499</v>
      </c>
      <c r="D702" t="s">
        <v>1420</v>
      </c>
      <c r="E702" s="3" t="str">
        <f>HYPERLINK("http://genome.ucsc.edu/cgi-bin/hgTracks?db=mm10&amp;lastVirtModeType=default&amp;lastVirtModeExtraState=&amp;virtModeType=default&amp;virtMode=0&amp;nonVirtPosition=&amp;position=chr12:84373875-84409029","chr12:84373875-84409029")</f>
        <v>chr12:84373875-84409029</v>
      </c>
      <c r="F702" t="s">
        <v>25</v>
      </c>
      <c r="G702">
        <v>-0.88672156779132405</v>
      </c>
      <c r="H702">
        <v>0.189439453159507</v>
      </c>
      <c r="I702">
        <v>-4.6807650307389199</v>
      </c>
      <c r="J702" s="1">
        <v>2.8580636418760802E-6</v>
      </c>
      <c r="K702" s="1">
        <v>5.4752976006241098E-5</v>
      </c>
      <c r="L702" t="s">
        <v>26</v>
      </c>
      <c r="M702" t="s">
        <v>27</v>
      </c>
      <c r="N702">
        <v>216.13463708005199</v>
      </c>
      <c r="O702">
        <v>299.74370529690901</v>
      </c>
      <c r="P702">
        <v>153.427835917409</v>
      </c>
      <c r="Q702">
        <v>379.73251637590403</v>
      </c>
      <c r="R702">
        <v>251.44600940303701</v>
      </c>
      <c r="S702">
        <v>268.05259011178703</v>
      </c>
      <c r="T702">
        <v>137.48864146743799</v>
      </c>
      <c r="U702">
        <v>158.45299919553</v>
      </c>
      <c r="V702">
        <v>185.38471321882599</v>
      </c>
      <c r="W702">
        <v>132.38498978784301</v>
      </c>
    </row>
    <row r="703" spans="1:23" x14ac:dyDescent="0.2">
      <c r="A703" t="s">
        <v>1421</v>
      </c>
      <c r="B703" s="3" t="str">
        <f>HYPERLINK("http://www.ncbi.nlm.nih.gov/gene/13871","Ercc2")</f>
        <v>Ercc2</v>
      </c>
      <c r="C703">
        <v>13871</v>
      </c>
      <c r="D703" t="s">
        <v>1422</v>
      </c>
      <c r="E703" s="3" t="str">
        <f>HYPERLINK("http://genome.ucsc.edu/cgi-bin/hgTracks?db=mm10&amp;lastVirtModeType=default&amp;lastVirtModeExtraState=&amp;virtModeType=default&amp;virtMode=0&amp;nonVirtPosition=&amp;position=chr7:19382038-19395692","chr7:19382038-19395692")</f>
        <v>chr7:19382038-19395692</v>
      </c>
      <c r="F703" t="s">
        <v>30</v>
      </c>
      <c r="G703">
        <v>0.70612572260783402</v>
      </c>
      <c r="H703">
        <v>0.15094368503501199</v>
      </c>
      <c r="I703">
        <v>4.6780739614515596</v>
      </c>
      <c r="J703" s="1">
        <v>2.8958210130624202E-6</v>
      </c>
      <c r="K703" s="1">
        <v>5.5397055979884002E-5</v>
      </c>
      <c r="L703" t="s">
        <v>26</v>
      </c>
      <c r="M703" t="s">
        <v>27</v>
      </c>
      <c r="N703">
        <v>147.83311220595499</v>
      </c>
      <c r="O703">
        <v>107.760999312439</v>
      </c>
      <c r="P703">
        <v>177.88719687609199</v>
      </c>
      <c r="Q703">
        <v>114.142471931174</v>
      </c>
      <c r="R703">
        <v>96.330748700409501</v>
      </c>
      <c r="S703">
        <v>112.80977730573299</v>
      </c>
      <c r="T703">
        <v>164.98636976092499</v>
      </c>
      <c r="U703">
        <v>190.571850383813</v>
      </c>
      <c r="V703">
        <v>169.93598711725701</v>
      </c>
      <c r="W703">
        <v>186.05458024237299</v>
      </c>
    </row>
    <row r="704" spans="1:23" x14ac:dyDescent="0.2">
      <c r="A704" t="s">
        <v>1423</v>
      </c>
      <c r="B704" s="3" t="str">
        <f>HYPERLINK("http://www.ncbi.nlm.nih.gov/gene/108682","Gpt2")</f>
        <v>Gpt2</v>
      </c>
      <c r="C704">
        <v>108682</v>
      </c>
      <c r="D704" t="s">
        <v>1424</v>
      </c>
      <c r="E704" s="3" t="str">
        <f>HYPERLINK("http://genome.ucsc.edu/cgi-bin/hgTracks?db=mm10&amp;lastVirtModeType=default&amp;lastVirtModeExtraState=&amp;virtModeType=default&amp;virtMode=0&amp;nonVirtPosition=&amp;position=chr8:85492616-85527558","chr8:85492616-85527558")</f>
        <v>chr8:85492616-85527558</v>
      </c>
      <c r="F704" t="s">
        <v>30</v>
      </c>
      <c r="G704">
        <v>-1.0029964354672301</v>
      </c>
      <c r="H704">
        <v>0.21443093735097299</v>
      </c>
      <c r="I704">
        <v>-4.6774800682121596</v>
      </c>
      <c r="J704" s="1">
        <v>2.90421793249639E-6</v>
      </c>
      <c r="K704" s="1">
        <v>5.5478434142737798E-5</v>
      </c>
      <c r="L704" t="s">
        <v>26</v>
      </c>
      <c r="M704" t="s">
        <v>27</v>
      </c>
      <c r="N704">
        <v>1223.66224398398</v>
      </c>
      <c r="O704">
        <v>1753.69283827205</v>
      </c>
      <c r="P704">
        <v>826.13929826791605</v>
      </c>
      <c r="Q704">
        <v>2608.5730780368199</v>
      </c>
      <c r="R704">
        <v>1278.08906740307</v>
      </c>
      <c r="S704">
        <v>1374.41636937627</v>
      </c>
      <c r="T704">
        <v>907.42503368509006</v>
      </c>
      <c r="U704">
        <v>732.30980709285302</v>
      </c>
      <c r="V704">
        <v>852.62255008182296</v>
      </c>
      <c r="W704">
        <v>812.19980221189905</v>
      </c>
    </row>
    <row r="705" spans="1:23" x14ac:dyDescent="0.2">
      <c r="A705" t="s">
        <v>1425</v>
      </c>
      <c r="B705" s="3" t="str">
        <f>HYPERLINK("http://www.ncbi.nlm.nih.gov/gene/18160","Npr1")</f>
        <v>Npr1</v>
      </c>
      <c r="C705">
        <v>18160</v>
      </c>
      <c r="D705" t="s">
        <v>1426</v>
      </c>
      <c r="E705" s="3" t="str">
        <f>HYPERLINK("http://genome.ucsc.edu/cgi-bin/hgTracks?db=mm10&amp;lastVirtModeType=default&amp;lastVirtModeExtraState=&amp;virtModeType=default&amp;virtMode=0&amp;nonVirtPosition=&amp;position=chr3:90450591-90465866","chr3:90450591-90465866")</f>
        <v>chr3:90450591-90465866</v>
      </c>
      <c r="F705" t="s">
        <v>25</v>
      </c>
      <c r="G705">
        <v>-1.27115778571788</v>
      </c>
      <c r="H705">
        <v>0.27191312875377699</v>
      </c>
      <c r="I705">
        <v>-4.67486726935108</v>
      </c>
      <c r="J705" s="1">
        <v>2.9414379625164701E-6</v>
      </c>
      <c r="K705" s="1">
        <v>5.6109395663900299E-5</v>
      </c>
      <c r="L705" t="s">
        <v>26</v>
      </c>
      <c r="M705" t="s">
        <v>27</v>
      </c>
      <c r="N705">
        <v>121.381016159018</v>
      </c>
      <c r="O705">
        <v>192.58045614494901</v>
      </c>
      <c r="P705">
        <v>67.981436169569903</v>
      </c>
      <c r="Q705">
        <v>142.53889177746601</v>
      </c>
      <c r="R705">
        <v>221.48487102771301</v>
      </c>
      <c r="S705">
        <v>213.71760562966799</v>
      </c>
      <c r="T705">
        <v>27.497728293487601</v>
      </c>
      <c r="U705">
        <v>124.192891261361</v>
      </c>
      <c r="V705">
        <v>61.7949044062753</v>
      </c>
      <c r="W705">
        <v>58.440220717155803</v>
      </c>
    </row>
    <row r="706" spans="1:23" x14ac:dyDescent="0.2">
      <c r="A706" t="s">
        <v>1427</v>
      </c>
      <c r="B706" s="3" t="str">
        <f>HYPERLINK("http://www.ncbi.nlm.nih.gov/gene/19122","Prnp")</f>
        <v>Prnp</v>
      </c>
      <c r="C706">
        <v>19122</v>
      </c>
      <c r="D706" t="s">
        <v>1428</v>
      </c>
      <c r="E706" s="3" t="str">
        <f>HYPERLINK("http://genome.ucsc.edu/cgi-bin/hgTracks?db=mm10&amp;lastVirtModeType=default&amp;lastVirtModeExtraState=&amp;virtModeType=default&amp;virtMode=0&amp;nonVirtPosition=&amp;position=chr2:131909927-131938436","chr2:131909927-131938436")</f>
        <v>chr2:131909927-131938436</v>
      </c>
      <c r="F706" t="s">
        <v>30</v>
      </c>
      <c r="G706">
        <v>-0.64075113653487603</v>
      </c>
      <c r="H706">
        <v>0.137087117915662</v>
      </c>
      <c r="I706">
        <v>-4.67404338406965</v>
      </c>
      <c r="J706" s="1">
        <v>2.9532690371553399E-6</v>
      </c>
      <c r="K706" s="1">
        <v>5.62549440633671E-5</v>
      </c>
      <c r="L706" t="s">
        <v>26</v>
      </c>
      <c r="M706" t="s">
        <v>27</v>
      </c>
      <c r="N706">
        <v>1036.1424801191599</v>
      </c>
      <c r="O706">
        <v>1317.44489090304</v>
      </c>
      <c r="P706">
        <v>825.16567203124998</v>
      </c>
      <c r="Q706">
        <v>1471.60269909313</v>
      </c>
      <c r="R706">
        <v>1287.9496952228001</v>
      </c>
      <c r="S706">
        <v>1192.7822783931799</v>
      </c>
      <c r="T706">
        <v>710.35798091509605</v>
      </c>
      <c r="U706">
        <v>745.15734756816596</v>
      </c>
      <c r="V706">
        <v>913.68180086421398</v>
      </c>
      <c r="W706">
        <v>931.46555877752303</v>
      </c>
    </row>
    <row r="707" spans="1:23" x14ac:dyDescent="0.2">
      <c r="A707" t="s">
        <v>1429</v>
      </c>
      <c r="B707" s="3" t="str">
        <f>HYPERLINK("http://www.ncbi.nlm.nih.gov/gene/74343","Crtc2")</f>
        <v>Crtc2</v>
      </c>
      <c r="C707">
        <v>74343</v>
      </c>
      <c r="D707" t="s">
        <v>1430</v>
      </c>
      <c r="E707" s="3" t="str">
        <f>HYPERLINK("http://genome.ucsc.edu/cgi-bin/hgTracks?db=mm10&amp;lastVirtModeType=default&amp;lastVirtModeExtraState=&amp;virtModeType=default&amp;virtMode=0&amp;nonVirtPosition=&amp;position=chr3:90254280-90264125","chr3:90254280-90264125")</f>
        <v>chr3:90254280-90264125</v>
      </c>
      <c r="F707" t="s">
        <v>30</v>
      </c>
      <c r="G707">
        <v>0.91801316984269099</v>
      </c>
      <c r="H707">
        <v>0.19643570038038499</v>
      </c>
      <c r="I707">
        <v>4.6733519826844896</v>
      </c>
      <c r="J707" s="1">
        <v>2.9632328504037402E-6</v>
      </c>
      <c r="K707" s="1">
        <v>5.63645612212451E-5</v>
      </c>
      <c r="L707" t="s">
        <v>26</v>
      </c>
      <c r="M707" t="s">
        <v>27</v>
      </c>
      <c r="N707">
        <v>94.852290514221707</v>
      </c>
      <c r="O707">
        <v>61.377923538719301</v>
      </c>
      <c r="P707">
        <v>119.958065745849</v>
      </c>
      <c r="Q707">
        <v>53.452084416549603</v>
      </c>
      <c r="R707">
        <v>54.612707924641597</v>
      </c>
      <c r="S707">
        <v>76.068978274966597</v>
      </c>
      <c r="T707">
        <v>105.407958458369</v>
      </c>
      <c r="U707">
        <v>139.18168848255999</v>
      </c>
      <c r="V707">
        <v>124.325462436435</v>
      </c>
      <c r="W707">
        <v>110.91715360603</v>
      </c>
    </row>
    <row r="708" spans="1:23" x14ac:dyDescent="0.2">
      <c r="A708" t="s">
        <v>1431</v>
      </c>
      <c r="B708" s="3" t="str">
        <f>HYPERLINK("http://www.ncbi.nlm.nih.gov/gene/66196","Myo19")</f>
        <v>Myo19</v>
      </c>
      <c r="C708">
        <v>66196</v>
      </c>
      <c r="D708" t="s">
        <v>1432</v>
      </c>
      <c r="E708" s="3" t="str">
        <f>HYPERLINK("http://genome.ucsc.edu/cgi-bin/hgTracks?db=mm10&amp;lastVirtModeType=default&amp;lastVirtModeExtraState=&amp;virtModeType=default&amp;virtMode=0&amp;nonVirtPosition=&amp;position=chr11:84880219-84911131","chr11:84880219-84911131")</f>
        <v>chr11:84880219-84911131</v>
      </c>
      <c r="F708" t="s">
        <v>30</v>
      </c>
      <c r="G708">
        <v>0.92002301306813405</v>
      </c>
      <c r="H708">
        <v>0.196883460908719</v>
      </c>
      <c r="I708">
        <v>4.6729319406604999</v>
      </c>
      <c r="J708" s="1">
        <v>2.9693018327981701E-6</v>
      </c>
      <c r="K708" s="1">
        <v>5.6399887720567797E-5</v>
      </c>
      <c r="L708" t="s">
        <v>26</v>
      </c>
      <c r="M708" t="s">
        <v>27</v>
      </c>
      <c r="N708">
        <v>82.132299302527599</v>
      </c>
      <c r="O708">
        <v>51.785853643134601</v>
      </c>
      <c r="P708">
        <v>104.89213354707201</v>
      </c>
      <c r="Q708">
        <v>48.440951502498102</v>
      </c>
      <c r="R708">
        <v>47.406864517918102</v>
      </c>
      <c r="S708">
        <v>59.5097449089875</v>
      </c>
      <c r="T708">
        <v>114.573867889532</v>
      </c>
      <c r="U708">
        <v>119.91037776959</v>
      </c>
      <c r="V708">
        <v>95.634971104949898</v>
      </c>
      <c r="W708">
        <v>89.449317424217995</v>
      </c>
    </row>
    <row r="709" spans="1:23" x14ac:dyDescent="0.2">
      <c r="A709" t="s">
        <v>1433</v>
      </c>
      <c r="B709" s="3" t="str">
        <f>HYPERLINK("http://www.ncbi.nlm.nih.gov/gene/52633","Nit2")</f>
        <v>Nit2</v>
      </c>
      <c r="C709">
        <v>52633</v>
      </c>
      <c r="D709" t="s">
        <v>1434</v>
      </c>
      <c r="E709" s="3" t="str">
        <f>HYPERLINK("http://genome.ucsc.edu/cgi-bin/hgTracks?db=mm10&amp;lastVirtModeType=default&amp;lastVirtModeExtraState=&amp;virtModeType=default&amp;virtMode=0&amp;nonVirtPosition=&amp;position=chr16:57156664-57167332","chr16:57156664-57167332")</f>
        <v>chr16:57156664-57167332</v>
      </c>
      <c r="F709" t="s">
        <v>25</v>
      </c>
      <c r="G709">
        <v>-0.88528354527282305</v>
      </c>
      <c r="H709">
        <v>0.189590212211456</v>
      </c>
      <c r="I709">
        <v>-4.6694580640346404</v>
      </c>
      <c r="J709" s="1">
        <v>3.0199533635706802E-6</v>
      </c>
      <c r="K709" s="1">
        <v>5.72807301580383E-5</v>
      </c>
      <c r="L709" t="s">
        <v>26</v>
      </c>
      <c r="M709" t="s">
        <v>27</v>
      </c>
      <c r="N709">
        <v>81.805080070609094</v>
      </c>
      <c r="O709">
        <v>113.167850325828</v>
      </c>
      <c r="P709">
        <v>58.283002379195203</v>
      </c>
      <c r="Q709">
        <v>104.120206103071</v>
      </c>
      <c r="R709">
        <v>113.776474843003</v>
      </c>
      <c r="S709">
        <v>121.606870031409</v>
      </c>
      <c r="T709">
        <v>59.578411302556397</v>
      </c>
      <c r="U709">
        <v>51.390161901252803</v>
      </c>
      <c r="V709">
        <v>62.530558030159597</v>
      </c>
      <c r="W709">
        <v>59.632878282812001</v>
      </c>
    </row>
    <row r="710" spans="1:23" x14ac:dyDescent="0.2">
      <c r="A710" t="s">
        <v>1435</v>
      </c>
      <c r="B710" s="3" t="str">
        <f>HYPERLINK("http://www.ncbi.nlm.nih.gov/gene/77994","Mir99ahg")</f>
        <v>Mir99ahg</v>
      </c>
      <c r="C710">
        <v>77994</v>
      </c>
      <c r="D710" t="s">
        <v>1436</v>
      </c>
      <c r="E710" s="3" t="str">
        <f>HYPERLINK("http://genome.ucsc.edu/cgi-bin/hgTracks?db=mm10&amp;lastVirtModeType=default&amp;lastVirtModeExtraState=&amp;virtModeType=default&amp;virtMode=0&amp;nonVirtPosition=&amp;position=chr16:77329327-77558428","chr16:77329327-77558428")</f>
        <v>chr16:77329327-77558428</v>
      </c>
      <c r="F710" t="s">
        <v>30</v>
      </c>
      <c r="G710">
        <v>0.76033080634419403</v>
      </c>
      <c r="H710">
        <v>0.16294882976561201</v>
      </c>
      <c r="I710">
        <v>4.66607098337475</v>
      </c>
      <c r="J710" s="1">
        <v>3.0701367842085701E-6</v>
      </c>
      <c r="K710" s="1">
        <v>5.8077151148274398E-5</v>
      </c>
      <c r="L710" t="s">
        <v>26</v>
      </c>
      <c r="M710" t="s">
        <v>27</v>
      </c>
      <c r="N710">
        <v>194.05109927482201</v>
      </c>
      <c r="O710">
        <v>136.42282411682001</v>
      </c>
      <c r="P710">
        <v>237.27230564332399</v>
      </c>
      <c r="Q710">
        <v>148.66360978352901</v>
      </c>
      <c r="R710">
        <v>108.466906016997</v>
      </c>
      <c r="S710">
        <v>152.13795654993299</v>
      </c>
      <c r="T710">
        <v>256.64546407255102</v>
      </c>
      <c r="U710">
        <v>229.11447180975199</v>
      </c>
      <c r="V710">
        <v>248.65092487287001</v>
      </c>
      <c r="W710">
        <v>214.67836181812299</v>
      </c>
    </row>
    <row r="711" spans="1:23" x14ac:dyDescent="0.2">
      <c r="A711" t="s">
        <v>1437</v>
      </c>
      <c r="B711" s="3" t="str">
        <f>HYPERLINK("http://www.ncbi.nlm.nih.gov/gene/14661","Glud1")</f>
        <v>Glud1</v>
      </c>
      <c r="C711">
        <v>14661</v>
      </c>
      <c r="D711" t="s">
        <v>1438</v>
      </c>
      <c r="E711" s="3" t="str">
        <f>HYPERLINK("http://genome.ucsc.edu/cgi-bin/hgTracks?db=mm10&amp;lastVirtModeType=default&amp;lastVirtModeExtraState=&amp;virtModeType=default&amp;virtMode=0&amp;nonVirtPosition=&amp;position=chr14:34310726-34345033","chr14:34310726-34345033")</f>
        <v>chr14:34310726-34345033</v>
      </c>
      <c r="F711" t="s">
        <v>30</v>
      </c>
      <c r="G711">
        <v>-0.49999110997547802</v>
      </c>
      <c r="H711">
        <v>0.107159545163886</v>
      </c>
      <c r="I711">
        <v>-4.6658569631926801</v>
      </c>
      <c r="J711" s="1">
        <v>3.0733344604943699E-6</v>
      </c>
      <c r="K711" s="1">
        <v>5.8077151148274398E-5</v>
      </c>
      <c r="L711" t="s">
        <v>26</v>
      </c>
      <c r="M711" t="s">
        <v>27</v>
      </c>
      <c r="N711">
        <v>738.975806048815</v>
      </c>
      <c r="O711">
        <v>888.71070226075403</v>
      </c>
      <c r="P711">
        <v>626.67463388986005</v>
      </c>
      <c r="Q711">
        <v>886.97052578711998</v>
      </c>
      <c r="R711">
        <v>961.03195750723501</v>
      </c>
      <c r="S711">
        <v>818.12962348790597</v>
      </c>
      <c r="T711">
        <v>632.44775075021403</v>
      </c>
      <c r="U711">
        <v>655.22456424097402</v>
      </c>
      <c r="V711">
        <v>608.38554695225798</v>
      </c>
      <c r="W711">
        <v>610.64067361599496</v>
      </c>
    </row>
    <row r="712" spans="1:23" x14ac:dyDescent="0.2">
      <c r="A712" t="s">
        <v>1439</v>
      </c>
      <c r="B712" s="3" t="str">
        <f>HYPERLINK("http://www.ncbi.nlm.nih.gov/gene/19245","Ptp4a3")</f>
        <v>Ptp4a3</v>
      </c>
      <c r="C712">
        <v>19245</v>
      </c>
      <c r="D712" t="s">
        <v>1440</v>
      </c>
      <c r="E712" s="3" t="str">
        <f>HYPERLINK("http://genome.ucsc.edu/cgi-bin/hgTracks?db=mm10&amp;lastVirtModeType=default&amp;lastVirtModeExtraState=&amp;virtModeType=default&amp;virtMode=0&amp;nonVirtPosition=&amp;position=chr15:73723144-73758766","chr15:73723144-73758766")</f>
        <v>chr15:73723144-73758766</v>
      </c>
      <c r="F712" t="s">
        <v>30</v>
      </c>
      <c r="G712">
        <v>0.73336709089998997</v>
      </c>
      <c r="H712">
        <v>0.15718100976257501</v>
      </c>
      <c r="I712">
        <v>4.6657486932279904</v>
      </c>
      <c r="J712" s="1">
        <v>3.07495333911781E-6</v>
      </c>
      <c r="K712" s="1">
        <v>5.8077151148274398E-5</v>
      </c>
      <c r="L712" t="s">
        <v>26</v>
      </c>
      <c r="M712" t="s">
        <v>27</v>
      </c>
      <c r="N712">
        <v>134.36180245218901</v>
      </c>
      <c r="O712">
        <v>96.796413676698293</v>
      </c>
      <c r="P712">
        <v>162.535844033807</v>
      </c>
      <c r="Q712">
        <v>92.427562636950398</v>
      </c>
      <c r="R712">
        <v>98.606278197269603</v>
      </c>
      <c r="S712">
        <v>99.355400195874793</v>
      </c>
      <c r="T712">
        <v>142.07159618301901</v>
      </c>
      <c r="U712">
        <v>186.289336892042</v>
      </c>
      <c r="V712">
        <v>175.085562484447</v>
      </c>
      <c r="W712">
        <v>146.69688057571801</v>
      </c>
    </row>
    <row r="713" spans="1:23" x14ac:dyDescent="0.2">
      <c r="A713" t="s">
        <v>1441</v>
      </c>
      <c r="B713" s="3" t="str">
        <f>HYPERLINK("http://www.ncbi.nlm.nih.gov/gene/12759","Clu")</f>
        <v>Clu</v>
      </c>
      <c r="C713">
        <v>12759</v>
      </c>
      <c r="D713" t="s">
        <v>1442</v>
      </c>
      <c r="E713" s="3" t="str">
        <f>HYPERLINK("http://genome.ucsc.edu/cgi-bin/hgTracks?db=mm10&amp;lastVirtModeType=default&amp;lastVirtModeExtraState=&amp;virtModeType=default&amp;virtMode=0&amp;nonVirtPosition=&amp;position=chr14:65968482-65981548","chr14:65968482-65981548")</f>
        <v>chr14:65968482-65981548</v>
      </c>
      <c r="F713" t="s">
        <v>30</v>
      </c>
      <c r="G713">
        <v>-1.1377955786467699</v>
      </c>
      <c r="H713">
        <v>0.243913167434441</v>
      </c>
      <c r="I713">
        <v>-4.6647566862194099</v>
      </c>
      <c r="J713" s="1">
        <v>3.08982419952311E-6</v>
      </c>
      <c r="K713" s="1">
        <v>5.8275825149033703E-5</v>
      </c>
      <c r="L713" t="s">
        <v>26</v>
      </c>
      <c r="M713" t="s">
        <v>27</v>
      </c>
      <c r="N713">
        <v>758.005630478635</v>
      </c>
      <c r="O713">
        <v>1141.6971501402099</v>
      </c>
      <c r="P713">
        <v>470.23699073245598</v>
      </c>
      <c r="Q713">
        <v>1711.02349387559</v>
      </c>
      <c r="R713">
        <v>895.42085701443705</v>
      </c>
      <c r="S713">
        <v>818.64709953059298</v>
      </c>
      <c r="T713">
        <v>329.972739521851</v>
      </c>
      <c r="U713">
        <v>471.076484094818</v>
      </c>
      <c r="V713">
        <v>431.09302359615901</v>
      </c>
      <c r="W713">
        <v>648.80571571699397</v>
      </c>
    </row>
    <row r="714" spans="1:23" x14ac:dyDescent="0.2">
      <c r="A714" t="s">
        <v>1443</v>
      </c>
      <c r="B714" s="3" t="str">
        <f>HYPERLINK("http://www.ncbi.nlm.nih.gov/gene/243538","Cfap100")</f>
        <v>Cfap100</v>
      </c>
      <c r="C714">
        <v>243538</v>
      </c>
      <c r="D714" t="s">
        <v>1444</v>
      </c>
      <c r="E714" s="3" t="str">
        <f>HYPERLINK("http://genome.ucsc.edu/cgi-bin/hgTracks?db=mm10&amp;lastVirtModeType=default&amp;lastVirtModeExtraState=&amp;virtModeType=default&amp;virtMode=0&amp;nonVirtPosition=&amp;position=chr6:90403735-90428480","chr6:90403735-90428480")</f>
        <v>chr6:90403735-90428480</v>
      </c>
      <c r="F714" t="s">
        <v>25</v>
      </c>
      <c r="G714">
        <v>1.4529748655036301</v>
      </c>
      <c r="H714">
        <v>0.31176528577582002</v>
      </c>
      <c r="I714">
        <v>4.6604767490002397</v>
      </c>
      <c r="J714" s="1">
        <v>3.1547779865575601E-6</v>
      </c>
      <c r="K714" s="1">
        <v>5.9417203963420898E-5</v>
      </c>
      <c r="L714" t="s">
        <v>26</v>
      </c>
      <c r="M714" t="s">
        <v>27</v>
      </c>
      <c r="N714">
        <v>37.238085841429402</v>
      </c>
      <c r="O714">
        <v>14.9948345610358</v>
      </c>
      <c r="P714">
        <v>53.920524301724598</v>
      </c>
      <c r="Q714">
        <v>16.7037763801717</v>
      </c>
      <c r="R714">
        <v>13.2739220650171</v>
      </c>
      <c r="S714">
        <v>15.0068052379186</v>
      </c>
      <c r="T714">
        <v>82.493184880462707</v>
      </c>
      <c r="U714">
        <v>23.553824204740899</v>
      </c>
      <c r="V714">
        <v>40.460949313632703</v>
      </c>
      <c r="W714">
        <v>69.174138808061898</v>
      </c>
    </row>
    <row r="715" spans="1:23" x14ac:dyDescent="0.2">
      <c r="A715" t="s">
        <v>1445</v>
      </c>
      <c r="B715" s="3" t="str">
        <f>HYPERLINK("http://www.ncbi.nlm.nih.gov/gene/15529","Sdc2")</f>
        <v>Sdc2</v>
      </c>
      <c r="C715">
        <v>15529</v>
      </c>
      <c r="D715" t="s">
        <v>1446</v>
      </c>
      <c r="E715" s="3" t="str">
        <f>HYPERLINK("http://genome.ucsc.edu/cgi-bin/hgTracks?db=mm10&amp;lastVirtModeType=default&amp;lastVirtModeExtraState=&amp;virtModeType=default&amp;virtMode=0&amp;nonVirtPosition=&amp;position=chr15:32920722-33034721","chr15:32920722-33034721")</f>
        <v>chr15:32920722-33034721</v>
      </c>
      <c r="F715" t="s">
        <v>30</v>
      </c>
      <c r="G715">
        <v>-0.91707557853320998</v>
      </c>
      <c r="H715">
        <v>0.196822087963194</v>
      </c>
      <c r="I715">
        <v>-4.6594139307408797</v>
      </c>
      <c r="J715" s="1">
        <v>3.1711095396668902E-6</v>
      </c>
      <c r="K715" s="1">
        <v>5.9640909895617102E-5</v>
      </c>
      <c r="L715" t="s">
        <v>26</v>
      </c>
      <c r="M715" t="s">
        <v>27</v>
      </c>
      <c r="N715">
        <v>247.51394794687101</v>
      </c>
      <c r="O715">
        <v>345.17868422993001</v>
      </c>
      <c r="P715">
        <v>174.265395734576</v>
      </c>
      <c r="Q715">
        <v>460.46743554673498</v>
      </c>
      <c r="R715">
        <v>320.47040414112598</v>
      </c>
      <c r="S715">
        <v>254.598213001929</v>
      </c>
      <c r="T715">
        <v>174.152279192088</v>
      </c>
      <c r="U715">
        <v>169.15928292495701</v>
      </c>
      <c r="V715">
        <v>192.741249457668</v>
      </c>
      <c r="W715">
        <v>161.00877136359199</v>
      </c>
    </row>
    <row r="716" spans="1:23" x14ac:dyDescent="0.2">
      <c r="A716" t="s">
        <v>1447</v>
      </c>
      <c r="B716" s="3" t="str">
        <f>HYPERLINK("http://www.ncbi.nlm.nih.gov/gene/237082","Nxt2")</f>
        <v>Nxt2</v>
      </c>
      <c r="C716">
        <v>237082</v>
      </c>
      <c r="D716" t="s">
        <v>1448</v>
      </c>
      <c r="E716" s="3" t="str">
        <f>HYPERLINK("http://genome.ucsc.edu/cgi-bin/hgTracks?db=mm10&amp;lastVirtModeType=default&amp;lastVirtModeExtraState=&amp;virtModeType=default&amp;virtMode=0&amp;nonVirtPosition=&amp;position=chrX:142228176-142239700","chrX:142228176-142239700")</f>
        <v>chrX:142228176-142239700</v>
      </c>
      <c r="F716" t="s">
        <v>30</v>
      </c>
      <c r="G716">
        <v>-1.07356108200631</v>
      </c>
      <c r="H716">
        <v>0.23064531684152401</v>
      </c>
      <c r="I716">
        <v>-4.6545973562686802</v>
      </c>
      <c r="J716" s="1">
        <v>3.2461442946496701E-6</v>
      </c>
      <c r="K716" s="1">
        <v>6.09665052589813E-5</v>
      </c>
      <c r="L716" t="s">
        <v>26</v>
      </c>
      <c r="M716" t="s">
        <v>27</v>
      </c>
      <c r="N716">
        <v>192.01516233873599</v>
      </c>
      <c r="O716">
        <v>285.017491406141</v>
      </c>
      <c r="P716">
        <v>122.263415538182</v>
      </c>
      <c r="Q716">
        <v>394.20912257205299</v>
      </c>
      <c r="R716">
        <v>264.71993146805499</v>
      </c>
      <c r="S716">
        <v>196.123420178315</v>
      </c>
      <c r="T716">
        <v>96.242049027206505</v>
      </c>
      <c r="U716">
        <v>111.345350786048</v>
      </c>
      <c r="V716">
        <v>157.42987551122499</v>
      </c>
      <c r="W716">
        <v>124.03638682824899</v>
      </c>
    </row>
    <row r="717" spans="1:23" x14ac:dyDescent="0.2">
      <c r="A717" t="s">
        <v>1449</v>
      </c>
      <c r="B717" s="3" t="str">
        <f>HYPERLINK("http://www.ncbi.nlm.nih.gov/gene/77832","Tchp")</f>
        <v>Tchp</v>
      </c>
      <c r="C717">
        <v>77832</v>
      </c>
      <c r="D717" t="s">
        <v>1450</v>
      </c>
      <c r="E717" s="3" t="str">
        <f>HYPERLINK("http://genome.ucsc.edu/cgi-bin/hgTracks?db=mm10&amp;lastVirtModeType=default&amp;lastVirtModeExtraState=&amp;virtModeType=default&amp;virtMode=0&amp;nonVirtPosition=&amp;position=chr5:114707778-114722327","chr5:114707778-114722327")</f>
        <v>chr5:114707778-114722327</v>
      </c>
      <c r="F717" t="s">
        <v>30</v>
      </c>
      <c r="G717">
        <v>0.90825020469259299</v>
      </c>
      <c r="H717">
        <v>0.19528744311994101</v>
      </c>
      <c r="I717">
        <v>4.6508377096973401</v>
      </c>
      <c r="J717" s="1">
        <v>3.30589411003676E-6</v>
      </c>
      <c r="K717" s="1">
        <v>6.2001719926473801E-5</v>
      </c>
      <c r="L717" t="s">
        <v>26</v>
      </c>
      <c r="M717" t="s">
        <v>27</v>
      </c>
      <c r="N717">
        <v>84.808600307465198</v>
      </c>
      <c r="O717">
        <v>54.352807588225602</v>
      </c>
      <c r="P717">
        <v>107.650444846895</v>
      </c>
      <c r="Q717">
        <v>46.213781318475199</v>
      </c>
      <c r="R717">
        <v>59.9222767506485</v>
      </c>
      <c r="S717">
        <v>56.922364695553199</v>
      </c>
      <c r="T717">
        <v>114.573867889532</v>
      </c>
      <c r="U717">
        <v>96.356553564849094</v>
      </c>
      <c r="V717">
        <v>95.634971104949898</v>
      </c>
      <c r="W717">
        <v>124.03638682824899</v>
      </c>
    </row>
    <row r="718" spans="1:23" x14ac:dyDescent="0.2">
      <c r="A718" t="s">
        <v>1451</v>
      </c>
      <c r="B718" s="3" t="str">
        <f>HYPERLINK("http://www.ncbi.nlm.nih.gov/gene/14423","Galnt1")</f>
        <v>Galnt1</v>
      </c>
      <c r="C718">
        <v>14423</v>
      </c>
      <c r="D718" t="s">
        <v>1452</v>
      </c>
      <c r="E718" s="3" t="str">
        <f>HYPERLINK("http://genome.ucsc.edu/cgi-bin/hgTracks?db=mm10&amp;lastVirtModeType=default&amp;lastVirtModeExtraState=&amp;virtModeType=default&amp;virtMode=0&amp;nonVirtPosition=&amp;position=chr18:24205343-24286816","chr18:24205343-24286816")</f>
        <v>chr18:24205343-24286816</v>
      </c>
      <c r="F718" t="s">
        <v>30</v>
      </c>
      <c r="G718">
        <v>-0.52376318514698705</v>
      </c>
      <c r="H718">
        <v>0.112661594571107</v>
      </c>
      <c r="I718">
        <v>-4.6489949582278598</v>
      </c>
      <c r="J718" s="1">
        <v>3.3355636516641901E-6</v>
      </c>
      <c r="K718" s="1">
        <v>6.2451197856444406E-5</v>
      </c>
      <c r="L718" t="s">
        <v>26</v>
      </c>
      <c r="M718" t="s">
        <v>27</v>
      </c>
      <c r="N718">
        <v>555.52433442627205</v>
      </c>
      <c r="O718">
        <v>675.81472453444496</v>
      </c>
      <c r="P718">
        <v>465.30654184514202</v>
      </c>
      <c r="Q718">
        <v>636.97067263054896</v>
      </c>
      <c r="R718">
        <v>664.45461308313998</v>
      </c>
      <c r="S718">
        <v>726.01888788964698</v>
      </c>
      <c r="T718">
        <v>472.04433570486998</v>
      </c>
      <c r="U718">
        <v>443.24014639830602</v>
      </c>
      <c r="V718">
        <v>504.65838598458203</v>
      </c>
      <c r="W718">
        <v>441.28329929280898</v>
      </c>
    </row>
    <row r="719" spans="1:23" x14ac:dyDescent="0.2">
      <c r="A719" t="s">
        <v>1453</v>
      </c>
      <c r="B719" s="3" t="str">
        <f>HYPERLINK("http://www.ncbi.nlm.nih.gov/gene/27357","Gyg")</f>
        <v>Gyg</v>
      </c>
      <c r="C719">
        <v>27357</v>
      </c>
      <c r="D719" t="s">
        <v>1454</v>
      </c>
      <c r="E719" s="3" t="str">
        <f>HYPERLINK("http://genome.ucsc.edu/cgi-bin/hgTracks?db=mm10&amp;lastVirtModeType=default&amp;lastVirtModeExtraState=&amp;virtModeType=default&amp;virtMode=0&amp;nonVirtPosition=&amp;position=chr3:20122083-20155116","chr3:20122083-20155116")</f>
        <v>chr3:20122083-20155116</v>
      </c>
      <c r="F719" t="s">
        <v>25</v>
      </c>
      <c r="G719">
        <v>-0.78207145484028895</v>
      </c>
      <c r="H719">
        <v>0.168231874522726</v>
      </c>
      <c r="I719">
        <v>-4.64877097196372</v>
      </c>
      <c r="J719" s="1">
        <v>3.33918733964709E-6</v>
      </c>
      <c r="K719" s="1">
        <v>6.2451197856444406E-5</v>
      </c>
      <c r="L719" t="s">
        <v>26</v>
      </c>
      <c r="M719" t="s">
        <v>27</v>
      </c>
      <c r="N719">
        <v>172.17680401825001</v>
      </c>
      <c r="O719">
        <v>226.40894463041101</v>
      </c>
      <c r="P719">
        <v>131.50269855912899</v>
      </c>
      <c r="Q719">
        <v>232.739284230393</v>
      </c>
      <c r="R719">
        <v>214.658282537133</v>
      </c>
      <c r="S719">
        <v>231.82926712370801</v>
      </c>
      <c r="T719">
        <v>174.152279192088</v>
      </c>
      <c r="U719">
        <v>87.791526581306996</v>
      </c>
      <c r="V719">
        <v>131.68199867527699</v>
      </c>
      <c r="W719">
        <v>132.38498978784301</v>
      </c>
    </row>
    <row r="720" spans="1:23" x14ac:dyDescent="0.2">
      <c r="A720" t="s">
        <v>1455</v>
      </c>
      <c r="B720" s="3" t="str">
        <f>HYPERLINK("http://www.ncbi.nlm.nih.gov/gene/80751","Rnf34")</f>
        <v>Rnf34</v>
      </c>
      <c r="C720">
        <v>80751</v>
      </c>
      <c r="D720" t="s">
        <v>1456</v>
      </c>
      <c r="E720" s="3" t="str">
        <f>HYPERLINK("http://genome.ucsc.edu/cgi-bin/hgTracks?db=mm10&amp;lastVirtModeType=default&amp;lastVirtModeExtraState=&amp;virtModeType=default&amp;virtMode=0&amp;nonVirtPosition=&amp;position=chr5:122850187-122868945","chr5:122850187-122868945")</f>
        <v>chr5:122850187-122868945</v>
      </c>
      <c r="F720" t="s">
        <v>30</v>
      </c>
      <c r="G720">
        <v>-0.737079753758481</v>
      </c>
      <c r="H720">
        <v>0.15860914025133999</v>
      </c>
      <c r="I720">
        <v>-4.6471455087043996</v>
      </c>
      <c r="J720" s="1">
        <v>3.3655977015482298E-6</v>
      </c>
      <c r="K720" s="1">
        <v>6.2857348425986506E-5</v>
      </c>
      <c r="L720" t="s">
        <v>26</v>
      </c>
      <c r="M720" t="s">
        <v>27</v>
      </c>
      <c r="N720">
        <v>164.925461625324</v>
      </c>
      <c r="O720">
        <v>214.10325177254001</v>
      </c>
      <c r="P720">
        <v>128.042119014913</v>
      </c>
      <c r="Q720">
        <v>221.603433310279</v>
      </c>
      <c r="R720">
        <v>232.86251851201399</v>
      </c>
      <c r="S720">
        <v>187.843803495326</v>
      </c>
      <c r="T720">
        <v>151.237505614182</v>
      </c>
      <c r="U720">
        <v>107.062837294277</v>
      </c>
      <c r="V720">
        <v>125.06111606031899</v>
      </c>
      <c r="W720">
        <v>128.80701709087401</v>
      </c>
    </row>
    <row r="721" spans="1:23" x14ac:dyDescent="0.2">
      <c r="A721" t="s">
        <v>1457</v>
      </c>
      <c r="B721" s="3" t="str">
        <f>HYPERLINK("http://www.ncbi.nlm.nih.gov/gene/214133","Tet2")</f>
        <v>Tet2</v>
      </c>
      <c r="C721">
        <v>214133</v>
      </c>
      <c r="D721" t="s">
        <v>1458</v>
      </c>
      <c r="E721" s="3" t="str">
        <f>HYPERLINK("http://genome.ucsc.edu/cgi-bin/hgTracks?db=mm10&amp;lastVirtModeType=default&amp;lastVirtModeExtraState=&amp;virtModeType=default&amp;virtMode=0&amp;nonVirtPosition=&amp;position=chr3:133463676-133544390","chr3:133463676-133544390")</f>
        <v>chr3:133463676-133544390</v>
      </c>
      <c r="F721" t="s">
        <v>25</v>
      </c>
      <c r="G721">
        <v>0.57375509057699603</v>
      </c>
      <c r="H721">
        <v>0.123487331840107</v>
      </c>
      <c r="I721">
        <v>4.6462668034637096</v>
      </c>
      <c r="J721" s="1">
        <v>3.3799581105457701E-6</v>
      </c>
      <c r="K721" s="1">
        <v>6.3037631000443506E-5</v>
      </c>
      <c r="L721" t="s">
        <v>26</v>
      </c>
      <c r="M721" t="s">
        <v>27</v>
      </c>
      <c r="N721">
        <v>565.91689869258801</v>
      </c>
      <c r="O721">
        <v>439.16830056359498</v>
      </c>
      <c r="P721">
        <v>660.97834728933196</v>
      </c>
      <c r="Q721">
        <v>459.35385045472299</v>
      </c>
      <c r="R721">
        <v>397.07989720208201</v>
      </c>
      <c r="S721">
        <v>461.07115403398097</v>
      </c>
      <c r="T721">
        <v>714.94093563067702</v>
      </c>
      <c r="U721">
        <v>561.00926742201</v>
      </c>
      <c r="V721">
        <v>664.29522236746004</v>
      </c>
      <c r="W721">
        <v>703.66796373718103</v>
      </c>
    </row>
    <row r="722" spans="1:23" x14ac:dyDescent="0.2">
      <c r="A722" t="s">
        <v>1459</v>
      </c>
      <c r="B722" s="3" t="str">
        <f>HYPERLINK("http://www.ncbi.nlm.nih.gov/gene/56495","Asna1")</f>
        <v>Asna1</v>
      </c>
      <c r="C722">
        <v>56495</v>
      </c>
      <c r="D722" t="s">
        <v>1460</v>
      </c>
      <c r="E722" s="3" t="str">
        <f>HYPERLINK("http://genome.ucsc.edu/cgi-bin/hgTracks?db=mm10&amp;lastVirtModeType=default&amp;lastVirtModeExtraState=&amp;virtModeType=default&amp;virtMode=0&amp;nonVirtPosition=&amp;position=chr8:85017930-85025278","chr8:85017930-85025278")</f>
        <v>chr8:85017930-85025278</v>
      </c>
      <c r="F722" t="s">
        <v>25</v>
      </c>
      <c r="G722">
        <v>-0.71782997037653495</v>
      </c>
      <c r="H722">
        <v>0.15452587578702301</v>
      </c>
      <c r="I722">
        <v>-4.64537066507806</v>
      </c>
      <c r="J722" s="1">
        <v>3.3946639345863201E-6</v>
      </c>
      <c r="K722" s="1">
        <v>6.3210906363893402E-5</v>
      </c>
      <c r="L722" t="s">
        <v>26</v>
      </c>
      <c r="M722" t="s">
        <v>27</v>
      </c>
      <c r="N722">
        <v>239.65914032080701</v>
      </c>
      <c r="O722">
        <v>314.17150414868502</v>
      </c>
      <c r="P722">
        <v>183.77486744989901</v>
      </c>
      <c r="Q722">
        <v>290.64570901498797</v>
      </c>
      <c r="R722">
        <v>366.73950391061402</v>
      </c>
      <c r="S722">
        <v>285.129299520453</v>
      </c>
      <c r="T722">
        <v>155.82046032976299</v>
      </c>
      <c r="U722">
        <v>194.854363875584</v>
      </c>
      <c r="V722">
        <v>206.718668311469</v>
      </c>
      <c r="W722">
        <v>177.70597728278</v>
      </c>
    </row>
    <row r="723" spans="1:23" x14ac:dyDescent="0.2">
      <c r="A723" t="s">
        <v>1461</v>
      </c>
      <c r="B723" s="3" t="str">
        <f>HYPERLINK("http://www.ncbi.nlm.nih.gov/gene/170677","Cdhr1")</f>
        <v>Cdhr1</v>
      </c>
      <c r="C723">
        <v>170677</v>
      </c>
      <c r="D723" t="s">
        <v>1462</v>
      </c>
      <c r="E723" s="3" t="str">
        <f>HYPERLINK("http://genome.ucsc.edu/cgi-bin/hgTracks?db=mm10&amp;lastVirtModeType=default&amp;lastVirtModeExtraState=&amp;virtModeType=default&amp;virtMode=0&amp;nonVirtPosition=&amp;position=chr14:37077848-37098311","chr14:37077848-37098311")</f>
        <v>chr14:37077848-37098311</v>
      </c>
      <c r="F723" t="s">
        <v>25</v>
      </c>
      <c r="G723">
        <v>-1.5914617490273799</v>
      </c>
      <c r="H723">
        <v>0.34260895171152</v>
      </c>
      <c r="I723">
        <v>-4.6451259988308902</v>
      </c>
      <c r="J723" s="1">
        <v>3.3986896110823099E-6</v>
      </c>
      <c r="K723" s="1">
        <v>6.3210906363893402E-5</v>
      </c>
      <c r="L723" t="s">
        <v>26</v>
      </c>
      <c r="M723" t="s">
        <v>27</v>
      </c>
      <c r="N723">
        <v>18.868521609154602</v>
      </c>
      <c r="O723">
        <v>33.776444002021499</v>
      </c>
      <c r="P723">
        <v>7.68757981450449</v>
      </c>
      <c r="Q723">
        <v>27.8396273002862</v>
      </c>
      <c r="R723">
        <v>43.993570272627998</v>
      </c>
      <c r="S723">
        <v>29.496134433150299</v>
      </c>
      <c r="T723">
        <v>4.58295471558126</v>
      </c>
      <c r="U723">
        <v>12.847540475313201</v>
      </c>
      <c r="V723">
        <v>7.3565362388422999</v>
      </c>
      <c r="W723">
        <v>5.9632878282812003</v>
      </c>
    </row>
    <row r="724" spans="1:23" x14ac:dyDescent="0.2">
      <c r="A724" t="s">
        <v>1463</v>
      </c>
      <c r="B724" s="3" t="str">
        <f>HYPERLINK("http://www.ncbi.nlm.nih.gov/gene/268515","Bahcc1")</f>
        <v>Bahcc1</v>
      </c>
      <c r="C724">
        <v>268515</v>
      </c>
      <c r="D724" t="s">
        <v>1464</v>
      </c>
      <c r="E724" s="3" t="str">
        <f>HYPERLINK("http://genome.ucsc.edu/cgi-bin/hgTracks?db=mm10&amp;lastVirtModeType=default&amp;lastVirtModeExtraState=&amp;virtModeType=default&amp;virtMode=0&amp;nonVirtPosition=&amp;position=chr11:120232946-120292297","chr11:120232946-120292297")</f>
        <v>chr11:120232946-120292297</v>
      </c>
      <c r="F724" t="s">
        <v>30</v>
      </c>
      <c r="G724">
        <v>1.01421477149643</v>
      </c>
      <c r="H724">
        <v>0.21837002337866199</v>
      </c>
      <c r="I724">
        <v>4.6444780094095099</v>
      </c>
      <c r="J724" s="1">
        <v>3.4093735954142198E-6</v>
      </c>
      <c r="K724" s="1">
        <v>6.3321666874052398E-5</v>
      </c>
      <c r="L724" t="s">
        <v>26</v>
      </c>
      <c r="M724" t="s">
        <v>27</v>
      </c>
      <c r="N724">
        <v>473.37739821020102</v>
      </c>
      <c r="O724">
        <v>286.16055933390498</v>
      </c>
      <c r="P724">
        <v>613.79002736742302</v>
      </c>
      <c r="Q724">
        <v>305.12231521113699</v>
      </c>
      <c r="R724">
        <v>164.21737869006799</v>
      </c>
      <c r="S724">
        <v>389.14198410050898</v>
      </c>
      <c r="T724">
        <v>591.20115830998304</v>
      </c>
      <c r="U724">
        <v>627.38822654446199</v>
      </c>
      <c r="V724">
        <v>578.22374837300504</v>
      </c>
      <c r="W724">
        <v>658.34697624224395</v>
      </c>
    </row>
    <row r="725" spans="1:23" x14ac:dyDescent="0.2">
      <c r="A725" t="s">
        <v>1465</v>
      </c>
      <c r="B725" s="3" t="str">
        <f>HYPERLINK("http://www.ncbi.nlm.nih.gov/gene/231238","Sel1l3")</f>
        <v>Sel1l3</v>
      </c>
      <c r="C725">
        <v>231238</v>
      </c>
      <c r="D725" t="s">
        <v>1466</v>
      </c>
      <c r="E725" s="3" t="str">
        <f>HYPERLINK("http://genome.ucsc.edu/cgi-bin/hgTracks?db=mm10&amp;lastVirtModeType=default&amp;lastVirtModeExtraState=&amp;virtModeType=default&amp;virtMode=0&amp;nonVirtPosition=&amp;position=chr5:53107082-53213452","chr5:53107082-53213452")</f>
        <v>chr5:53107082-53213452</v>
      </c>
      <c r="F725" t="s">
        <v>25</v>
      </c>
      <c r="G725">
        <v>-1.31123553630934</v>
      </c>
      <c r="H725">
        <v>0.28249857495054898</v>
      </c>
      <c r="I725">
        <v>-4.64156513546616</v>
      </c>
      <c r="J725" s="1">
        <v>3.4577998450863799E-6</v>
      </c>
      <c r="K725" s="1">
        <v>6.4132129813783504E-5</v>
      </c>
      <c r="L725" t="s">
        <v>26</v>
      </c>
      <c r="M725" t="s">
        <v>27</v>
      </c>
      <c r="N725">
        <v>76.442979001093093</v>
      </c>
      <c r="O725">
        <v>123.121272775855</v>
      </c>
      <c r="P725">
        <v>41.434258670021599</v>
      </c>
      <c r="Q725">
        <v>130.28945576533999</v>
      </c>
      <c r="R725">
        <v>171.80247701293499</v>
      </c>
      <c r="S725">
        <v>67.271885549290204</v>
      </c>
      <c r="T725">
        <v>32.0806830090688</v>
      </c>
      <c r="U725">
        <v>42.825134917710699</v>
      </c>
      <c r="V725">
        <v>41.932256561401097</v>
      </c>
      <c r="W725">
        <v>48.8989601919058</v>
      </c>
    </row>
    <row r="726" spans="1:23" x14ac:dyDescent="0.2">
      <c r="A726" t="s">
        <v>1467</v>
      </c>
      <c r="B726" s="3" t="str">
        <f>HYPERLINK("http://www.ncbi.nlm.nih.gov/gene/93717","Pcdhga9")</f>
        <v>Pcdhga9</v>
      </c>
      <c r="C726">
        <v>93717</v>
      </c>
      <c r="D726" t="s">
        <v>1468</v>
      </c>
      <c r="E726" s="3" t="str">
        <f>HYPERLINK("http://genome.ucsc.edu/cgi-bin/hgTracks?db=mm10&amp;lastVirtModeType=default&amp;lastVirtModeExtraState=&amp;virtModeType=default&amp;virtMode=0&amp;nonVirtPosition=&amp;position=chr18:37736935-37841863","chr18:37736935-37841863")</f>
        <v>chr18:37736935-37841863</v>
      </c>
      <c r="F726" t="s">
        <v>30</v>
      </c>
      <c r="G726">
        <v>1.13969433004837</v>
      </c>
      <c r="H726">
        <v>0.24563675826878301</v>
      </c>
      <c r="I726">
        <v>4.6397548073862902</v>
      </c>
      <c r="J726" s="1">
        <v>3.4882279782292401E-6</v>
      </c>
      <c r="K726" s="1">
        <v>6.4606999801476904E-5</v>
      </c>
      <c r="L726" t="s">
        <v>26</v>
      </c>
      <c r="M726" t="s">
        <v>27</v>
      </c>
      <c r="N726">
        <v>82.644903994696904</v>
      </c>
      <c r="O726">
        <v>46.742316083049403</v>
      </c>
      <c r="P726">
        <v>109.571844928432</v>
      </c>
      <c r="Q726">
        <v>37.305100582383602</v>
      </c>
      <c r="R726">
        <v>35.649962117474402</v>
      </c>
      <c r="S726">
        <v>67.271885549290204</v>
      </c>
      <c r="T726">
        <v>77.910230164881497</v>
      </c>
      <c r="U726">
        <v>113.486607531933</v>
      </c>
      <c r="V726">
        <v>122.854155188666</v>
      </c>
      <c r="W726">
        <v>124.03638682824899</v>
      </c>
    </row>
    <row r="727" spans="1:23" x14ac:dyDescent="0.2">
      <c r="A727" t="s">
        <v>1469</v>
      </c>
      <c r="B727" s="3" t="str">
        <f>HYPERLINK("http://www.ncbi.nlm.nih.gov/gene/52830","Pnrc2")</f>
        <v>Pnrc2</v>
      </c>
      <c r="C727">
        <v>52830</v>
      </c>
      <c r="D727" t="s">
        <v>1470</v>
      </c>
      <c r="E727" s="3" t="str">
        <f>HYPERLINK("http://genome.ucsc.edu/cgi-bin/hgTracks?db=mm10&amp;lastVirtModeType=default&amp;lastVirtModeExtraState=&amp;virtModeType=default&amp;virtMode=0&amp;nonVirtPosition=&amp;position=chr4:135870925-135873846","chr4:135870925-135873846")</f>
        <v>chr4:135870925-135873846</v>
      </c>
      <c r="F727" t="s">
        <v>25</v>
      </c>
      <c r="G727">
        <v>-0.64074508571755795</v>
      </c>
      <c r="H727">
        <v>0.13811969364090601</v>
      </c>
      <c r="I727">
        <v>-4.6390566676423104</v>
      </c>
      <c r="J727" s="1">
        <v>3.5000308259369398E-6</v>
      </c>
      <c r="K727" s="1">
        <v>6.4687876389073602E-5</v>
      </c>
      <c r="L727" t="s">
        <v>26</v>
      </c>
      <c r="M727" t="s">
        <v>27</v>
      </c>
      <c r="N727">
        <v>547.451391965879</v>
      </c>
      <c r="O727">
        <v>690.66793792337899</v>
      </c>
      <c r="P727">
        <v>440.03898249775398</v>
      </c>
      <c r="Q727">
        <v>768.373713487901</v>
      </c>
      <c r="R727">
        <v>682.65884905802</v>
      </c>
      <c r="S727">
        <v>620.97125122421699</v>
      </c>
      <c r="T727">
        <v>513.29092814510102</v>
      </c>
      <c r="U727">
        <v>359.73113330876998</v>
      </c>
      <c r="V727">
        <v>464.93309029483402</v>
      </c>
      <c r="W727">
        <v>422.20077824230901</v>
      </c>
    </row>
    <row r="728" spans="1:23" x14ac:dyDescent="0.2">
      <c r="A728" t="s">
        <v>1471</v>
      </c>
      <c r="B728" s="3" t="str">
        <f>HYPERLINK("http://www.ncbi.nlm.nih.gov/gene/231760","Rimbp2")</f>
        <v>Rimbp2</v>
      </c>
      <c r="C728">
        <v>231760</v>
      </c>
      <c r="D728" t="s">
        <v>1472</v>
      </c>
      <c r="E728" s="3" t="str">
        <f>HYPERLINK("http://genome.ucsc.edu/cgi-bin/hgTracks?db=mm10&amp;lastVirtModeType=default&amp;lastVirtModeExtraState=&amp;virtModeType=default&amp;virtMode=0&amp;nonVirtPosition=&amp;position=chr5:128757787-128953486","chr5:128757787-128953486")</f>
        <v>chr5:128757787-128953486</v>
      </c>
      <c r="F728" t="s">
        <v>25</v>
      </c>
      <c r="G728">
        <v>0.78175637614198901</v>
      </c>
      <c r="H728">
        <v>0.168521009841297</v>
      </c>
      <c r="I728">
        <v>4.6389253000453801</v>
      </c>
      <c r="J728" s="1">
        <v>3.50225602136348E-6</v>
      </c>
      <c r="K728" s="1">
        <v>6.4687876389073602E-5</v>
      </c>
      <c r="L728" t="s">
        <v>26</v>
      </c>
      <c r="M728" t="s">
        <v>27</v>
      </c>
      <c r="N728">
        <v>148.28628904868299</v>
      </c>
      <c r="O728">
        <v>103.59009945724</v>
      </c>
      <c r="P728">
        <v>181.80843124226601</v>
      </c>
      <c r="Q728">
        <v>111.91530174715101</v>
      </c>
      <c r="R728">
        <v>104.674356855563</v>
      </c>
      <c r="S728">
        <v>94.180639769006305</v>
      </c>
      <c r="T728">
        <v>174.152279192088</v>
      </c>
      <c r="U728">
        <v>167.018026179072</v>
      </c>
      <c r="V728">
        <v>161.84379725453101</v>
      </c>
      <c r="W728">
        <v>224.219622343373</v>
      </c>
    </row>
    <row r="729" spans="1:23" x14ac:dyDescent="0.2">
      <c r="A729" t="s">
        <v>1473</v>
      </c>
      <c r="B729" s="3" t="str">
        <f>HYPERLINK("http://www.ncbi.nlm.nih.gov/gene/12009","Cep131")</f>
        <v>Cep131</v>
      </c>
      <c r="C729">
        <v>12009</v>
      </c>
      <c r="D729" t="s">
        <v>1474</v>
      </c>
      <c r="E729" s="3" t="str">
        <f>HYPERLINK("http://genome.ucsc.edu/cgi-bin/hgTracks?db=mm10&amp;lastVirtModeType=default&amp;lastVirtModeExtraState=&amp;virtModeType=default&amp;virtMode=0&amp;nonVirtPosition=&amp;position=chr11:120064429-120086827","chr11:120064429-120086827")</f>
        <v>chr11:120064429-120086827</v>
      </c>
      <c r="F729" t="s">
        <v>25</v>
      </c>
      <c r="G729">
        <v>0.86952758971031896</v>
      </c>
      <c r="H729">
        <v>0.18750413422815601</v>
      </c>
      <c r="I729">
        <v>4.63737822789696</v>
      </c>
      <c r="J729" s="1">
        <v>3.5285636659667498E-6</v>
      </c>
      <c r="K729" s="1">
        <v>6.5084016599119501E-5</v>
      </c>
      <c r="L729" t="s">
        <v>26</v>
      </c>
      <c r="M729" t="s">
        <v>27</v>
      </c>
      <c r="N729">
        <v>131.20508512598099</v>
      </c>
      <c r="O729">
        <v>85.863802872268096</v>
      </c>
      <c r="P729">
        <v>165.211046816265</v>
      </c>
      <c r="Q729">
        <v>84.075674446864497</v>
      </c>
      <c r="R729">
        <v>76.230238144812304</v>
      </c>
      <c r="S729">
        <v>97.285496025127401</v>
      </c>
      <c r="T729">
        <v>183.31818862325099</v>
      </c>
      <c r="U729">
        <v>156.31174244964399</v>
      </c>
      <c r="V729">
        <v>128.00373055585601</v>
      </c>
      <c r="W729">
        <v>193.21052563631099</v>
      </c>
    </row>
    <row r="730" spans="1:23" x14ac:dyDescent="0.2">
      <c r="A730" t="s">
        <v>1475</v>
      </c>
      <c r="B730" s="3" t="str">
        <f>HYPERLINK("http://www.ncbi.nlm.nih.gov/gene/75410","Kmt2b")</f>
        <v>Kmt2b</v>
      </c>
      <c r="C730">
        <v>75410</v>
      </c>
      <c r="D730" t="s">
        <v>1476</v>
      </c>
      <c r="E730" s="3" t="str">
        <f>HYPERLINK("http://genome.ucsc.edu/cgi-bin/hgTracks?db=mm10&amp;lastVirtModeType=default&amp;lastVirtModeExtraState=&amp;virtModeType=default&amp;virtMode=0&amp;nonVirtPosition=&amp;position=chr7:30568854-30588726","chr7:30568854-30588726")</f>
        <v>chr7:30568854-30588726</v>
      </c>
      <c r="F730" t="s">
        <v>25</v>
      </c>
      <c r="G730">
        <v>0.91106656357973304</v>
      </c>
      <c r="H730">
        <v>0.196599686545054</v>
      </c>
      <c r="I730">
        <v>4.6341201229277997</v>
      </c>
      <c r="J730" s="1">
        <v>3.5845881487653999E-6</v>
      </c>
      <c r="K730" s="1">
        <v>6.6026437276640306E-5</v>
      </c>
      <c r="L730" t="s">
        <v>26</v>
      </c>
      <c r="M730" t="s">
        <v>27</v>
      </c>
      <c r="N730">
        <v>544.66747590656496</v>
      </c>
      <c r="O730">
        <v>351.26897502101701</v>
      </c>
      <c r="P730">
        <v>689.71635157072603</v>
      </c>
      <c r="Q730">
        <v>287.86174628496002</v>
      </c>
      <c r="R730">
        <v>268.13322571334498</v>
      </c>
      <c r="S730">
        <v>497.811953064747</v>
      </c>
      <c r="T730">
        <v>659.94547904370199</v>
      </c>
      <c r="U730">
        <v>785.84122573999196</v>
      </c>
      <c r="V730">
        <v>654.73172525696498</v>
      </c>
      <c r="W730">
        <v>658.34697624224395</v>
      </c>
    </row>
    <row r="731" spans="1:23" x14ac:dyDescent="0.2">
      <c r="A731" t="s">
        <v>1477</v>
      </c>
      <c r="B731" s="3" t="str">
        <f>HYPERLINK("http://www.ncbi.nlm.nih.gov/gene/20846","Stat1")</f>
        <v>Stat1</v>
      </c>
      <c r="C731">
        <v>20846</v>
      </c>
      <c r="D731" t="s">
        <v>1478</v>
      </c>
      <c r="E731" s="3" t="str">
        <f>HYPERLINK("http://genome.ucsc.edu/cgi-bin/hgTracks?db=mm10&amp;lastVirtModeType=default&amp;lastVirtModeExtraState=&amp;virtModeType=default&amp;virtMode=0&amp;nonVirtPosition=&amp;position=chr1:52119437-52161865","chr1:52119437-52161865")</f>
        <v>chr1:52119437-52161865</v>
      </c>
      <c r="F731" t="s">
        <v>30</v>
      </c>
      <c r="G731">
        <v>1.2186400009401901</v>
      </c>
      <c r="H731">
        <v>0.26319475064567999</v>
      </c>
      <c r="I731">
        <v>4.63018353500809</v>
      </c>
      <c r="J731" s="1">
        <v>3.6534175824586201E-6</v>
      </c>
      <c r="K731" s="1">
        <v>6.7201806108108998E-5</v>
      </c>
      <c r="L731" t="s">
        <v>26</v>
      </c>
      <c r="M731" t="s">
        <v>27</v>
      </c>
      <c r="N731">
        <v>1270.1709625912499</v>
      </c>
      <c r="O731">
        <v>657.53961114773597</v>
      </c>
      <c r="P731">
        <v>1729.6444761738901</v>
      </c>
      <c r="Q731">
        <v>798.44051097220995</v>
      </c>
      <c r="R731">
        <v>475.58566484375399</v>
      </c>
      <c r="S731">
        <v>698.59265762724397</v>
      </c>
      <c r="T731">
        <v>2658.11373503713</v>
      </c>
      <c r="U731">
        <v>862.92646859187096</v>
      </c>
      <c r="V731">
        <v>1588.27617396605</v>
      </c>
      <c r="W731">
        <v>1809.26152710052</v>
      </c>
    </row>
    <row r="732" spans="1:23" x14ac:dyDescent="0.2">
      <c r="A732" t="s">
        <v>1479</v>
      </c>
      <c r="B732" s="3" t="str">
        <f>HYPERLINK("http://www.ncbi.nlm.nih.gov/gene/93736","Aff4")</f>
        <v>Aff4</v>
      </c>
      <c r="C732">
        <v>93736</v>
      </c>
      <c r="D732" t="s">
        <v>1480</v>
      </c>
      <c r="E732" s="3" t="str">
        <f>HYPERLINK("http://genome.ucsc.edu/cgi-bin/hgTracks?db=mm10&amp;lastVirtModeType=default&amp;lastVirtModeExtraState=&amp;virtModeType=default&amp;virtMode=0&amp;nonVirtPosition=&amp;position=chr11:53350766-53421830","chr11:53350766-53421830")</f>
        <v>chr11:53350766-53421830</v>
      </c>
      <c r="F732" t="s">
        <v>30</v>
      </c>
      <c r="G732">
        <v>-0.55326295582622598</v>
      </c>
      <c r="H732">
        <v>0.119523717654318</v>
      </c>
      <c r="I732">
        <v>-4.62889681382193</v>
      </c>
      <c r="J732" s="1">
        <v>3.6761887867528698E-6</v>
      </c>
      <c r="K732" s="1">
        <v>6.7527906781080405E-5</v>
      </c>
      <c r="L732" t="s">
        <v>26</v>
      </c>
      <c r="M732" t="s">
        <v>27</v>
      </c>
      <c r="N732">
        <v>1816.2993245560499</v>
      </c>
      <c r="O732">
        <v>2233.5670724186298</v>
      </c>
      <c r="P732">
        <v>1503.34851365912</v>
      </c>
      <c r="Q732">
        <v>2394.2079478246201</v>
      </c>
      <c r="R732">
        <v>2031.6685857799</v>
      </c>
      <c r="S732">
        <v>2274.8246836513799</v>
      </c>
      <c r="T732">
        <v>1457.3795995548401</v>
      </c>
      <c r="U732">
        <v>1325.4379257031501</v>
      </c>
      <c r="V732">
        <v>1632.4153913991099</v>
      </c>
      <c r="W732">
        <v>1598.1611379793601</v>
      </c>
    </row>
    <row r="733" spans="1:23" x14ac:dyDescent="0.2">
      <c r="A733" t="s">
        <v>1481</v>
      </c>
      <c r="B733" s="3" t="str">
        <f>HYPERLINK("http://www.ncbi.nlm.nih.gov/gene/14797","Aes")</f>
        <v>Aes</v>
      </c>
      <c r="C733">
        <v>14797</v>
      </c>
      <c r="D733" t="s">
        <v>1482</v>
      </c>
      <c r="E733" s="3" t="str">
        <f>HYPERLINK("http://genome.ucsc.edu/cgi-bin/hgTracks?db=mm10&amp;lastVirtModeType=default&amp;lastVirtModeExtraState=&amp;virtModeType=default&amp;virtMode=0&amp;nonVirtPosition=&amp;position=chr10:81559443-81566371","chr10:81559443-81566371")</f>
        <v>chr10:81559443-81566371</v>
      </c>
      <c r="F733" t="s">
        <v>30</v>
      </c>
      <c r="G733">
        <v>-0.57865597402664803</v>
      </c>
      <c r="H733">
        <v>0.125035244828123</v>
      </c>
      <c r="I733">
        <v>-4.6279429037955104</v>
      </c>
      <c r="J733" s="1">
        <v>3.69315796850885E-6</v>
      </c>
      <c r="K733" s="1">
        <v>6.7746682679865707E-5</v>
      </c>
      <c r="L733" t="s">
        <v>26</v>
      </c>
      <c r="M733" t="s">
        <v>27</v>
      </c>
      <c r="N733">
        <v>755.53396161978799</v>
      </c>
      <c r="O733">
        <v>934.512635746868</v>
      </c>
      <c r="P733">
        <v>621.299956024479</v>
      </c>
      <c r="Q733">
        <v>844.65429229068502</v>
      </c>
      <c r="R733">
        <v>1042.9510193942001</v>
      </c>
      <c r="S733">
        <v>915.93259555572001</v>
      </c>
      <c r="T733">
        <v>618.69888660347101</v>
      </c>
      <c r="U733">
        <v>648.80079400331704</v>
      </c>
      <c r="V733">
        <v>551.00456428928806</v>
      </c>
      <c r="W733">
        <v>666.69557920183797</v>
      </c>
    </row>
    <row r="734" spans="1:23" x14ac:dyDescent="0.2">
      <c r="A734" t="s">
        <v>1483</v>
      </c>
      <c r="B734" s="3" t="str">
        <f>HYPERLINK("http://www.ncbi.nlm.nih.gov/gene/330052","A930003O13Rik")</f>
        <v>A930003O13Rik</v>
      </c>
      <c r="C734">
        <v>330052</v>
      </c>
      <c r="D734" t="s">
        <v>1484</v>
      </c>
      <c r="E734" s="3" t="str">
        <f>HYPERLINK("http://genome.ucsc.edu/cgi-bin/hgTracks?db=mm10&amp;lastVirtModeType=default&amp;lastVirtModeExtraState=&amp;virtModeType=default&amp;virtMode=0&amp;nonVirtPosition=&amp;position=chr5:22738910-22746884","chr5:22738910-22746884")</f>
        <v>chr5:22738910-22746884</v>
      </c>
      <c r="F734" t="s">
        <v>25</v>
      </c>
      <c r="G734">
        <v>0.91258116523439003</v>
      </c>
      <c r="H734">
        <v>0.19727463109221599</v>
      </c>
      <c r="I734">
        <v>4.6259428299617698</v>
      </c>
      <c r="J734" s="1">
        <v>3.7289815564354298E-6</v>
      </c>
      <c r="K734" s="1">
        <v>6.8219030462120299E-5</v>
      </c>
      <c r="L734" t="s">
        <v>26</v>
      </c>
      <c r="M734" t="s">
        <v>27</v>
      </c>
      <c r="N734">
        <v>104.494919764214</v>
      </c>
      <c r="O734">
        <v>68.035343588422506</v>
      </c>
      <c r="P734">
        <v>131.83960189605699</v>
      </c>
      <c r="Q734">
        <v>65.144727882669798</v>
      </c>
      <c r="R734">
        <v>54.612707924641597</v>
      </c>
      <c r="S734">
        <v>84.348594957956195</v>
      </c>
      <c r="T734">
        <v>114.573867889532</v>
      </c>
      <c r="U734">
        <v>149.88797221198701</v>
      </c>
      <c r="V734">
        <v>141.24549578577199</v>
      </c>
      <c r="W734">
        <v>121.651071696936</v>
      </c>
    </row>
    <row r="735" spans="1:23" x14ac:dyDescent="0.2">
      <c r="A735" t="s">
        <v>1485</v>
      </c>
      <c r="B735" s="3" t="str">
        <f>HYPERLINK("http://www.ncbi.nlm.nih.gov/gene/260302","Gga3")</f>
        <v>Gga3</v>
      </c>
      <c r="C735">
        <v>260302</v>
      </c>
      <c r="D735" t="s">
        <v>1486</v>
      </c>
      <c r="E735" s="3" t="str">
        <f>HYPERLINK("http://genome.ucsc.edu/cgi-bin/hgTracks?db=mm10&amp;lastVirtModeType=default&amp;lastVirtModeExtraState=&amp;virtModeType=default&amp;virtMode=0&amp;nonVirtPosition=&amp;position=chr11:115584254-115603916","chr11:115584254-115603916")</f>
        <v>chr11:115584254-115603916</v>
      </c>
      <c r="F735" t="s">
        <v>25</v>
      </c>
      <c r="G735">
        <v>0.84369742359702204</v>
      </c>
      <c r="H735">
        <v>0.18238413636435499</v>
      </c>
      <c r="I735">
        <v>4.6259364460927701</v>
      </c>
      <c r="J735" s="1">
        <v>3.7290964303093199E-6</v>
      </c>
      <c r="K735" s="1">
        <v>6.8219030462120299E-5</v>
      </c>
      <c r="L735" t="s">
        <v>26</v>
      </c>
      <c r="M735" t="s">
        <v>27</v>
      </c>
      <c r="N735">
        <v>170.802116888916</v>
      </c>
      <c r="O735">
        <v>114.949973377595</v>
      </c>
      <c r="P735">
        <v>212.691224522407</v>
      </c>
      <c r="Q735">
        <v>125.835115397294</v>
      </c>
      <c r="R735">
        <v>83.436081551535807</v>
      </c>
      <c r="S735">
        <v>135.578723183954</v>
      </c>
      <c r="T735">
        <v>210.81591691673799</v>
      </c>
      <c r="U735">
        <v>216.26693133443899</v>
      </c>
      <c r="V735">
        <v>203.040400192048</v>
      </c>
      <c r="W735">
        <v>220.64164964640401</v>
      </c>
    </row>
    <row r="736" spans="1:23" x14ac:dyDescent="0.2">
      <c r="A736" t="s">
        <v>1487</v>
      </c>
      <c r="B736" s="3" t="str">
        <f>HYPERLINK("http://www.ncbi.nlm.nih.gov/gene/27416","Abcc5")</f>
        <v>Abcc5</v>
      </c>
      <c r="C736">
        <v>27416</v>
      </c>
      <c r="D736" t="s">
        <v>1488</v>
      </c>
      <c r="E736" s="3" t="str">
        <f>HYPERLINK("http://genome.ucsc.edu/cgi-bin/hgTracks?db=mm10&amp;lastVirtModeType=default&amp;lastVirtModeExtraState=&amp;virtModeType=default&amp;virtMode=0&amp;nonVirtPosition=&amp;position=chr16:20331303-20426394","chr16:20331303-20426394")</f>
        <v>chr16:20331303-20426394</v>
      </c>
      <c r="F736" t="s">
        <v>25</v>
      </c>
      <c r="G736">
        <v>0.70372912320990899</v>
      </c>
      <c r="H736">
        <v>0.152161302057154</v>
      </c>
      <c r="I736">
        <v>4.6248889415100898</v>
      </c>
      <c r="J736" s="1">
        <v>3.74799166186202E-6</v>
      </c>
      <c r="K736" s="1">
        <v>6.8471154630278798E-5</v>
      </c>
      <c r="L736" t="s">
        <v>26</v>
      </c>
      <c r="M736" t="s">
        <v>27</v>
      </c>
      <c r="N736">
        <v>589.89409178397</v>
      </c>
      <c r="O736">
        <v>429.39572060966202</v>
      </c>
      <c r="P736">
        <v>710.26787016470098</v>
      </c>
      <c r="Q736">
        <v>505.010839227193</v>
      </c>
      <c r="R736">
        <v>355.74111134245697</v>
      </c>
      <c r="S736">
        <v>427.43521125933597</v>
      </c>
      <c r="T736">
        <v>705.77502619951497</v>
      </c>
      <c r="U736">
        <v>612.39942932326301</v>
      </c>
      <c r="V736">
        <v>695.192674570598</v>
      </c>
      <c r="W736">
        <v>827.70435056542999</v>
      </c>
    </row>
    <row r="737" spans="1:23" x14ac:dyDescent="0.2">
      <c r="A737" t="s">
        <v>1489</v>
      </c>
      <c r="B737" s="3" t="str">
        <f>HYPERLINK("http://www.ncbi.nlm.nih.gov/gene/60533","Cd274")</f>
        <v>Cd274</v>
      </c>
      <c r="C737">
        <v>60533</v>
      </c>
      <c r="D737" t="s">
        <v>1490</v>
      </c>
      <c r="E737" s="3" t="str">
        <f>HYPERLINK("http://genome.ucsc.edu/cgi-bin/hgTracks?db=mm10&amp;lastVirtModeType=default&amp;lastVirtModeExtraState=&amp;virtModeType=default&amp;virtMode=0&amp;nonVirtPosition=&amp;position=chr19:29367437-29388094","chr19:29367437-29388094")</f>
        <v>chr19:29367437-29388094</v>
      </c>
      <c r="F737" t="s">
        <v>30</v>
      </c>
      <c r="G737">
        <v>1.63644724632321</v>
      </c>
      <c r="H737">
        <v>0.35401996596631602</v>
      </c>
      <c r="I737">
        <v>4.62247162206359</v>
      </c>
      <c r="J737" s="1">
        <v>3.7919469857718602E-6</v>
      </c>
      <c r="K737" s="1">
        <v>6.9179784858952294E-5</v>
      </c>
      <c r="L737" t="s">
        <v>26</v>
      </c>
      <c r="M737" t="s">
        <v>27</v>
      </c>
      <c r="N737">
        <v>54.966868060404202</v>
      </c>
      <c r="O737">
        <v>16.910397834293899</v>
      </c>
      <c r="P737">
        <v>83.509220729987007</v>
      </c>
      <c r="Q737">
        <v>18.930946564194599</v>
      </c>
      <c r="R737">
        <v>12.136157316586999</v>
      </c>
      <c r="S737">
        <v>19.6640896221002</v>
      </c>
      <c r="T737">
        <v>155.82046032976299</v>
      </c>
      <c r="U737">
        <v>17.130053967084301</v>
      </c>
      <c r="V737">
        <v>72.829708764538793</v>
      </c>
      <c r="W737">
        <v>88.256659858561704</v>
      </c>
    </row>
    <row r="738" spans="1:23" x14ac:dyDescent="0.2">
      <c r="A738" t="s">
        <v>1491</v>
      </c>
      <c r="B738" s="3" t="str">
        <f>HYPERLINK("http://www.ncbi.nlm.nih.gov/gene/20602","Ncor2")</f>
        <v>Ncor2</v>
      </c>
      <c r="C738">
        <v>20602</v>
      </c>
      <c r="D738" t="s">
        <v>1492</v>
      </c>
      <c r="E738" s="3" t="str">
        <f>HYPERLINK("http://genome.ucsc.edu/cgi-bin/hgTracks?db=mm10&amp;lastVirtModeType=default&amp;lastVirtModeExtraState=&amp;virtModeType=default&amp;virtMode=0&amp;nonVirtPosition=&amp;position=chr5:125017152-125179214","chr5:125017152-125179214")</f>
        <v>chr5:125017152-125179214</v>
      </c>
      <c r="F738" t="s">
        <v>25</v>
      </c>
      <c r="G738">
        <v>1.0749797705709501</v>
      </c>
      <c r="H738">
        <v>0.23303028590477601</v>
      </c>
      <c r="I738">
        <v>4.6130474689037797</v>
      </c>
      <c r="J738" s="1">
        <v>3.9680763383450699E-6</v>
      </c>
      <c r="K738" s="1">
        <v>7.2294571764324996E-5</v>
      </c>
      <c r="L738" t="s">
        <v>26</v>
      </c>
      <c r="M738" t="s">
        <v>27</v>
      </c>
      <c r="N738">
        <v>1285.2469681991099</v>
      </c>
      <c r="O738">
        <v>743.59970701625105</v>
      </c>
      <c r="P738">
        <v>1691.48241408626</v>
      </c>
      <c r="Q738">
        <v>616.92614097434296</v>
      </c>
      <c r="R738">
        <v>454.72664445586997</v>
      </c>
      <c r="S738">
        <v>1159.14633561854</v>
      </c>
      <c r="T738">
        <v>1617.78301460019</v>
      </c>
      <c r="U738">
        <v>1787.94938281442</v>
      </c>
      <c r="V738">
        <v>1627.2658160319199</v>
      </c>
      <c r="W738">
        <v>1732.9314428985199</v>
      </c>
    </row>
    <row r="739" spans="1:23" x14ac:dyDescent="0.2">
      <c r="A739" t="s">
        <v>1493</v>
      </c>
      <c r="B739" s="3" t="str">
        <f>HYPERLINK("http://www.ncbi.nlm.nih.gov/gene/14628","Ostm1")</f>
        <v>Ostm1</v>
      </c>
      <c r="C739">
        <v>14628</v>
      </c>
      <c r="D739" t="s">
        <v>1494</v>
      </c>
      <c r="E739" s="3" t="str">
        <f>HYPERLINK("http://genome.ucsc.edu/cgi-bin/hgTracks?db=mm10&amp;lastVirtModeType=default&amp;lastVirtModeExtraState=&amp;virtModeType=default&amp;virtMode=0&amp;nonVirtPosition=&amp;position=chr10:42678915-42702462","chr10:42678915-42702462")</f>
        <v>chr10:42678915-42702462</v>
      </c>
      <c r="F739" t="s">
        <v>30</v>
      </c>
      <c r="G739">
        <v>-0.65687704416090398</v>
      </c>
      <c r="H739">
        <v>0.14242060859059999</v>
      </c>
      <c r="I739">
        <v>-4.6122330936610103</v>
      </c>
      <c r="J739" s="1">
        <v>3.9836590262818001E-6</v>
      </c>
      <c r="K739" s="1">
        <v>7.2479861441494101E-5</v>
      </c>
      <c r="L739" t="s">
        <v>26</v>
      </c>
      <c r="M739" t="s">
        <v>27</v>
      </c>
      <c r="N739">
        <v>249.795628082902</v>
      </c>
      <c r="O739">
        <v>322.743305334723</v>
      </c>
      <c r="P739">
        <v>195.08487014403599</v>
      </c>
      <c r="Q739">
        <v>348.552133799584</v>
      </c>
      <c r="R739">
        <v>315.91934514740598</v>
      </c>
      <c r="S739">
        <v>303.75843705718</v>
      </c>
      <c r="T739">
        <v>160.40341504534399</v>
      </c>
      <c r="U739">
        <v>186.289336892042</v>
      </c>
      <c r="V739">
        <v>227.316969780227</v>
      </c>
      <c r="W739">
        <v>206.329758858529</v>
      </c>
    </row>
    <row r="740" spans="1:23" x14ac:dyDescent="0.2">
      <c r="A740" t="s">
        <v>1495</v>
      </c>
      <c r="B740" s="3" t="str">
        <f>HYPERLINK("http://www.ncbi.nlm.nih.gov/gene/232539","Klhl42")</f>
        <v>Klhl42</v>
      </c>
      <c r="C740">
        <v>232539</v>
      </c>
      <c r="D740" t="s">
        <v>1496</v>
      </c>
      <c r="E740" s="3" t="str">
        <f>HYPERLINK("http://genome.ucsc.edu/cgi-bin/hgTracks?db=mm10&amp;lastVirtModeType=default&amp;lastVirtModeExtraState=&amp;virtModeType=default&amp;virtMode=0&amp;nonVirtPosition=&amp;position=chr6:147091074-147112778","chr6:147091074-147112778")</f>
        <v>chr6:147091074-147112778</v>
      </c>
      <c r="F740" t="s">
        <v>30</v>
      </c>
      <c r="G740">
        <v>-0.51074027324227</v>
      </c>
      <c r="H740">
        <v>0.110761362396309</v>
      </c>
      <c r="I740">
        <v>-4.6111772389980104</v>
      </c>
      <c r="J740" s="1">
        <v>4.0039496404378199E-6</v>
      </c>
      <c r="K740" s="1">
        <v>7.2750189464182996E-5</v>
      </c>
      <c r="L740" t="s">
        <v>26</v>
      </c>
      <c r="M740" t="s">
        <v>27</v>
      </c>
      <c r="N740">
        <v>329.78971569119199</v>
      </c>
      <c r="O740">
        <v>397.345567647346</v>
      </c>
      <c r="P740">
        <v>279.12282672407702</v>
      </c>
      <c r="Q740">
        <v>403.11780330814503</v>
      </c>
      <c r="R740">
        <v>386.84001446621198</v>
      </c>
      <c r="S740">
        <v>402.07888516768099</v>
      </c>
      <c r="T740">
        <v>293.30910179720098</v>
      </c>
      <c r="U740">
        <v>276.222120219234</v>
      </c>
      <c r="V740">
        <v>271.456187213281</v>
      </c>
      <c r="W740">
        <v>275.503897666591</v>
      </c>
    </row>
    <row r="741" spans="1:23" x14ac:dyDescent="0.2">
      <c r="A741" t="s">
        <v>1497</v>
      </c>
      <c r="B741" s="3" t="str">
        <f>HYPERLINK("http://www.ncbi.nlm.nih.gov/gene/15018","H2-Q7")</f>
        <v>H2-Q7</v>
      </c>
      <c r="C741">
        <v>15018</v>
      </c>
      <c r="D741" t="s">
        <v>1498</v>
      </c>
      <c r="E741" s="3" t="str">
        <f>HYPERLINK("http://genome.ucsc.edu/cgi-bin/hgTracks?db=mm10&amp;lastVirtModeType=default&amp;lastVirtModeExtraState=&amp;virtModeType=default&amp;virtMode=0&amp;nonVirtPosition=&amp;position=chr17:35439154-35443773","chr17:35439154-35443773")</f>
        <v>chr17:35439154-35443773</v>
      </c>
      <c r="F741" t="s">
        <v>30</v>
      </c>
      <c r="G741">
        <v>1.80642522540351</v>
      </c>
      <c r="H741">
        <v>0.39184159138667302</v>
      </c>
      <c r="I741">
        <v>4.6100905700459798</v>
      </c>
      <c r="J741" s="1">
        <v>4.0249358327198803E-6</v>
      </c>
      <c r="K741" s="1">
        <v>7.3032406146276294E-5</v>
      </c>
      <c r="L741" t="s">
        <v>26</v>
      </c>
      <c r="M741" t="s">
        <v>27</v>
      </c>
      <c r="N741">
        <v>342.29111810080599</v>
      </c>
      <c r="O741">
        <v>61.350092852242497</v>
      </c>
      <c r="P741">
        <v>552.99688703722802</v>
      </c>
      <c r="Q741">
        <v>26.726042208274801</v>
      </c>
      <c r="R741">
        <v>38.3047465304778</v>
      </c>
      <c r="S741">
        <v>119.019489817975</v>
      </c>
      <c r="T741">
        <v>747.02161863974595</v>
      </c>
      <c r="U741">
        <v>259.09206625215</v>
      </c>
      <c r="V741">
        <v>554.68283240871006</v>
      </c>
      <c r="W741">
        <v>651.19103084830704</v>
      </c>
    </row>
    <row r="742" spans="1:23" x14ac:dyDescent="0.2">
      <c r="A742" t="s">
        <v>1499</v>
      </c>
      <c r="B742" s="3" t="str">
        <f>HYPERLINK("http://www.ncbi.nlm.nih.gov/gene/76688","Arfrp1")</f>
        <v>Arfrp1</v>
      </c>
      <c r="C742">
        <v>76688</v>
      </c>
      <c r="D742" t="s">
        <v>1500</v>
      </c>
      <c r="E742" s="3" t="str">
        <f>HYPERLINK("http://genome.ucsc.edu/cgi-bin/hgTracks?db=mm10&amp;lastVirtModeType=default&amp;lastVirtModeExtraState=&amp;virtModeType=default&amp;virtMode=0&amp;nonVirtPosition=&amp;position=chr2:181357689-181365404","chr2:181357689-181365404")</f>
        <v>chr2:181357689-181365404</v>
      </c>
      <c r="F742" t="s">
        <v>25</v>
      </c>
      <c r="G742">
        <v>0.76855568300814703</v>
      </c>
      <c r="H742">
        <v>0.166839355932907</v>
      </c>
      <c r="I742">
        <v>4.60656107613611</v>
      </c>
      <c r="J742" s="1">
        <v>4.0938285695060398E-6</v>
      </c>
      <c r="K742" s="1">
        <v>7.4181946379236005E-5</v>
      </c>
      <c r="L742" t="s">
        <v>26</v>
      </c>
      <c r="M742" t="s">
        <v>27</v>
      </c>
      <c r="N742">
        <v>130.318046907894</v>
      </c>
      <c r="O742">
        <v>90.5031012438521</v>
      </c>
      <c r="P742">
        <v>160.179256155926</v>
      </c>
      <c r="Q742">
        <v>82.405296808847297</v>
      </c>
      <c r="R742">
        <v>84.573846299965894</v>
      </c>
      <c r="S742">
        <v>104.530160622743</v>
      </c>
      <c r="T742">
        <v>164.98636976092499</v>
      </c>
      <c r="U742">
        <v>175.58305316261399</v>
      </c>
      <c r="V742">
        <v>142.716803033541</v>
      </c>
      <c r="W742">
        <v>157.43079866662401</v>
      </c>
    </row>
    <row r="743" spans="1:23" x14ac:dyDescent="0.2">
      <c r="A743" t="s">
        <v>1501</v>
      </c>
      <c r="B743" s="3" t="str">
        <f>HYPERLINK("http://www.ncbi.nlm.nih.gov/gene/64930","Tsc1")</f>
        <v>Tsc1</v>
      </c>
      <c r="C743">
        <v>64930</v>
      </c>
      <c r="D743" t="s">
        <v>1502</v>
      </c>
      <c r="E743" s="3" t="str">
        <f>HYPERLINK("http://genome.ucsc.edu/cgi-bin/hgTracks?db=mm10&amp;lastVirtModeType=default&amp;lastVirtModeExtraState=&amp;virtModeType=default&amp;virtMode=0&amp;nonVirtPosition=&amp;position=chr2:28641232-28691172","chr2:28641232-28691172")</f>
        <v>chr2:28641232-28691172</v>
      </c>
      <c r="F743" t="s">
        <v>30</v>
      </c>
      <c r="G743">
        <v>0.57712445471868501</v>
      </c>
      <c r="H743">
        <v>0.12530331323111699</v>
      </c>
      <c r="I743">
        <v>4.6058195895762104</v>
      </c>
      <c r="J743" s="1">
        <v>4.1084447144244801E-6</v>
      </c>
      <c r="K743" s="1">
        <v>7.4346193474132693E-5</v>
      </c>
      <c r="L743" t="s">
        <v>26</v>
      </c>
      <c r="M743" t="s">
        <v>27</v>
      </c>
      <c r="N743">
        <v>358.15586180131697</v>
      </c>
      <c r="O743">
        <v>279.686170497614</v>
      </c>
      <c r="P743">
        <v>417.008130279093</v>
      </c>
      <c r="Q743">
        <v>283.407405916914</v>
      </c>
      <c r="R743">
        <v>254.480048732184</v>
      </c>
      <c r="S743">
        <v>301.17105684374502</v>
      </c>
      <c r="T743">
        <v>389.55115082440699</v>
      </c>
      <c r="U743">
        <v>389.70872775116698</v>
      </c>
      <c r="V743">
        <v>420.058219237895</v>
      </c>
      <c r="W743">
        <v>468.71442330290199</v>
      </c>
    </row>
    <row r="744" spans="1:23" x14ac:dyDescent="0.2">
      <c r="A744" t="s">
        <v>1503</v>
      </c>
      <c r="B744" s="3" t="str">
        <f>HYPERLINK("http://www.ncbi.nlm.nih.gov/gene/18949","Pnn")</f>
        <v>Pnn</v>
      </c>
      <c r="C744">
        <v>18949</v>
      </c>
      <c r="D744" t="s">
        <v>1504</v>
      </c>
      <c r="E744" s="3" t="str">
        <f>HYPERLINK("http://genome.ucsc.edu/cgi-bin/hgTracks?db=mm10&amp;lastVirtModeType=default&amp;lastVirtModeExtraState=&amp;virtModeType=default&amp;virtMode=0&amp;nonVirtPosition=&amp;position=chr12:59066918-59074017","chr12:59066918-59074017")</f>
        <v>chr12:59066918-59074017</v>
      </c>
      <c r="F744" t="s">
        <v>30</v>
      </c>
      <c r="G744">
        <v>0.53136944351959303</v>
      </c>
      <c r="H744">
        <v>0.11540544268498</v>
      </c>
      <c r="I744">
        <v>4.6043707398624303</v>
      </c>
      <c r="J744" s="1">
        <v>4.1371488203293597E-6</v>
      </c>
      <c r="K744" s="1">
        <v>7.4764588195722602E-5</v>
      </c>
      <c r="L744" t="s">
        <v>26</v>
      </c>
      <c r="M744" t="s">
        <v>27</v>
      </c>
      <c r="N744">
        <v>387.99074528164698</v>
      </c>
      <c r="O744">
        <v>304.82020608369697</v>
      </c>
      <c r="P744">
        <v>450.368649680109</v>
      </c>
      <c r="Q744">
        <v>286.19136864694298</v>
      </c>
      <c r="R744">
        <v>313.643815650546</v>
      </c>
      <c r="S744">
        <v>314.62543395360302</v>
      </c>
      <c r="T744">
        <v>504.12501871393903</v>
      </c>
      <c r="U744">
        <v>426.11009243122197</v>
      </c>
      <c r="V744">
        <v>415.64429749458998</v>
      </c>
      <c r="W744">
        <v>455.59519008068401</v>
      </c>
    </row>
    <row r="745" spans="1:23" x14ac:dyDescent="0.2">
      <c r="A745" t="s">
        <v>1505</v>
      </c>
      <c r="B745" s="3" t="str">
        <f>HYPERLINK("http://www.ncbi.nlm.nih.gov/gene/72344","Usp36")</f>
        <v>Usp36</v>
      </c>
      <c r="C745">
        <v>72344</v>
      </c>
      <c r="D745" t="s">
        <v>1506</v>
      </c>
      <c r="E745" s="3" t="str">
        <f>HYPERLINK("http://genome.ucsc.edu/cgi-bin/hgTracks?db=mm10&amp;lastVirtModeType=default&amp;lastVirtModeExtraState=&amp;virtModeType=default&amp;virtMode=0&amp;nonVirtPosition=&amp;position=chr11:118259652-118290244","chr11:118259652-118290244")</f>
        <v>chr11:118259652-118290244</v>
      </c>
      <c r="F745" t="s">
        <v>25</v>
      </c>
      <c r="G745">
        <v>0.96775108522836895</v>
      </c>
      <c r="H745">
        <v>0.21026254491256699</v>
      </c>
      <c r="I745">
        <v>4.60258428637772</v>
      </c>
      <c r="J745" s="1">
        <v>4.1728060401010798E-6</v>
      </c>
      <c r="K745" s="1">
        <v>7.5307339195409E-5</v>
      </c>
      <c r="L745" t="s">
        <v>26</v>
      </c>
      <c r="M745" t="s">
        <v>27</v>
      </c>
      <c r="N745">
        <v>226.38431597949699</v>
      </c>
      <c r="O745">
        <v>141.61219468919501</v>
      </c>
      <c r="P745">
        <v>289.96340694722301</v>
      </c>
      <c r="Q745">
        <v>95.768317912984699</v>
      </c>
      <c r="R745">
        <v>135.01475014703101</v>
      </c>
      <c r="S745">
        <v>194.05351600756799</v>
      </c>
      <c r="T745">
        <v>233.73069049464399</v>
      </c>
      <c r="U745">
        <v>325.47102537460103</v>
      </c>
      <c r="V745">
        <v>281.019684323776</v>
      </c>
      <c r="W745">
        <v>319.632227595872</v>
      </c>
    </row>
    <row r="746" spans="1:23" x14ac:dyDescent="0.2">
      <c r="A746" t="s">
        <v>1507</v>
      </c>
      <c r="B746" s="3" t="str">
        <f>HYPERLINK("http://www.ncbi.nlm.nih.gov/gene/56370","Tagln3")</f>
        <v>Tagln3</v>
      </c>
      <c r="C746">
        <v>56370</v>
      </c>
      <c r="D746" t="s">
        <v>1508</v>
      </c>
      <c r="E746" s="3" t="str">
        <f>HYPERLINK("http://genome.ucsc.edu/cgi-bin/hgTracks?db=mm10&amp;lastVirtModeType=default&amp;lastVirtModeExtraState=&amp;virtModeType=default&amp;virtMode=0&amp;nonVirtPosition=&amp;position=chr16:45711229-45724531","chr16:45711229-45724531")</f>
        <v>chr16:45711229-45724531</v>
      </c>
      <c r="F746" t="s">
        <v>25</v>
      </c>
      <c r="G746">
        <v>-0.77512364707455605</v>
      </c>
      <c r="H746">
        <v>0.16854651747915</v>
      </c>
      <c r="I746">
        <v>-4.5988707370975099</v>
      </c>
      <c r="J746" s="1">
        <v>4.2478723663768097E-6</v>
      </c>
      <c r="K746" s="1">
        <v>7.6558894829275694E-5</v>
      </c>
      <c r="L746" t="s">
        <v>26</v>
      </c>
      <c r="M746" t="s">
        <v>27</v>
      </c>
      <c r="N746">
        <v>273.64967827450602</v>
      </c>
      <c r="O746">
        <v>360.578935135351</v>
      </c>
      <c r="P746">
        <v>208.45273562887101</v>
      </c>
      <c r="Q746">
        <v>341.87062324751503</v>
      </c>
      <c r="R746">
        <v>437.66017322942002</v>
      </c>
      <c r="S746">
        <v>302.20600892911898</v>
      </c>
      <c r="T746">
        <v>219.98182634790101</v>
      </c>
      <c r="U746">
        <v>229.11447180975199</v>
      </c>
      <c r="V746">
        <v>173.61425523667799</v>
      </c>
      <c r="W746">
        <v>211.100389121154</v>
      </c>
    </row>
    <row r="747" spans="1:23" x14ac:dyDescent="0.2">
      <c r="A747" t="s">
        <v>1509</v>
      </c>
      <c r="B747" s="3" t="str">
        <f>HYPERLINK("http://www.ncbi.nlm.nih.gov/gene/78656","Brd8")</f>
        <v>Brd8</v>
      </c>
      <c r="C747">
        <v>78656</v>
      </c>
      <c r="D747" t="s">
        <v>1510</v>
      </c>
      <c r="E747" s="3" t="str">
        <f>HYPERLINK("http://genome.ucsc.edu/cgi-bin/hgTracks?db=mm10&amp;lastVirtModeType=default&amp;lastVirtModeExtraState=&amp;virtModeType=default&amp;virtMode=0&amp;nonVirtPosition=&amp;position=chr18:34598614-34624863","chr18:34598614-34624863")</f>
        <v>chr18:34598614-34624863</v>
      </c>
      <c r="F747" t="s">
        <v>25</v>
      </c>
      <c r="G747">
        <v>0.44955648572039703</v>
      </c>
      <c r="H747">
        <v>9.7780743732390096E-2</v>
      </c>
      <c r="I747">
        <v>4.5975973239757701</v>
      </c>
      <c r="J747" s="1">
        <v>4.2739100083600904E-6</v>
      </c>
      <c r="K747" s="1">
        <v>7.6924635647782197E-5</v>
      </c>
      <c r="L747" t="s">
        <v>26</v>
      </c>
      <c r="M747" t="s">
        <v>27</v>
      </c>
      <c r="N747">
        <v>616.61545343184105</v>
      </c>
      <c r="O747">
        <v>507.64138096942298</v>
      </c>
      <c r="P747">
        <v>698.34600777865501</v>
      </c>
      <c r="Q747">
        <v>501.11329140515198</v>
      </c>
      <c r="R747">
        <v>513.13190154194501</v>
      </c>
      <c r="S747">
        <v>508.67894996117099</v>
      </c>
      <c r="T747">
        <v>737.85570920858299</v>
      </c>
      <c r="U747">
        <v>644.51828051154598</v>
      </c>
      <c r="V747">
        <v>712.11270791993502</v>
      </c>
      <c r="W747">
        <v>698.89733347455604</v>
      </c>
    </row>
    <row r="748" spans="1:23" x14ac:dyDescent="0.2">
      <c r="A748" t="s">
        <v>1511</v>
      </c>
      <c r="B748" s="3" t="str">
        <f>HYPERLINK("http://www.ncbi.nlm.nih.gov/gene/21384","Tbx15")</f>
        <v>Tbx15</v>
      </c>
      <c r="C748">
        <v>21384</v>
      </c>
      <c r="D748" t="s">
        <v>1512</v>
      </c>
      <c r="E748" s="3" t="str">
        <f>HYPERLINK("http://genome.ucsc.edu/cgi-bin/hgTracks?db=mm10&amp;lastVirtModeType=default&amp;lastVirtModeExtraState=&amp;virtModeType=default&amp;virtMode=0&amp;nonVirtPosition=&amp;position=chr3:99253759-99354260","chr3:99253759-99354260")</f>
        <v>chr3:99253759-99354260</v>
      </c>
      <c r="F748" t="s">
        <v>30</v>
      </c>
      <c r="G748">
        <v>1.55574968797489</v>
      </c>
      <c r="H748">
        <v>0.338445438664357</v>
      </c>
      <c r="I748">
        <v>4.5967518253888002</v>
      </c>
      <c r="J748" s="1">
        <v>4.29128243004313E-6</v>
      </c>
      <c r="K748" s="1">
        <v>7.71336416385336E-5</v>
      </c>
      <c r="L748" t="s">
        <v>26</v>
      </c>
      <c r="M748" t="s">
        <v>27</v>
      </c>
      <c r="N748">
        <v>18.976263904059898</v>
      </c>
      <c r="O748">
        <v>6.7370359803864499</v>
      </c>
      <c r="P748">
        <v>28.1556848468149</v>
      </c>
      <c r="Q748">
        <v>7.79509564408015</v>
      </c>
      <c r="R748">
        <v>5.6888237421501699</v>
      </c>
      <c r="S748">
        <v>6.72718855492902</v>
      </c>
      <c r="T748">
        <v>36.663637724650101</v>
      </c>
      <c r="U748">
        <v>14.9887972211987</v>
      </c>
      <c r="V748">
        <v>22.805262340411101</v>
      </c>
      <c r="W748">
        <v>38.165042100999699</v>
      </c>
    </row>
    <row r="749" spans="1:23" x14ac:dyDescent="0.2">
      <c r="A749" t="s">
        <v>1513</v>
      </c>
      <c r="B749" s="3" t="str">
        <f>HYPERLINK("http://www.ncbi.nlm.nih.gov/gene/13688","Eif4ebp2")</f>
        <v>Eif4ebp2</v>
      </c>
      <c r="C749">
        <v>13688</v>
      </c>
      <c r="D749" t="s">
        <v>1514</v>
      </c>
      <c r="E749" s="3" t="str">
        <f>HYPERLINK("http://genome.ucsc.edu/cgi-bin/hgTracks?db=mm10&amp;lastVirtModeType=default&amp;lastVirtModeExtraState=&amp;virtModeType=default&amp;virtMode=0&amp;nonVirtPosition=&amp;position=chr10:61432496-61452669","chr10:61432496-61452669")</f>
        <v>chr10:61432496-61452669</v>
      </c>
      <c r="F749" t="s">
        <v>25</v>
      </c>
      <c r="G749">
        <v>0.97021744434199697</v>
      </c>
      <c r="H749">
        <v>0.211115302321254</v>
      </c>
      <c r="I749">
        <v>4.5956756032095596</v>
      </c>
      <c r="J749" s="1">
        <v>4.3134934120047702E-6</v>
      </c>
      <c r="K749" s="1">
        <v>7.7428941394310803E-5</v>
      </c>
      <c r="L749" t="s">
        <v>26</v>
      </c>
      <c r="M749" t="s">
        <v>27</v>
      </c>
      <c r="N749">
        <v>756.08470289709396</v>
      </c>
      <c r="O749">
        <v>468.23643331651198</v>
      </c>
      <c r="P749">
        <v>971.97090508253098</v>
      </c>
      <c r="Q749">
        <v>394.20912257205299</v>
      </c>
      <c r="R749">
        <v>332.60656145771298</v>
      </c>
      <c r="S749">
        <v>677.89361591977001</v>
      </c>
      <c r="T749">
        <v>1090.7432223083399</v>
      </c>
      <c r="U749">
        <v>1081.3346566722</v>
      </c>
      <c r="V749">
        <v>841.58774572355901</v>
      </c>
      <c r="W749">
        <v>874.21799562602405</v>
      </c>
    </row>
    <row r="750" spans="1:23" x14ac:dyDescent="0.2">
      <c r="A750" t="s">
        <v>1515</v>
      </c>
      <c r="B750" s="3" t="str">
        <f>HYPERLINK("http://www.ncbi.nlm.nih.gov/gene/320910","Itgb8")</f>
        <v>Itgb8</v>
      </c>
      <c r="C750">
        <v>320910</v>
      </c>
      <c r="D750" t="s">
        <v>1516</v>
      </c>
      <c r="E750" s="3" t="str">
        <f>HYPERLINK("http://genome.ucsc.edu/cgi-bin/hgTracks?db=mm10&amp;lastVirtModeType=default&amp;lastVirtModeExtraState=&amp;virtModeType=default&amp;virtMode=0&amp;nonVirtPosition=&amp;position=chr12:119162802-119238276","chr12:119162802-119238276")</f>
        <v>chr12:119162802-119238276</v>
      </c>
      <c r="F750" t="s">
        <v>25</v>
      </c>
      <c r="G750">
        <v>-0.80748589591499498</v>
      </c>
      <c r="H750">
        <v>0.175973669807614</v>
      </c>
      <c r="I750">
        <v>-4.5886745261253798</v>
      </c>
      <c r="J750" s="1">
        <v>4.4606928406439498E-6</v>
      </c>
      <c r="K750" s="1">
        <v>7.9964039931811406E-5</v>
      </c>
      <c r="L750" t="s">
        <v>26</v>
      </c>
      <c r="M750" t="s">
        <v>27</v>
      </c>
      <c r="N750">
        <v>2068.5684993504601</v>
      </c>
      <c r="O750">
        <v>2773.6151214835199</v>
      </c>
      <c r="P750">
        <v>1539.78353275067</v>
      </c>
      <c r="Q750">
        <v>3618.0379639451999</v>
      </c>
      <c r="R750">
        <v>2267.5651436210601</v>
      </c>
      <c r="S750">
        <v>2435.2422568842999</v>
      </c>
      <c r="T750">
        <v>1649.86369760925</v>
      </c>
      <c r="U750">
        <v>1599.5187891764899</v>
      </c>
      <c r="V750">
        <v>1632.4153913991099</v>
      </c>
      <c r="W750">
        <v>1277.33625281783</v>
      </c>
    </row>
    <row r="751" spans="1:23" x14ac:dyDescent="0.2">
      <c r="A751" t="s">
        <v>1517</v>
      </c>
      <c r="B751" s="3" t="str">
        <f>HYPERLINK("http://www.ncbi.nlm.nih.gov/gene/20449","St8sia1")</f>
        <v>St8sia1</v>
      </c>
      <c r="C751">
        <v>20449</v>
      </c>
      <c r="D751" t="s">
        <v>1518</v>
      </c>
      <c r="E751" s="3" t="str">
        <f>HYPERLINK("http://genome.ucsc.edu/cgi-bin/hgTracks?db=mm10&amp;lastVirtModeType=default&amp;lastVirtModeExtraState=&amp;virtModeType=default&amp;virtMode=0&amp;nonVirtPosition=&amp;position=chr6:142821540-142964452","chr6:142821540-142964452")</f>
        <v>chr6:142821540-142964452</v>
      </c>
      <c r="F751" t="s">
        <v>25</v>
      </c>
      <c r="G751">
        <v>0.78875355608291697</v>
      </c>
      <c r="H751">
        <v>0.171963840275934</v>
      </c>
      <c r="I751">
        <v>4.5867407637401101</v>
      </c>
      <c r="J751" s="1">
        <v>4.5021914176998698E-6</v>
      </c>
      <c r="K751" s="1">
        <v>8.0600060527298106E-5</v>
      </c>
      <c r="L751" t="s">
        <v>26</v>
      </c>
      <c r="M751" t="s">
        <v>27</v>
      </c>
      <c r="N751">
        <v>667.91296659975001</v>
      </c>
      <c r="O751">
        <v>463.78738679702201</v>
      </c>
      <c r="P751">
        <v>821.00715145179697</v>
      </c>
      <c r="Q751">
        <v>544.54310999359905</v>
      </c>
      <c r="R751">
        <v>367.11875882675798</v>
      </c>
      <c r="S751">
        <v>479.70029157070798</v>
      </c>
      <c r="T751">
        <v>682.86025262160797</v>
      </c>
      <c r="U751">
        <v>1023.52072453329</v>
      </c>
      <c r="V751">
        <v>726.09012677373505</v>
      </c>
      <c r="W751">
        <v>851.55750187855494</v>
      </c>
    </row>
    <row r="752" spans="1:23" x14ac:dyDescent="0.2">
      <c r="A752" t="s">
        <v>1519</v>
      </c>
      <c r="B752" s="3" t="str">
        <f>HYPERLINK("http://www.ncbi.nlm.nih.gov/gene/74229","Paqr8")</f>
        <v>Paqr8</v>
      </c>
      <c r="C752">
        <v>74229</v>
      </c>
      <c r="D752" t="s">
        <v>1520</v>
      </c>
      <c r="E752" s="3" t="str">
        <f>HYPERLINK("http://genome.ucsc.edu/cgi-bin/hgTracks?db=mm10&amp;lastVirtModeType=default&amp;lastVirtModeExtraState=&amp;virtModeType=default&amp;virtMode=0&amp;nonVirtPosition=&amp;position=chr1:20890621-20938756","chr1:20890621-20938756")</f>
        <v>chr1:20890621-20938756</v>
      </c>
      <c r="F752" t="s">
        <v>30</v>
      </c>
      <c r="G752">
        <v>-0.90281205745830695</v>
      </c>
      <c r="H752">
        <v>0.19687182938230699</v>
      </c>
      <c r="I752">
        <v>-4.5857858907031703</v>
      </c>
      <c r="J752" s="1">
        <v>4.5228191710723302E-6</v>
      </c>
      <c r="K752" s="1">
        <v>8.0861243684685695E-5</v>
      </c>
      <c r="L752" t="s">
        <v>26</v>
      </c>
      <c r="M752" t="s">
        <v>27</v>
      </c>
      <c r="N752">
        <v>460.49788965039397</v>
      </c>
      <c r="O752">
        <v>641.79401947040606</v>
      </c>
      <c r="P752">
        <v>324.52579228538502</v>
      </c>
      <c r="Q752">
        <v>658.68558192477303</v>
      </c>
      <c r="R752">
        <v>774.059283848566</v>
      </c>
      <c r="S752">
        <v>492.63719263787902</v>
      </c>
      <c r="T752">
        <v>233.73069049464399</v>
      </c>
      <c r="U752">
        <v>349.024849579342</v>
      </c>
      <c r="V752">
        <v>288.37622056261802</v>
      </c>
      <c r="W752">
        <v>426.971408504934</v>
      </c>
    </row>
    <row r="753" spans="1:23" x14ac:dyDescent="0.2">
      <c r="A753" t="s">
        <v>1521</v>
      </c>
      <c r="B753" s="3" t="str">
        <f>HYPERLINK("http://www.ncbi.nlm.nih.gov/gene/21822","Tgtp1")</f>
        <v>Tgtp1</v>
      </c>
      <c r="C753">
        <v>21822</v>
      </c>
      <c r="D753" t="s">
        <v>1522</v>
      </c>
      <c r="E753" s="3" t="str">
        <f>HYPERLINK("http://genome.ucsc.edu/cgi-bin/hgTracks?db=mm10&amp;lastVirtModeType=default&amp;lastVirtModeExtraState=&amp;virtModeType=default&amp;virtMode=0&amp;nonVirtPosition=&amp;position=chr11:48985328-48992246","chr11:48985328-48992246")</f>
        <v>chr11:48985328-48992246</v>
      </c>
      <c r="F753" t="s">
        <v>25</v>
      </c>
      <c r="G753">
        <v>1.8030099398220001</v>
      </c>
      <c r="H753">
        <v>0.39324725108435699</v>
      </c>
      <c r="I753">
        <v>4.5849270016517698</v>
      </c>
      <c r="J753" s="1">
        <v>4.5414507405568099E-6</v>
      </c>
      <c r="K753" s="1">
        <v>8.1063853414778901E-5</v>
      </c>
      <c r="L753" t="s">
        <v>26</v>
      </c>
      <c r="M753" t="s">
        <v>27</v>
      </c>
      <c r="N753">
        <v>12.338408652260799</v>
      </c>
      <c r="O753">
        <v>2.0183759363145</v>
      </c>
      <c r="P753">
        <v>20.078433189220501</v>
      </c>
      <c r="Q753">
        <v>2.2271701840229001</v>
      </c>
      <c r="R753">
        <v>2.2755294968600701</v>
      </c>
      <c r="S753">
        <v>1.5524281280605401</v>
      </c>
      <c r="T753">
        <v>36.663637724650101</v>
      </c>
      <c r="U753">
        <v>2.1412567458855398</v>
      </c>
      <c r="V753">
        <v>17.655686973221499</v>
      </c>
      <c r="W753">
        <v>23.853151313124801</v>
      </c>
    </row>
    <row r="754" spans="1:23" x14ac:dyDescent="0.2">
      <c r="A754" t="s">
        <v>1523</v>
      </c>
      <c r="B754" s="3" t="str">
        <f>HYPERLINK("http://www.ncbi.nlm.nih.gov/gene/68490","Zfp579")</f>
        <v>Zfp579</v>
      </c>
      <c r="C754">
        <v>68490</v>
      </c>
      <c r="D754" t="s">
        <v>1524</v>
      </c>
      <c r="E754" s="3" t="str">
        <f>HYPERLINK("http://genome.ucsc.edu/cgi-bin/hgTracks?db=mm10&amp;lastVirtModeType=default&amp;lastVirtModeExtraState=&amp;virtModeType=default&amp;virtMode=0&amp;nonVirtPosition=&amp;position=chr7:4992851-4996101","chr7:4992851-4996101")</f>
        <v>chr7:4992851-4996101</v>
      </c>
      <c r="F754" t="s">
        <v>25</v>
      </c>
      <c r="G754">
        <v>1.19070052488278</v>
      </c>
      <c r="H754">
        <v>0.25971143005928699</v>
      </c>
      <c r="I754">
        <v>4.5847058968908803</v>
      </c>
      <c r="J754" s="1">
        <v>4.5462589735269199E-6</v>
      </c>
      <c r="K754" s="1">
        <v>8.1063853414778901E-5</v>
      </c>
      <c r="L754" t="s">
        <v>26</v>
      </c>
      <c r="M754" t="s">
        <v>27</v>
      </c>
      <c r="N754">
        <v>80.177844150890806</v>
      </c>
      <c r="O754">
        <v>42.543483183356798</v>
      </c>
      <c r="P754">
        <v>108.403614876541</v>
      </c>
      <c r="Q754">
        <v>43.986611134452303</v>
      </c>
      <c r="R754">
        <v>24.651569549317401</v>
      </c>
      <c r="S754">
        <v>58.992268866300599</v>
      </c>
      <c r="T754">
        <v>100.825003742788</v>
      </c>
      <c r="U754">
        <v>132.75791824490301</v>
      </c>
      <c r="V754">
        <v>92.692356609412997</v>
      </c>
      <c r="W754">
        <v>107.33918090906199</v>
      </c>
    </row>
    <row r="755" spans="1:23" x14ac:dyDescent="0.2">
      <c r="A755" t="s">
        <v>1525</v>
      </c>
      <c r="B755" s="3" t="str">
        <f>HYPERLINK("http://www.ncbi.nlm.nih.gov/gene/21402","Skp1a")</f>
        <v>Skp1a</v>
      </c>
      <c r="C755">
        <v>21402</v>
      </c>
      <c r="D755" t="s">
        <v>1526</v>
      </c>
      <c r="E755" s="3" t="str">
        <f>HYPERLINK("http://genome.ucsc.edu/cgi-bin/hgTracks?db=mm10&amp;lastVirtModeType=default&amp;lastVirtModeExtraState=&amp;virtModeType=default&amp;virtMode=0&amp;nonVirtPosition=&amp;position=chr11:52231994-52246858","chr11:52231994-52246858")</f>
        <v>chr11:52231994-52246858</v>
      </c>
      <c r="F755" t="s">
        <v>30</v>
      </c>
      <c r="G755">
        <v>-0.62553470410815404</v>
      </c>
      <c r="H755">
        <v>0.13645781558487499</v>
      </c>
      <c r="I755">
        <v>-4.5840885069648598</v>
      </c>
      <c r="J755" s="1">
        <v>4.5597108173903597E-6</v>
      </c>
      <c r="K755" s="1">
        <v>8.11955951538223E-5</v>
      </c>
      <c r="L755" t="s">
        <v>26</v>
      </c>
      <c r="M755" t="s">
        <v>27</v>
      </c>
      <c r="N755">
        <v>711.45794561255798</v>
      </c>
      <c r="O755">
        <v>892.20749134886103</v>
      </c>
      <c r="P755">
        <v>575.89578631032998</v>
      </c>
      <c r="Q755">
        <v>1026.16866228855</v>
      </c>
      <c r="R755">
        <v>893.90383734986301</v>
      </c>
      <c r="S755">
        <v>756.54997440817101</v>
      </c>
      <c r="T755">
        <v>659.94547904370199</v>
      </c>
      <c r="U755">
        <v>539.59669996315495</v>
      </c>
      <c r="V755">
        <v>555.41848603259405</v>
      </c>
      <c r="W755">
        <v>548.62248020186996</v>
      </c>
    </row>
    <row r="756" spans="1:23" x14ac:dyDescent="0.2">
      <c r="A756" t="s">
        <v>1527</v>
      </c>
      <c r="B756" s="3" t="str">
        <f>HYPERLINK("http://www.ncbi.nlm.nih.gov/gene/76252","Atp6v0e2")</f>
        <v>Atp6v0e2</v>
      </c>
      <c r="C756">
        <v>76252</v>
      </c>
      <c r="D756" t="s">
        <v>1528</v>
      </c>
      <c r="E756" s="3" t="str">
        <f>HYPERLINK("http://genome.ucsc.edu/cgi-bin/hgTracks?db=mm10&amp;lastVirtModeType=default&amp;lastVirtModeExtraState=&amp;virtModeType=default&amp;virtMode=0&amp;nonVirtPosition=&amp;position=chr6:48537568-48541800","chr6:48537568-48541800")</f>
        <v>chr6:48537568-48541800</v>
      </c>
      <c r="F756" t="s">
        <v>30</v>
      </c>
      <c r="G756">
        <v>-0.55308236940537103</v>
      </c>
      <c r="H756">
        <v>0.120697414504836</v>
      </c>
      <c r="I756">
        <v>-4.58238788025744</v>
      </c>
      <c r="J756" s="1">
        <v>4.5969619474307403E-6</v>
      </c>
      <c r="K756" s="1">
        <v>8.1750222361281604E-5</v>
      </c>
      <c r="L756" t="s">
        <v>26</v>
      </c>
      <c r="M756" t="s">
        <v>27</v>
      </c>
      <c r="N756">
        <v>711.61511049174396</v>
      </c>
      <c r="O756">
        <v>872.41092129508297</v>
      </c>
      <c r="P756">
        <v>591.01825238923902</v>
      </c>
      <c r="Q756">
        <v>930.40034437556596</v>
      </c>
      <c r="R756">
        <v>865.08046372296894</v>
      </c>
      <c r="S756">
        <v>821.75195578671401</v>
      </c>
      <c r="T756">
        <v>582.03524887881997</v>
      </c>
      <c r="U756">
        <v>676.63713169982896</v>
      </c>
      <c r="V756">
        <v>587.78724548349999</v>
      </c>
      <c r="W756">
        <v>517.61338349480798</v>
      </c>
    </row>
    <row r="757" spans="1:23" x14ac:dyDescent="0.2">
      <c r="A757" t="s">
        <v>1529</v>
      </c>
      <c r="B757" s="3" t="str">
        <f>HYPERLINK("http://www.ncbi.nlm.nih.gov/gene/20597","Smpd1")</f>
        <v>Smpd1</v>
      </c>
      <c r="C757">
        <v>20597</v>
      </c>
      <c r="D757" t="s">
        <v>1530</v>
      </c>
      <c r="E757" s="3" t="str">
        <f>HYPERLINK("http://genome.ucsc.edu/cgi-bin/hgTracks?db=mm10&amp;lastVirtModeType=default&amp;lastVirtModeExtraState=&amp;virtModeType=default&amp;virtMode=0&amp;nonVirtPosition=&amp;position=chr7:105554359-105558389","chr7:105554359-105558389")</f>
        <v>chr7:105554359-105558389</v>
      </c>
      <c r="F757" t="s">
        <v>30</v>
      </c>
      <c r="G757">
        <v>-0.66053444720613697</v>
      </c>
      <c r="H757">
        <v>0.144247253543933</v>
      </c>
      <c r="I757">
        <v>-4.5791821402336801</v>
      </c>
      <c r="J757" s="1">
        <v>4.6679758073110797E-6</v>
      </c>
      <c r="K757" s="1">
        <v>8.2903002699870806E-5</v>
      </c>
      <c r="L757" t="s">
        <v>26</v>
      </c>
      <c r="M757" t="s">
        <v>27</v>
      </c>
      <c r="N757">
        <v>280.80277688097198</v>
      </c>
      <c r="O757">
        <v>361.514012909229</v>
      </c>
      <c r="P757">
        <v>220.269349859779</v>
      </c>
      <c r="Q757">
        <v>403.11780330814503</v>
      </c>
      <c r="R757">
        <v>325.40071805099001</v>
      </c>
      <c r="S757">
        <v>356.02351736855098</v>
      </c>
      <c r="T757">
        <v>169.56932447650701</v>
      </c>
      <c r="U757">
        <v>256.95080950626402</v>
      </c>
      <c r="V757">
        <v>224.37435528469001</v>
      </c>
      <c r="W757">
        <v>230.18291017165399</v>
      </c>
    </row>
    <row r="758" spans="1:23" x14ac:dyDescent="0.2">
      <c r="A758" t="s">
        <v>1531</v>
      </c>
      <c r="B758" s="3" t="str">
        <f>HYPERLINK("http://www.ncbi.nlm.nih.gov/gene/19047","Ppp1cc")</f>
        <v>Ppp1cc</v>
      </c>
      <c r="C758">
        <v>19047</v>
      </c>
      <c r="D758" t="s">
        <v>1532</v>
      </c>
      <c r="E758" s="3" t="str">
        <f>HYPERLINK("http://genome.ucsc.edu/cgi-bin/hgTracks?db=mm10&amp;lastVirtModeType=default&amp;lastVirtModeExtraState=&amp;virtModeType=default&amp;virtMode=0&amp;nonVirtPosition=&amp;position=chr5:122158278-122175269","chr5:122158278-122175269")</f>
        <v>chr5:122158278-122175269</v>
      </c>
      <c r="F758" t="s">
        <v>30</v>
      </c>
      <c r="G758">
        <v>1.2465324085468501</v>
      </c>
      <c r="H758">
        <v>0.27231580064621802</v>
      </c>
      <c r="I758">
        <v>4.5775250851723301</v>
      </c>
      <c r="J758" s="1">
        <v>4.7050938269053303E-6</v>
      </c>
      <c r="K758" s="1">
        <v>8.3451538325946101E-5</v>
      </c>
      <c r="L758" t="s">
        <v>26</v>
      </c>
      <c r="M758" t="s">
        <v>27</v>
      </c>
      <c r="N758">
        <v>76.150716615236007</v>
      </c>
      <c r="O758">
        <v>38.217846724681401</v>
      </c>
      <c r="P758">
        <v>104.60036903315201</v>
      </c>
      <c r="Q758">
        <v>23.9420794782462</v>
      </c>
      <c r="R758">
        <v>32.236667872184299</v>
      </c>
      <c r="S758">
        <v>58.474792823613797</v>
      </c>
      <c r="T758">
        <v>105.407958458369</v>
      </c>
      <c r="U758">
        <v>132.75791824490301</v>
      </c>
      <c r="V758">
        <v>101.520200096024</v>
      </c>
      <c r="W758">
        <v>78.715399333311794</v>
      </c>
    </row>
    <row r="759" spans="1:23" x14ac:dyDescent="0.2">
      <c r="A759" t="s">
        <v>1533</v>
      </c>
      <c r="B759" s="3" t="str">
        <f>HYPERLINK("http://www.ncbi.nlm.nih.gov/gene/70652","Tmem144")</f>
        <v>Tmem144</v>
      </c>
      <c r="C759">
        <v>70652</v>
      </c>
      <c r="D759" t="s">
        <v>1534</v>
      </c>
      <c r="E759" s="3" t="str">
        <f>HYPERLINK("http://genome.ucsc.edu/cgi-bin/hgTracks?db=mm10&amp;lastVirtModeType=default&amp;lastVirtModeExtraState=&amp;virtModeType=default&amp;virtMode=0&amp;nonVirtPosition=&amp;position=chr3:79813152-79842662","chr3:79813152-79842662")</f>
        <v>chr3:79813152-79842662</v>
      </c>
      <c r="F759" t="s">
        <v>25</v>
      </c>
      <c r="G759">
        <v>-1.1106322163920801</v>
      </c>
      <c r="H759">
        <v>0.242724810003454</v>
      </c>
      <c r="I759">
        <v>-4.5756847698275003</v>
      </c>
      <c r="J759" s="1">
        <v>4.7466481943466903E-6</v>
      </c>
      <c r="K759" s="1">
        <v>8.3919719731486304E-5</v>
      </c>
      <c r="L759" t="s">
        <v>26</v>
      </c>
      <c r="M759" t="s">
        <v>27</v>
      </c>
      <c r="N759">
        <v>83.971499256702302</v>
      </c>
      <c r="O759">
        <v>123.738285252756</v>
      </c>
      <c r="P759">
        <v>54.146409759662198</v>
      </c>
      <c r="Q759">
        <v>133.630211041374</v>
      </c>
      <c r="R759">
        <v>124.77486741116</v>
      </c>
      <c r="S759">
        <v>112.80977730573299</v>
      </c>
      <c r="T759">
        <v>68.744320733718993</v>
      </c>
      <c r="U759">
        <v>55.672675393023901</v>
      </c>
      <c r="V759">
        <v>64.737518901812294</v>
      </c>
      <c r="W759">
        <v>27.431124010093502</v>
      </c>
    </row>
    <row r="760" spans="1:23" x14ac:dyDescent="0.2">
      <c r="A760" t="s">
        <v>1535</v>
      </c>
      <c r="B760" s="3" t="str">
        <f>HYPERLINK("http://www.ncbi.nlm.nih.gov/gene/76820","Fam49a")</f>
        <v>Fam49a</v>
      </c>
      <c r="C760">
        <v>76820</v>
      </c>
      <c r="D760" t="s">
        <v>1536</v>
      </c>
      <c r="E760" s="3" t="str">
        <f>HYPERLINK("http://genome.ucsc.edu/cgi-bin/hgTracks?db=mm10&amp;lastVirtModeType=default&amp;lastVirtModeExtraState=&amp;virtModeType=default&amp;virtMode=0&amp;nonVirtPosition=&amp;position=chr12:12262138-12376361","chr12:12262138-12376361")</f>
        <v>chr12:12262138-12376361</v>
      </c>
      <c r="F760" t="s">
        <v>30</v>
      </c>
      <c r="G760">
        <v>-0.60393648341485395</v>
      </c>
      <c r="H760">
        <v>0.13199028316450401</v>
      </c>
      <c r="I760">
        <v>-4.5756132113312296</v>
      </c>
      <c r="J760" s="1">
        <v>4.7482710662068097E-6</v>
      </c>
      <c r="K760" s="1">
        <v>8.3919719731486304E-5</v>
      </c>
      <c r="L760" t="s">
        <v>26</v>
      </c>
      <c r="M760" t="s">
        <v>27</v>
      </c>
      <c r="N760">
        <v>574.46016507584</v>
      </c>
      <c r="O760">
        <v>715.82498420111199</v>
      </c>
      <c r="P760">
        <v>468.43655073188597</v>
      </c>
      <c r="Q760">
        <v>711.58087379531696</v>
      </c>
      <c r="R760">
        <v>802.50340255931701</v>
      </c>
      <c r="S760">
        <v>633.39067624870199</v>
      </c>
      <c r="T760">
        <v>508.70797342952</v>
      </c>
      <c r="U760">
        <v>462.511457111276</v>
      </c>
      <c r="V760">
        <v>495.83054249797101</v>
      </c>
      <c r="W760">
        <v>406.69622988877802</v>
      </c>
    </row>
    <row r="761" spans="1:23" x14ac:dyDescent="0.2">
      <c r="A761" t="s">
        <v>1537</v>
      </c>
      <c r="B761" s="3" t="str">
        <f>HYPERLINK("http://www.ncbi.nlm.nih.gov/gene/268996","Ss18")</f>
        <v>Ss18</v>
      </c>
      <c r="C761">
        <v>268996</v>
      </c>
      <c r="D761" t="s">
        <v>1538</v>
      </c>
      <c r="E761" s="3" t="str">
        <f>HYPERLINK("http://genome.ucsc.edu/cgi-bin/hgTracks?db=mm10&amp;lastVirtModeType=default&amp;lastVirtModeExtraState=&amp;virtModeType=default&amp;virtMode=0&amp;nonVirtPosition=&amp;position=chr18:14625628-14682914","chr18:14625628-14682914")</f>
        <v>chr18:14625628-14682914</v>
      </c>
      <c r="F761" t="s">
        <v>25</v>
      </c>
      <c r="G761">
        <v>-0.533388673162983</v>
      </c>
      <c r="H761">
        <v>0.116574331760966</v>
      </c>
      <c r="I761">
        <v>-4.5755241750532996</v>
      </c>
      <c r="J761" s="1">
        <v>4.7502910579095399E-6</v>
      </c>
      <c r="K761" s="1">
        <v>8.3919719731486304E-5</v>
      </c>
      <c r="L761" t="s">
        <v>26</v>
      </c>
      <c r="M761" t="s">
        <v>27</v>
      </c>
      <c r="N761">
        <v>441.52678467882902</v>
      </c>
      <c r="O761">
        <v>542.53344140925003</v>
      </c>
      <c r="P761">
        <v>365.77179213101402</v>
      </c>
      <c r="Q761">
        <v>536.74801434951905</v>
      </c>
      <c r="R761">
        <v>553.71217756928297</v>
      </c>
      <c r="S761">
        <v>537.14013230894795</v>
      </c>
      <c r="T761">
        <v>339.13864895301401</v>
      </c>
      <c r="U761">
        <v>327.61228212048701</v>
      </c>
      <c r="V761">
        <v>397.98861052136903</v>
      </c>
      <c r="W761">
        <v>398.347626929184</v>
      </c>
    </row>
    <row r="762" spans="1:23" x14ac:dyDescent="0.2">
      <c r="A762" t="s">
        <v>1539</v>
      </c>
      <c r="B762" s="3" t="str">
        <f>HYPERLINK("http://www.ncbi.nlm.nih.gov/gene/17356","Afdn")</f>
        <v>Afdn</v>
      </c>
      <c r="C762">
        <v>17356</v>
      </c>
      <c r="D762" t="s">
        <v>1540</v>
      </c>
      <c r="E762" s="3" t="str">
        <f>HYPERLINK("http://genome.ucsc.edu/cgi-bin/hgTracks?db=mm10&amp;lastVirtModeType=default&amp;lastVirtModeExtraState=&amp;virtModeType=default&amp;virtMode=0&amp;nonVirtPosition=&amp;position=chr17:13760540-13905794","chr17:13760540-13905794")</f>
        <v>chr17:13760540-13905794</v>
      </c>
      <c r="F762" t="s">
        <v>30</v>
      </c>
      <c r="G762">
        <v>0.51614595253652196</v>
      </c>
      <c r="H762">
        <v>0.112829554581537</v>
      </c>
      <c r="I762">
        <v>4.5745634151513404</v>
      </c>
      <c r="J762" s="1">
        <v>4.7721405213605399E-6</v>
      </c>
      <c r="K762" s="1">
        <v>8.4194642584372798E-5</v>
      </c>
      <c r="L762" t="s">
        <v>26</v>
      </c>
      <c r="M762" t="s">
        <v>27</v>
      </c>
      <c r="N762">
        <v>637.06429760796902</v>
      </c>
      <c r="O762">
        <v>509.25445609152399</v>
      </c>
      <c r="P762">
        <v>732.92167874530196</v>
      </c>
      <c r="Q762">
        <v>502.78366904316999</v>
      </c>
      <c r="R762">
        <v>521.47550969709903</v>
      </c>
      <c r="S762">
        <v>503.50418953430301</v>
      </c>
      <c r="T762">
        <v>765.35343750207096</v>
      </c>
      <c r="U762">
        <v>623.10571305269104</v>
      </c>
      <c r="V762">
        <v>758.45888622464099</v>
      </c>
      <c r="W762">
        <v>784.76867820180598</v>
      </c>
    </row>
    <row r="763" spans="1:23" x14ac:dyDescent="0.2">
      <c r="A763" t="s">
        <v>1541</v>
      </c>
      <c r="B763" s="3" t="str">
        <f>HYPERLINK("http://www.ncbi.nlm.nih.gov/gene/22021","Tpst1")</f>
        <v>Tpst1</v>
      </c>
      <c r="C763">
        <v>22021</v>
      </c>
      <c r="D763" t="s">
        <v>1542</v>
      </c>
      <c r="E763" s="3" t="str">
        <f>HYPERLINK("http://genome.ucsc.edu/cgi-bin/hgTracks?db=mm10&amp;lastVirtModeType=default&amp;lastVirtModeExtraState=&amp;virtModeType=default&amp;virtMode=0&amp;nonVirtPosition=&amp;position=chr5:130079369-130135733","chr5:130079369-130135733")</f>
        <v>chr5:130079369-130135733</v>
      </c>
      <c r="F763" t="s">
        <v>30</v>
      </c>
      <c r="G763">
        <v>-0.68372102607362795</v>
      </c>
      <c r="H763">
        <v>0.14959804893515699</v>
      </c>
      <c r="I763">
        <v>-4.5703873208265202</v>
      </c>
      <c r="J763" s="1">
        <v>4.8682362255449097E-6</v>
      </c>
      <c r="K763" s="1">
        <v>8.5773792924127704E-5</v>
      </c>
      <c r="L763" t="s">
        <v>26</v>
      </c>
      <c r="M763" t="s">
        <v>27</v>
      </c>
      <c r="N763">
        <v>196.23492605731701</v>
      </c>
      <c r="O763">
        <v>255.81440713076</v>
      </c>
      <c r="P763">
        <v>151.55031525223501</v>
      </c>
      <c r="Q763">
        <v>244.43192769651299</v>
      </c>
      <c r="R763">
        <v>261.685892138908</v>
      </c>
      <c r="S763">
        <v>261.32540155685803</v>
      </c>
      <c r="T763">
        <v>105.407958458369</v>
      </c>
      <c r="U763">
        <v>186.289336892042</v>
      </c>
      <c r="V763">
        <v>161.84379725453101</v>
      </c>
      <c r="W763">
        <v>152.66016840399899</v>
      </c>
    </row>
    <row r="764" spans="1:23" x14ac:dyDescent="0.2">
      <c r="A764" t="s">
        <v>1543</v>
      </c>
      <c r="B764" s="3" t="str">
        <f>HYPERLINK("http://www.ncbi.nlm.nih.gov/gene/104175","Sbk1")</f>
        <v>Sbk1</v>
      </c>
      <c r="C764">
        <v>104175</v>
      </c>
      <c r="D764" t="s">
        <v>1544</v>
      </c>
      <c r="E764" s="3" t="str">
        <f>HYPERLINK("http://genome.ucsc.edu/cgi-bin/hgTracks?db=mm10&amp;lastVirtModeType=default&amp;lastVirtModeExtraState=&amp;virtModeType=default&amp;virtMode=0&amp;nonVirtPosition=&amp;position=chr7:126272618-126294999","chr7:126272618-126294999")</f>
        <v>chr7:126272618-126294999</v>
      </c>
      <c r="F764" t="s">
        <v>30</v>
      </c>
      <c r="G764">
        <v>-0.66429677844067903</v>
      </c>
      <c r="H764">
        <v>0.14535653813704</v>
      </c>
      <c r="I764">
        <v>-4.5701196998403404</v>
      </c>
      <c r="J764" s="1">
        <v>4.87445720373842E-6</v>
      </c>
      <c r="K764" s="1">
        <v>8.5773792924127704E-5</v>
      </c>
      <c r="L764" t="s">
        <v>26</v>
      </c>
      <c r="M764" t="s">
        <v>27</v>
      </c>
      <c r="N764">
        <v>607.705782640449</v>
      </c>
      <c r="O764">
        <v>774.88225059785498</v>
      </c>
      <c r="P764">
        <v>482.32343167239497</v>
      </c>
      <c r="Q764">
        <v>812.360324622353</v>
      </c>
      <c r="R764">
        <v>838.53261959293502</v>
      </c>
      <c r="S764">
        <v>673.753807578276</v>
      </c>
      <c r="T764">
        <v>449.129562126964</v>
      </c>
      <c r="U764">
        <v>597.41063210206403</v>
      </c>
      <c r="V764">
        <v>435.50694533946398</v>
      </c>
      <c r="W764">
        <v>447.24658712108999</v>
      </c>
    </row>
    <row r="765" spans="1:23" x14ac:dyDescent="0.2">
      <c r="A765" t="s">
        <v>1545</v>
      </c>
      <c r="B765" s="3" t="str">
        <f>HYPERLINK("http://www.ncbi.nlm.nih.gov/gene/382034","Gse1")</f>
        <v>Gse1</v>
      </c>
      <c r="C765">
        <v>382034</v>
      </c>
      <c r="D765" t="s">
        <v>1546</v>
      </c>
      <c r="E765" s="3" t="str">
        <f>HYPERLINK("http://genome.ucsc.edu/cgi-bin/hgTracks?db=mm10&amp;lastVirtModeType=default&amp;lastVirtModeExtraState=&amp;virtModeType=default&amp;virtMode=0&amp;nonVirtPosition=&amp;position=chr8:120537408-120581383","chr8:120537408-120581383")</f>
        <v>chr8:120537408-120581383</v>
      </c>
      <c r="F765" t="s">
        <v>30</v>
      </c>
      <c r="G765">
        <v>1.10833546637421</v>
      </c>
      <c r="H765">
        <v>0.24263172161324201</v>
      </c>
      <c r="I765">
        <v>4.5679742904388503</v>
      </c>
      <c r="J765" s="1">
        <v>4.9246041786939003E-6</v>
      </c>
      <c r="K765" s="1">
        <v>8.6542486295131306E-5</v>
      </c>
      <c r="L765" t="s">
        <v>26</v>
      </c>
      <c r="M765" t="s">
        <v>27</v>
      </c>
      <c r="N765">
        <v>163.399022140656</v>
      </c>
      <c r="O765">
        <v>92.2147639848572</v>
      </c>
      <c r="P765">
        <v>216.78721575750501</v>
      </c>
      <c r="Q765">
        <v>57.349632238589699</v>
      </c>
      <c r="R765">
        <v>76.988747977098996</v>
      </c>
      <c r="S765">
        <v>142.305911738883</v>
      </c>
      <c r="T765">
        <v>210.81591691673799</v>
      </c>
      <c r="U765">
        <v>214.12567458855401</v>
      </c>
      <c r="V765">
        <v>200.09778569651101</v>
      </c>
      <c r="W765">
        <v>242.109485828217</v>
      </c>
    </row>
    <row r="766" spans="1:23" x14ac:dyDescent="0.2">
      <c r="A766" t="s">
        <v>1547</v>
      </c>
      <c r="B766" s="3" t="str">
        <f>HYPERLINK("http://www.ncbi.nlm.nih.gov/gene/320024","Nceh1")</f>
        <v>Nceh1</v>
      </c>
      <c r="C766">
        <v>320024</v>
      </c>
      <c r="D766" t="s">
        <v>1548</v>
      </c>
      <c r="E766" s="3" t="str">
        <f>HYPERLINK("http://genome.ucsc.edu/cgi-bin/hgTracks?db=mm10&amp;lastVirtModeType=default&amp;lastVirtModeExtraState=&amp;virtModeType=default&amp;virtMode=0&amp;nonVirtPosition=&amp;position=chr3:27183003-27244911","chr3:27183003-27244911")</f>
        <v>chr3:27183003-27244911</v>
      </c>
      <c r="F766" t="s">
        <v>30</v>
      </c>
      <c r="G766">
        <v>-0.69539259756621896</v>
      </c>
      <c r="H766">
        <v>0.15226511132009299</v>
      </c>
      <c r="I766">
        <v>-4.5669857759100001</v>
      </c>
      <c r="J766" s="1">
        <v>4.9478757185522196E-6</v>
      </c>
      <c r="K766" s="1">
        <v>8.6837488528352194E-5</v>
      </c>
      <c r="L766" t="s">
        <v>26</v>
      </c>
      <c r="M766" t="s">
        <v>27</v>
      </c>
      <c r="N766">
        <v>301.67216035926498</v>
      </c>
      <c r="O766">
        <v>390.85181144865601</v>
      </c>
      <c r="P766">
        <v>234.78742204222101</v>
      </c>
      <c r="Q766">
        <v>460.46743554673498</v>
      </c>
      <c r="R766">
        <v>391.77032837607499</v>
      </c>
      <c r="S766">
        <v>320.31767042315897</v>
      </c>
      <c r="T766">
        <v>215.39887163231899</v>
      </c>
      <c r="U766">
        <v>244.103269030951</v>
      </c>
      <c r="V766">
        <v>243.50134950568</v>
      </c>
      <c r="W766">
        <v>236.146197999935</v>
      </c>
    </row>
    <row r="767" spans="1:23" x14ac:dyDescent="0.2">
      <c r="A767" t="s">
        <v>1549</v>
      </c>
      <c r="B767" s="3" t="str">
        <f>HYPERLINK("http://www.ncbi.nlm.nih.gov/gene/218693","Paip1")</f>
        <v>Paip1</v>
      </c>
      <c r="C767">
        <v>218693</v>
      </c>
      <c r="D767" t="s">
        <v>1550</v>
      </c>
      <c r="E767" s="3" t="str">
        <f>HYPERLINK("http://genome.ucsc.edu/cgi-bin/hgTracks?db=mm10&amp;lastVirtModeType=default&amp;lastVirtModeExtraState=&amp;virtModeType=default&amp;virtMode=0&amp;nonVirtPosition=&amp;position=chr13:119428599-119460323","chr13:119428599-119460323")</f>
        <v>chr13:119428599-119460323</v>
      </c>
      <c r="F767" t="s">
        <v>30</v>
      </c>
      <c r="G767">
        <v>-0.598838229155783</v>
      </c>
      <c r="H767">
        <v>0.131149298870301</v>
      </c>
      <c r="I767">
        <v>-4.5660802940929104</v>
      </c>
      <c r="J767" s="1">
        <v>4.9692848989651204E-6</v>
      </c>
      <c r="K767" s="1">
        <v>8.7099076023615098E-5</v>
      </c>
      <c r="L767" t="s">
        <v>26</v>
      </c>
      <c r="M767" t="s">
        <v>27</v>
      </c>
      <c r="N767">
        <v>429.30857940449499</v>
      </c>
      <c r="O767">
        <v>532.30335875432797</v>
      </c>
      <c r="P767">
        <v>352.06249489212098</v>
      </c>
      <c r="Q767">
        <v>529.50971125144497</v>
      </c>
      <c r="R767">
        <v>599.60202242262801</v>
      </c>
      <c r="S767">
        <v>467.79834258890997</v>
      </c>
      <c r="T767">
        <v>398.71706025557</v>
      </c>
      <c r="U767">
        <v>329.75353886637203</v>
      </c>
      <c r="V767">
        <v>339.87197423451403</v>
      </c>
      <c r="W767">
        <v>339.90740621202798</v>
      </c>
    </row>
    <row r="768" spans="1:23" x14ac:dyDescent="0.2">
      <c r="A768" t="s">
        <v>1551</v>
      </c>
      <c r="B768" s="3" t="str">
        <f>HYPERLINK("http://www.ncbi.nlm.nih.gov/gene/67788","Sfr1")</f>
        <v>Sfr1</v>
      </c>
      <c r="C768">
        <v>67788</v>
      </c>
      <c r="D768" t="s">
        <v>1552</v>
      </c>
      <c r="E768" s="3" t="str">
        <f>HYPERLINK("http://genome.ucsc.edu/cgi-bin/hgTracks?db=mm10&amp;lastVirtModeType=default&amp;lastVirtModeExtraState=&amp;virtModeType=default&amp;virtMode=0&amp;nonVirtPosition=&amp;position=chr19:47731755-47735588","chr19:47731755-47735588")</f>
        <v>chr19:47731755-47735588</v>
      </c>
      <c r="F768" t="s">
        <v>30</v>
      </c>
      <c r="G768">
        <v>-0.70664195491563198</v>
      </c>
      <c r="H768">
        <v>0.15477210165258801</v>
      </c>
      <c r="I768">
        <v>-4.5656933476409698</v>
      </c>
      <c r="J768" s="1">
        <v>4.9784608783762203E-6</v>
      </c>
      <c r="K768" s="1">
        <v>8.7145842643576504E-5</v>
      </c>
      <c r="L768" t="s">
        <v>26</v>
      </c>
      <c r="M768" t="s">
        <v>27</v>
      </c>
      <c r="N768">
        <v>365.591372436791</v>
      </c>
      <c r="O768">
        <v>477.25437626140098</v>
      </c>
      <c r="P768">
        <v>281.84411956833401</v>
      </c>
      <c r="Q768">
        <v>512.24914232526703</v>
      </c>
      <c r="R768">
        <v>528.30209818767901</v>
      </c>
      <c r="S768">
        <v>391.21188827125701</v>
      </c>
      <c r="T768">
        <v>219.98182634790101</v>
      </c>
      <c r="U768">
        <v>321.18851188283003</v>
      </c>
      <c r="V768">
        <v>302.35363941641901</v>
      </c>
      <c r="W768">
        <v>283.85250062618502</v>
      </c>
    </row>
    <row r="769" spans="1:23" x14ac:dyDescent="0.2">
      <c r="A769" t="s">
        <v>1553</v>
      </c>
      <c r="B769" s="3" t="str">
        <f>HYPERLINK("http://www.ncbi.nlm.nih.gov/gene/17329","Cxcl9")</f>
        <v>Cxcl9</v>
      </c>
      <c r="C769">
        <v>17329</v>
      </c>
      <c r="D769" t="s">
        <v>1554</v>
      </c>
      <c r="E769" s="3" t="str">
        <f>HYPERLINK("http://genome.ucsc.edu/cgi-bin/hgTracks?db=mm10&amp;lastVirtModeType=default&amp;lastVirtModeExtraState=&amp;virtModeType=default&amp;virtMode=0&amp;nonVirtPosition=&amp;position=chr5:92321330-92328079","chr5:92321330-92328079")</f>
        <v>chr5:92321330-92328079</v>
      </c>
      <c r="F769" t="s">
        <v>25</v>
      </c>
      <c r="G769">
        <v>1.79251312049115</v>
      </c>
      <c r="H769">
        <v>0.39286828539569801</v>
      </c>
      <c r="I769">
        <v>4.56263126122722</v>
      </c>
      <c r="J769" s="1">
        <v>5.0516491145995097E-6</v>
      </c>
      <c r="K769" s="1">
        <v>8.8311531714885095E-5</v>
      </c>
      <c r="L769" t="s">
        <v>26</v>
      </c>
      <c r="M769" t="s">
        <v>27</v>
      </c>
      <c r="N769">
        <v>26.6937970638545</v>
      </c>
      <c r="O769">
        <v>4.6789346308014403</v>
      </c>
      <c r="P769">
        <v>43.204943888644301</v>
      </c>
      <c r="Q769">
        <v>7.79509564408015</v>
      </c>
      <c r="R769">
        <v>4.1718040775767902</v>
      </c>
      <c r="S769">
        <v>2.0699041707473902</v>
      </c>
      <c r="T769">
        <v>68.744320733718993</v>
      </c>
      <c r="U769">
        <v>4.2825134917710699</v>
      </c>
      <c r="V769">
        <v>29.4261449553692</v>
      </c>
      <c r="W769">
        <v>70.366796373718103</v>
      </c>
    </row>
    <row r="770" spans="1:23" x14ac:dyDescent="0.2">
      <c r="A770" t="s">
        <v>1555</v>
      </c>
      <c r="B770" s="3" t="str">
        <f>HYPERLINK("http://www.ncbi.nlm.nih.gov/gene/11518","Add1")</f>
        <v>Add1</v>
      </c>
      <c r="C770">
        <v>11518</v>
      </c>
      <c r="D770" t="s">
        <v>1556</v>
      </c>
      <c r="E770" s="3" t="str">
        <f>HYPERLINK("http://genome.ucsc.edu/cgi-bin/hgTracks?db=mm10&amp;lastVirtModeType=default&amp;lastVirtModeExtraState=&amp;virtModeType=default&amp;virtMode=0&amp;nonVirtPosition=&amp;position=chr5:34573663-34632308","chr5:34573663-34632308")</f>
        <v>chr5:34573663-34632308</v>
      </c>
      <c r="F770" t="s">
        <v>30</v>
      </c>
      <c r="G770">
        <v>-0.491346658099649</v>
      </c>
      <c r="H770">
        <v>0.107744383879905</v>
      </c>
      <c r="I770">
        <v>-4.5602994829625496</v>
      </c>
      <c r="J770" s="1">
        <v>5.1080718226436704E-6</v>
      </c>
      <c r="K770" s="1">
        <v>8.9181472981774906E-5</v>
      </c>
      <c r="L770" t="s">
        <v>26</v>
      </c>
      <c r="M770" t="s">
        <v>27</v>
      </c>
      <c r="N770">
        <v>1250.3109504344</v>
      </c>
      <c r="O770">
        <v>1503.3975347723599</v>
      </c>
      <c r="P770">
        <v>1060.4960121809299</v>
      </c>
      <c r="Q770">
        <v>1644.7651809009101</v>
      </c>
      <c r="R770">
        <v>1511.7100957473699</v>
      </c>
      <c r="S770">
        <v>1353.7173276687899</v>
      </c>
      <c r="T770">
        <v>1031.1648110057799</v>
      </c>
      <c r="U770">
        <v>1072.76962968865</v>
      </c>
      <c r="V770">
        <v>1096.85955321139</v>
      </c>
      <c r="W770">
        <v>1041.1900548179001</v>
      </c>
    </row>
    <row r="771" spans="1:23" x14ac:dyDescent="0.2">
      <c r="A771" t="s">
        <v>1557</v>
      </c>
      <c r="B771" s="3" t="str">
        <f>HYPERLINK("http://www.ncbi.nlm.nih.gov/gene/20847","Stat2")</f>
        <v>Stat2</v>
      </c>
      <c r="C771">
        <v>20847</v>
      </c>
      <c r="D771" t="s">
        <v>1558</v>
      </c>
      <c r="E771" s="3" t="str">
        <f>HYPERLINK("http://genome.ucsc.edu/cgi-bin/hgTracks?db=mm10&amp;lastVirtModeType=default&amp;lastVirtModeExtraState=&amp;virtModeType=default&amp;virtMode=0&amp;nonVirtPosition=&amp;position=chr10:128270575-128292849","chr10:128270575-128292849")</f>
        <v>chr10:128270575-128292849</v>
      </c>
      <c r="F771" t="s">
        <v>30</v>
      </c>
      <c r="G771">
        <v>0.84056592512992301</v>
      </c>
      <c r="H771">
        <v>0.18444744538006899</v>
      </c>
      <c r="I771">
        <v>4.5572109898180999</v>
      </c>
      <c r="J771" s="1">
        <v>5.1837345549523503E-6</v>
      </c>
      <c r="K771" s="1">
        <v>9.0384621647613195E-5</v>
      </c>
      <c r="L771" t="s">
        <v>26</v>
      </c>
      <c r="M771" t="s">
        <v>27</v>
      </c>
      <c r="N771">
        <v>211.440104457297</v>
      </c>
      <c r="O771">
        <v>141.33775737397301</v>
      </c>
      <c r="P771">
        <v>264.01686476979103</v>
      </c>
      <c r="Q771">
        <v>148.10681723752299</v>
      </c>
      <c r="R771">
        <v>134.63549523088699</v>
      </c>
      <c r="S771">
        <v>141.27095965350901</v>
      </c>
      <c r="T771">
        <v>316.22387537510701</v>
      </c>
      <c r="U771">
        <v>177.72430990849901</v>
      </c>
      <c r="V771">
        <v>241.294388634028</v>
      </c>
      <c r="W771">
        <v>320.82488516152898</v>
      </c>
    </row>
    <row r="772" spans="1:23" x14ac:dyDescent="0.2">
      <c r="A772" t="s">
        <v>1559</v>
      </c>
      <c r="B772" s="3" t="str">
        <f>HYPERLINK("http://www.ncbi.nlm.nih.gov/gene/29869","Ulk2")</f>
        <v>Ulk2</v>
      </c>
      <c r="C772">
        <v>29869</v>
      </c>
      <c r="D772" t="s">
        <v>1560</v>
      </c>
      <c r="E772" s="3" t="str">
        <f>HYPERLINK("http://genome.ucsc.edu/cgi-bin/hgTracks?db=mm10&amp;lastVirtModeType=default&amp;lastVirtModeExtraState=&amp;virtModeType=default&amp;virtMode=0&amp;nonVirtPosition=&amp;position=chr11:61775597-61855092","chr11:61775597-61855092")</f>
        <v>chr11:61775597-61855092</v>
      </c>
      <c r="F772" t="s">
        <v>25</v>
      </c>
      <c r="G772">
        <v>-0.78129324136674105</v>
      </c>
      <c r="H772">
        <v>0.17148750995443801</v>
      </c>
      <c r="I772">
        <v>-4.55597752614357</v>
      </c>
      <c r="J772" s="1">
        <v>5.2142511626362504E-6</v>
      </c>
      <c r="K772" s="1">
        <v>9.0798488060938798E-5</v>
      </c>
      <c r="L772" t="s">
        <v>26</v>
      </c>
      <c r="M772" t="s">
        <v>27</v>
      </c>
      <c r="N772">
        <v>482.65217604133397</v>
      </c>
      <c r="O772">
        <v>643.21154735731602</v>
      </c>
      <c r="P772">
        <v>362.23264755434701</v>
      </c>
      <c r="Q772">
        <v>840.199951922639</v>
      </c>
      <c r="R772">
        <v>559.02174639529005</v>
      </c>
      <c r="S772">
        <v>530.41294375401901</v>
      </c>
      <c r="T772">
        <v>343.72160366859498</v>
      </c>
      <c r="U772">
        <v>364.01364680054098</v>
      </c>
      <c r="V772">
        <v>396.51730327360002</v>
      </c>
      <c r="W772">
        <v>344.67803647465303</v>
      </c>
    </row>
    <row r="773" spans="1:23" x14ac:dyDescent="0.2">
      <c r="A773" t="s">
        <v>1561</v>
      </c>
      <c r="B773" s="3" t="str">
        <f>HYPERLINK("http://www.ncbi.nlm.nih.gov/gene/68465","Adipor2")</f>
        <v>Adipor2</v>
      </c>
      <c r="C773">
        <v>68465</v>
      </c>
      <c r="D773" t="s">
        <v>1562</v>
      </c>
      <c r="E773" s="3" t="str">
        <f>HYPERLINK("http://genome.ucsc.edu/cgi-bin/hgTracks?db=mm10&amp;lastVirtModeType=default&amp;lastVirtModeExtraState=&amp;virtModeType=default&amp;virtMode=0&amp;nonVirtPosition=&amp;position=chr6:119353149-119417483","chr6:119353149-119417483")</f>
        <v>chr6:119353149-119417483</v>
      </c>
      <c r="F773" t="s">
        <v>25</v>
      </c>
      <c r="G773">
        <v>-0.49693136315240999</v>
      </c>
      <c r="H773">
        <v>0.109102520054183</v>
      </c>
      <c r="I773">
        <v>-4.5547193860015502</v>
      </c>
      <c r="J773" s="1">
        <v>5.2455554568233097E-6</v>
      </c>
      <c r="K773" s="1">
        <v>9.1224978080936195E-5</v>
      </c>
      <c r="L773" t="s">
        <v>26</v>
      </c>
      <c r="M773" t="s">
        <v>27</v>
      </c>
      <c r="N773">
        <v>469.24445038117602</v>
      </c>
      <c r="O773">
        <v>565.96883610453699</v>
      </c>
      <c r="P773">
        <v>396.70116108865602</v>
      </c>
      <c r="Q773">
        <v>542.31593980957598</v>
      </c>
      <c r="R773">
        <v>579.12225695088705</v>
      </c>
      <c r="S773">
        <v>576.46831155314806</v>
      </c>
      <c r="T773">
        <v>366.63637724650101</v>
      </c>
      <c r="U773">
        <v>438.95763290653503</v>
      </c>
      <c r="V773">
        <v>403.13818588855798</v>
      </c>
      <c r="W773">
        <v>378.07244831302802</v>
      </c>
    </row>
    <row r="774" spans="1:23" x14ac:dyDescent="0.2">
      <c r="A774" t="s">
        <v>1563</v>
      </c>
      <c r="B774" s="3" t="str">
        <f>HYPERLINK("http://www.ncbi.nlm.nih.gov/gene/17428","Mnt")</f>
        <v>Mnt</v>
      </c>
      <c r="C774">
        <v>17428</v>
      </c>
      <c r="D774" t="s">
        <v>1564</v>
      </c>
      <c r="E774" s="3" t="str">
        <f>HYPERLINK("http://genome.ucsc.edu/cgi-bin/hgTracks?db=mm10&amp;lastVirtModeType=default&amp;lastVirtModeExtraState=&amp;virtModeType=default&amp;virtMode=0&amp;nonVirtPosition=&amp;position=chr11:74830923-74845725","chr11:74830923-74845725")</f>
        <v>chr11:74830923-74845725</v>
      </c>
      <c r="F774" t="s">
        <v>30</v>
      </c>
      <c r="G774">
        <v>0.988909123125569</v>
      </c>
      <c r="H774">
        <v>0.21716606393412299</v>
      </c>
      <c r="I774">
        <v>4.5537000819131404</v>
      </c>
      <c r="J774" s="1">
        <v>5.2710490465594596E-6</v>
      </c>
      <c r="K774" s="1">
        <v>9.1549439406585906E-5</v>
      </c>
      <c r="L774" t="s">
        <v>26</v>
      </c>
      <c r="M774" t="s">
        <v>27</v>
      </c>
      <c r="N774">
        <v>115.196329279312</v>
      </c>
      <c r="O774">
        <v>69.267376254395401</v>
      </c>
      <c r="P774">
        <v>149.64304404799901</v>
      </c>
      <c r="Q774">
        <v>57.906424784595401</v>
      </c>
      <c r="R774">
        <v>57.267492337645002</v>
      </c>
      <c r="S774">
        <v>92.628211640945693</v>
      </c>
      <c r="T774">
        <v>197.06705276999401</v>
      </c>
      <c r="U774">
        <v>130.61666149901799</v>
      </c>
      <c r="V774">
        <v>145.65941752907801</v>
      </c>
      <c r="W774">
        <v>125.229044393905</v>
      </c>
    </row>
    <row r="775" spans="1:23" x14ac:dyDescent="0.2">
      <c r="A775" t="s">
        <v>1565</v>
      </c>
      <c r="B775" s="3" t="str">
        <f>HYPERLINK("http://www.ncbi.nlm.nih.gov/gene/243846","Ccdc9")</f>
        <v>Ccdc9</v>
      </c>
      <c r="C775">
        <v>243846</v>
      </c>
      <c r="D775" t="s">
        <v>1566</v>
      </c>
      <c r="E775" s="3" t="str">
        <f>HYPERLINK("http://genome.ucsc.edu/cgi-bin/hgTracks?db=mm10&amp;lastVirtModeType=default&amp;lastVirtModeExtraState=&amp;virtModeType=default&amp;virtMode=0&amp;nonVirtPosition=&amp;position=chr7:16275463-16284659","chr7:16275463-16284659")</f>
        <v>chr7:16275463-16284659</v>
      </c>
      <c r="F775" t="s">
        <v>25</v>
      </c>
      <c r="G775">
        <v>0.77939386217052398</v>
      </c>
      <c r="H775">
        <v>0.17131959302711</v>
      </c>
      <c r="I775">
        <v>4.5493562551668703</v>
      </c>
      <c r="J775" s="1">
        <v>5.3810276761200803E-6</v>
      </c>
      <c r="K775" s="1">
        <v>9.3338525402751301E-5</v>
      </c>
      <c r="L775" t="s">
        <v>26</v>
      </c>
      <c r="M775" t="s">
        <v>27</v>
      </c>
      <c r="N775">
        <v>122.32327520965001</v>
      </c>
      <c r="O775">
        <v>83.275859097125903</v>
      </c>
      <c r="P775">
        <v>151.60883729404199</v>
      </c>
      <c r="Q775">
        <v>80.734919170830096</v>
      </c>
      <c r="R775">
        <v>88.366395461399307</v>
      </c>
      <c r="S775">
        <v>80.726262659148205</v>
      </c>
      <c r="T775">
        <v>174.152279192088</v>
      </c>
      <c r="U775">
        <v>156.31174244964399</v>
      </c>
      <c r="V775">
        <v>122.11850156478199</v>
      </c>
      <c r="W775">
        <v>153.85282596965499</v>
      </c>
    </row>
    <row r="776" spans="1:23" x14ac:dyDescent="0.2">
      <c r="A776" t="s">
        <v>1567</v>
      </c>
      <c r="B776" s="3" t="str">
        <f>HYPERLINK("http://www.ncbi.nlm.nih.gov/gene/14787","Rhpn1")</f>
        <v>Rhpn1</v>
      </c>
      <c r="C776">
        <v>14787</v>
      </c>
      <c r="D776" t="s">
        <v>1568</v>
      </c>
      <c r="E776" s="3" t="str">
        <f>HYPERLINK("http://genome.ucsc.edu/cgi-bin/hgTracks?db=mm10&amp;lastVirtModeType=default&amp;lastVirtModeExtraState=&amp;virtModeType=default&amp;virtMode=0&amp;nonVirtPosition=&amp;position=chr15:75704287-75714419","chr15:75704287-75714419")</f>
        <v>chr15:75704287-75714419</v>
      </c>
      <c r="F776" t="s">
        <v>30</v>
      </c>
      <c r="G776">
        <v>1.0834174803002601</v>
      </c>
      <c r="H776">
        <v>0.238219048835595</v>
      </c>
      <c r="I776">
        <v>4.5479884400343398</v>
      </c>
      <c r="J776" s="1">
        <v>5.4161109802115398E-6</v>
      </c>
      <c r="K776" s="1">
        <v>9.3825539632616794E-5</v>
      </c>
      <c r="L776" t="s">
        <v>26</v>
      </c>
      <c r="M776" t="s">
        <v>27</v>
      </c>
      <c r="N776">
        <v>64.212791109145201</v>
      </c>
      <c r="O776">
        <v>36.648391851718699</v>
      </c>
      <c r="P776">
        <v>84.886090552215094</v>
      </c>
      <c r="Q776">
        <v>45.656988772469397</v>
      </c>
      <c r="R776">
        <v>28.064863794607501</v>
      </c>
      <c r="S776">
        <v>36.223322988079303</v>
      </c>
      <c r="T776">
        <v>87.076139596044001</v>
      </c>
      <c r="U776">
        <v>89.932783327192496</v>
      </c>
      <c r="V776">
        <v>64.737518901812294</v>
      </c>
      <c r="W776">
        <v>97.7979203838117</v>
      </c>
    </row>
    <row r="777" spans="1:23" x14ac:dyDescent="0.2">
      <c r="A777" t="s">
        <v>1569</v>
      </c>
      <c r="B777" s="3" t="str">
        <f>HYPERLINK("http://www.ncbi.nlm.nih.gov/gene/269295","Rtn4rl2")</f>
        <v>Rtn4rl2</v>
      </c>
      <c r="C777">
        <v>269295</v>
      </c>
      <c r="D777" t="s">
        <v>1570</v>
      </c>
      <c r="E777" s="3" t="str">
        <f>HYPERLINK("http://genome.ucsc.edu/cgi-bin/hgTracks?db=mm10&amp;lastVirtModeType=default&amp;lastVirtModeExtraState=&amp;virtModeType=default&amp;virtMode=0&amp;nonVirtPosition=&amp;position=chr2:84871945-84886692","chr2:84871945-84886692")</f>
        <v>chr2:84871945-84886692</v>
      </c>
      <c r="F777" t="s">
        <v>25</v>
      </c>
      <c r="G777">
        <v>1.53988530140978</v>
      </c>
      <c r="H777">
        <v>0.33862079075061702</v>
      </c>
      <c r="I777">
        <v>4.5475214265383102</v>
      </c>
      <c r="J777" s="1">
        <v>5.4281395519175397E-6</v>
      </c>
      <c r="K777" s="1">
        <v>9.39124247283305E-5</v>
      </c>
      <c r="L777" t="s">
        <v>26</v>
      </c>
      <c r="M777" t="s">
        <v>27</v>
      </c>
      <c r="N777">
        <v>17.780014661188901</v>
      </c>
      <c r="O777">
        <v>6.5531500549467303</v>
      </c>
      <c r="P777">
        <v>26.200163115870399</v>
      </c>
      <c r="Q777">
        <v>3.8975478220400701</v>
      </c>
      <c r="R777">
        <v>6.4473335744368603</v>
      </c>
      <c r="S777">
        <v>9.3145687683632605</v>
      </c>
      <c r="T777">
        <v>22.914773577906299</v>
      </c>
      <c r="U777">
        <v>29.9775944423975</v>
      </c>
      <c r="V777">
        <v>31.6331058270219</v>
      </c>
      <c r="W777">
        <v>20.275178616156101</v>
      </c>
    </row>
    <row r="778" spans="1:23" x14ac:dyDescent="0.2">
      <c r="A778" t="s">
        <v>1571</v>
      </c>
      <c r="B778" s="3" t="str">
        <f>HYPERLINK("http://www.ncbi.nlm.nih.gov/gene/27204","Syn3")</f>
        <v>Syn3</v>
      </c>
      <c r="C778">
        <v>27204</v>
      </c>
      <c r="D778" t="s">
        <v>1572</v>
      </c>
      <c r="E778" s="3" t="str">
        <f>HYPERLINK("http://genome.ucsc.edu/cgi-bin/hgTracks?db=mm10&amp;lastVirtModeType=default&amp;lastVirtModeExtraState=&amp;virtModeType=default&amp;virtMode=0&amp;nonVirtPosition=&amp;position=chr10:86048745-86498896","chr10:86048745-86498896")</f>
        <v>chr10:86048745-86498896</v>
      </c>
      <c r="F778" t="s">
        <v>25</v>
      </c>
      <c r="G778">
        <v>0.99717091726242801</v>
      </c>
      <c r="H778">
        <v>0.21940900780145001</v>
      </c>
      <c r="I778">
        <v>4.5448039132686802</v>
      </c>
      <c r="J778" s="1">
        <v>5.49864182626272E-6</v>
      </c>
      <c r="K778" s="1">
        <v>9.4813004990724104E-5</v>
      </c>
      <c r="L778" t="s">
        <v>26</v>
      </c>
      <c r="M778" t="s">
        <v>27</v>
      </c>
      <c r="N778">
        <v>84.508960764037695</v>
      </c>
      <c r="O778">
        <v>50.363088692139897</v>
      </c>
      <c r="P778">
        <v>110.11836481796099</v>
      </c>
      <c r="Q778">
        <v>65.144727882669798</v>
      </c>
      <c r="R778">
        <v>42.476550608054602</v>
      </c>
      <c r="S778">
        <v>43.467987585695198</v>
      </c>
      <c r="T778">
        <v>137.48864146743799</v>
      </c>
      <c r="U778">
        <v>113.486607531933</v>
      </c>
      <c r="V778">
        <v>100.04889284825499</v>
      </c>
      <c r="W778">
        <v>89.449317424217995</v>
      </c>
    </row>
    <row r="779" spans="1:23" x14ac:dyDescent="0.2">
      <c r="A779" t="s">
        <v>1573</v>
      </c>
      <c r="B779" s="3" t="str">
        <f>HYPERLINK("http://www.ncbi.nlm.nih.gov/gene/330474","Zc3h4")</f>
        <v>Zc3h4</v>
      </c>
      <c r="C779">
        <v>330474</v>
      </c>
      <c r="D779" t="s">
        <v>1574</v>
      </c>
      <c r="E779" s="3" t="str">
        <f>HYPERLINK("http://genome.ucsc.edu/cgi-bin/hgTracks?db=mm10&amp;lastVirtModeType=default&amp;lastVirtModeExtraState=&amp;virtModeType=default&amp;virtMode=0&amp;nonVirtPosition=&amp;position=chr7:16401195-16437696","chr7:16401195-16437696")</f>
        <v>chr7:16401195-16437696</v>
      </c>
      <c r="F779" t="s">
        <v>30</v>
      </c>
      <c r="G779">
        <v>0.64913610745380601</v>
      </c>
      <c r="H779">
        <v>0.142833421250771</v>
      </c>
      <c r="I779">
        <v>4.5447074064978397</v>
      </c>
      <c r="J779" s="1">
        <v>5.5011616150914899E-6</v>
      </c>
      <c r="K779" s="1">
        <v>9.4813004990724104E-5</v>
      </c>
      <c r="L779" t="s">
        <v>26</v>
      </c>
      <c r="M779" t="s">
        <v>27</v>
      </c>
      <c r="N779">
        <v>515.52081095260201</v>
      </c>
      <c r="O779">
        <v>384.44354064146</v>
      </c>
      <c r="P779">
        <v>613.82876368595805</v>
      </c>
      <c r="Q779">
        <v>334.632320149441</v>
      </c>
      <c r="R779">
        <v>374.70385714962401</v>
      </c>
      <c r="S779">
        <v>443.994444625315</v>
      </c>
      <c r="T779">
        <v>591.20115830998304</v>
      </c>
      <c r="U779">
        <v>728.02729360108196</v>
      </c>
      <c r="V779">
        <v>567.18894401474097</v>
      </c>
      <c r="W779">
        <v>568.897658818026</v>
      </c>
    </row>
    <row r="780" spans="1:23" x14ac:dyDescent="0.2">
      <c r="A780" t="s">
        <v>1575</v>
      </c>
      <c r="B780" s="3" t="str">
        <f>HYPERLINK("http://www.ncbi.nlm.nih.gov/gene/217480","Dgkb")</f>
        <v>Dgkb</v>
      </c>
      <c r="C780">
        <v>217480</v>
      </c>
      <c r="D780" t="s">
        <v>1576</v>
      </c>
      <c r="E780" s="3" t="str">
        <f>HYPERLINK("http://genome.ucsc.edu/cgi-bin/hgTracks?db=mm10&amp;lastVirtModeType=default&amp;lastVirtModeExtraState=&amp;virtModeType=default&amp;virtMode=0&amp;nonVirtPosition=&amp;position=chr12:37880704-38633410","chr12:37880704-38633410")</f>
        <v>chr12:37880704-38633410</v>
      </c>
      <c r="F780" t="s">
        <v>30</v>
      </c>
      <c r="G780">
        <v>-1.1623815752025799</v>
      </c>
      <c r="H780">
        <v>0.255766574257838</v>
      </c>
      <c r="I780">
        <v>-4.5446969705696603</v>
      </c>
      <c r="J780" s="1">
        <v>5.5014341630791297E-6</v>
      </c>
      <c r="K780" s="1">
        <v>9.4813004990724104E-5</v>
      </c>
      <c r="L780" t="s">
        <v>26</v>
      </c>
      <c r="M780" t="s">
        <v>27</v>
      </c>
      <c r="N780">
        <v>168.183472498686</v>
      </c>
      <c r="O780">
        <v>253.486523356638</v>
      </c>
      <c r="P780">
        <v>104.206184355221</v>
      </c>
      <c r="Q780">
        <v>382.516479105933</v>
      </c>
      <c r="R780">
        <v>208.21094896269599</v>
      </c>
      <c r="S780">
        <v>169.73214200128601</v>
      </c>
      <c r="T780">
        <v>137.48864146743799</v>
      </c>
      <c r="U780">
        <v>79.2264995977648</v>
      </c>
      <c r="V780">
        <v>86.807127618339194</v>
      </c>
      <c r="W780">
        <v>113.30246873734301</v>
      </c>
    </row>
    <row r="781" spans="1:23" x14ac:dyDescent="0.2">
      <c r="A781" t="s">
        <v>1577</v>
      </c>
      <c r="B781" s="3" t="str">
        <f>HYPERLINK("http://www.ncbi.nlm.nih.gov/gene/20349","Sema3e")</f>
        <v>Sema3e</v>
      </c>
      <c r="C781">
        <v>20349</v>
      </c>
      <c r="D781" t="s">
        <v>1578</v>
      </c>
      <c r="E781" s="3" t="str">
        <f>HYPERLINK("http://genome.ucsc.edu/cgi-bin/hgTracks?db=mm10&amp;lastVirtModeType=default&amp;lastVirtModeExtraState=&amp;virtModeType=default&amp;virtMode=0&amp;nonVirtPosition=&amp;position=chr5:14025275-14256689","chr5:14025275-14256689")</f>
        <v>chr5:14025275-14256689</v>
      </c>
      <c r="F781" t="s">
        <v>30</v>
      </c>
      <c r="G781">
        <v>1.37684856552135</v>
      </c>
      <c r="H781">
        <v>0.30299758681557998</v>
      </c>
      <c r="I781">
        <v>4.5440908622132898</v>
      </c>
      <c r="J781" s="1">
        <v>5.5172856763371003E-6</v>
      </c>
      <c r="K781" s="1">
        <v>9.4963974925231506E-5</v>
      </c>
      <c r="L781" t="s">
        <v>26</v>
      </c>
      <c r="M781" t="s">
        <v>27</v>
      </c>
      <c r="N781">
        <v>69.908339846782397</v>
      </c>
      <c r="O781">
        <v>32.180856828513498</v>
      </c>
      <c r="P781">
        <v>98.203952110483897</v>
      </c>
      <c r="Q781">
        <v>43.429818588446601</v>
      </c>
      <c r="R781">
        <v>24.651569549317401</v>
      </c>
      <c r="S781">
        <v>28.461182347776599</v>
      </c>
      <c r="T781">
        <v>64.161366018137699</v>
      </c>
      <c r="U781">
        <v>51.390161901252803</v>
      </c>
      <c r="V781">
        <v>125.796769684203</v>
      </c>
      <c r="W781">
        <v>151.46751083834201</v>
      </c>
    </row>
    <row r="782" spans="1:23" x14ac:dyDescent="0.2">
      <c r="A782" t="s">
        <v>1579</v>
      </c>
      <c r="B782" s="3" t="str">
        <f>HYPERLINK("http://www.ncbi.nlm.nih.gov/gene/103978","Gpc5")</f>
        <v>Gpc5</v>
      </c>
      <c r="C782">
        <v>103978</v>
      </c>
      <c r="D782" t="s">
        <v>1580</v>
      </c>
      <c r="E782" s="3" t="str">
        <f>HYPERLINK("http://genome.ucsc.edu/cgi-bin/hgTracks?db=mm10&amp;lastVirtModeType=default&amp;lastVirtModeExtraState=&amp;virtModeType=default&amp;virtMode=0&amp;nonVirtPosition=&amp;position=chr14:115092214-116525192","chr14:115092214-116525192")</f>
        <v>chr14:115092214-116525192</v>
      </c>
      <c r="F782" t="s">
        <v>30</v>
      </c>
      <c r="G782">
        <v>-1.2104797146233099</v>
      </c>
      <c r="H782">
        <v>0.26668885284747501</v>
      </c>
      <c r="I782">
        <v>-4.5389212998550503</v>
      </c>
      <c r="J782" s="1">
        <v>5.6542732681346497E-6</v>
      </c>
      <c r="K782" s="1">
        <v>9.7196884895495606E-5</v>
      </c>
      <c r="L782" t="s">
        <v>26</v>
      </c>
      <c r="M782" t="s">
        <v>27</v>
      </c>
      <c r="N782">
        <v>234.14742794372501</v>
      </c>
      <c r="O782">
        <v>359.21590476490297</v>
      </c>
      <c r="P782">
        <v>140.34607032784101</v>
      </c>
      <c r="Q782">
        <v>566.814811833828</v>
      </c>
      <c r="R782">
        <v>262.444401971194</v>
      </c>
      <c r="S782">
        <v>248.388500489687</v>
      </c>
      <c r="T782">
        <v>197.06705276999401</v>
      </c>
      <c r="U782">
        <v>102.780323802506</v>
      </c>
      <c r="V782">
        <v>108.876736334866</v>
      </c>
      <c r="W782">
        <v>152.66016840399899</v>
      </c>
    </row>
    <row r="783" spans="1:23" x14ac:dyDescent="0.2">
      <c r="A783" t="s">
        <v>1581</v>
      </c>
      <c r="B783" s="3" t="str">
        <f>HYPERLINK("http://www.ncbi.nlm.nih.gov/gene/269629","Lhfpl3")</f>
        <v>Lhfpl3</v>
      </c>
      <c r="C783">
        <v>269629</v>
      </c>
      <c r="D783" t="s">
        <v>1582</v>
      </c>
      <c r="E783" s="3" t="str">
        <f>HYPERLINK("http://genome.ucsc.edu/cgi-bin/hgTracks?db=mm10&amp;lastVirtModeType=default&amp;lastVirtModeExtraState=&amp;virtModeType=default&amp;virtMode=0&amp;nonVirtPosition=&amp;position=chr5:22746192-23275597","chr5:22746192-23275597")</f>
        <v>chr5:22746192-23275597</v>
      </c>
      <c r="F783" t="s">
        <v>30</v>
      </c>
      <c r="G783">
        <v>-1.0916621600312</v>
      </c>
      <c r="H783">
        <v>0.24055380425756001</v>
      </c>
      <c r="I783">
        <v>-4.5381205398122004</v>
      </c>
      <c r="J783" s="1">
        <v>5.6757815854085498E-6</v>
      </c>
      <c r="K783" s="1">
        <v>9.7441527192571707E-5</v>
      </c>
      <c r="L783" t="s">
        <v>26</v>
      </c>
      <c r="M783" t="s">
        <v>27</v>
      </c>
      <c r="N783">
        <v>2926.8503519350002</v>
      </c>
      <c r="O783">
        <v>4335.1357632046202</v>
      </c>
      <c r="P783">
        <v>1870.63629348278</v>
      </c>
      <c r="Q783">
        <v>6718.2588601050802</v>
      </c>
      <c r="R783">
        <v>3472.07875729232</v>
      </c>
      <c r="S783">
        <v>2815.0696722164498</v>
      </c>
      <c r="T783">
        <v>2066.9125767271498</v>
      </c>
      <c r="U783">
        <v>1601.66004592238</v>
      </c>
      <c r="V783">
        <v>2146.63727449418</v>
      </c>
      <c r="W783">
        <v>1667.3352767874201</v>
      </c>
    </row>
    <row r="784" spans="1:23" x14ac:dyDescent="0.2">
      <c r="A784" t="s">
        <v>1583</v>
      </c>
      <c r="B784" s="3" t="str">
        <f>HYPERLINK("http://www.ncbi.nlm.nih.gov/gene/28109","D10Wsu102e")</f>
        <v>D10Wsu102e</v>
      </c>
      <c r="C784">
        <v>28109</v>
      </c>
      <c r="D784" t="s">
        <v>1584</v>
      </c>
      <c r="E784" s="3" t="str">
        <f>HYPERLINK("http://genome.ucsc.edu/cgi-bin/hgTracks?db=mm10&amp;lastVirtModeType=default&amp;lastVirtModeExtraState=&amp;virtModeType=default&amp;virtMode=0&amp;nonVirtPosition=&amp;position=chr10:83360220-83368835","chr10:83360220-83368835")</f>
        <v>chr10:83360220-83368835</v>
      </c>
      <c r="F784" t="s">
        <v>30</v>
      </c>
      <c r="G784">
        <v>0.76114397071461903</v>
      </c>
      <c r="H784">
        <v>0.16777655521514401</v>
      </c>
      <c r="I784">
        <v>4.5366527506693997</v>
      </c>
      <c r="J784" s="1">
        <v>5.7154097250786402E-6</v>
      </c>
      <c r="K784" s="1">
        <v>9.7996224876476396E-5</v>
      </c>
      <c r="L784" t="s">
        <v>26</v>
      </c>
      <c r="M784" t="s">
        <v>27</v>
      </c>
      <c r="N784">
        <v>1126.6029791926301</v>
      </c>
      <c r="O784">
        <v>791.917733744663</v>
      </c>
      <c r="P784">
        <v>1377.6169132785999</v>
      </c>
      <c r="Q784">
        <v>573.49632238589697</v>
      </c>
      <c r="R784">
        <v>819.56987378576798</v>
      </c>
      <c r="S784">
        <v>982.68700506232403</v>
      </c>
      <c r="T784">
        <v>1374.8864146743799</v>
      </c>
      <c r="U784">
        <v>1458.19584394805</v>
      </c>
      <c r="V784">
        <v>1403.6271143711101</v>
      </c>
      <c r="W784">
        <v>1273.75828012086</v>
      </c>
    </row>
    <row r="785" spans="1:23" x14ac:dyDescent="0.2">
      <c r="A785" t="s">
        <v>1585</v>
      </c>
      <c r="B785" s="3" t="str">
        <f>HYPERLINK("http://www.ncbi.nlm.nih.gov/gene/223753","Cerk")</f>
        <v>Cerk</v>
      </c>
      <c r="C785">
        <v>223753</v>
      </c>
      <c r="D785" t="s">
        <v>1586</v>
      </c>
      <c r="E785" s="3" t="str">
        <f>HYPERLINK("http://genome.ucsc.edu/cgi-bin/hgTracks?db=mm10&amp;lastVirtModeType=default&amp;lastVirtModeExtraState=&amp;virtModeType=default&amp;virtMode=0&amp;nonVirtPosition=&amp;position=chr15:86139100-86186141","chr15:86139100-86186141")</f>
        <v>chr15:86139100-86186141</v>
      </c>
      <c r="F785" t="s">
        <v>25</v>
      </c>
      <c r="G785">
        <v>-0.573777212992019</v>
      </c>
      <c r="H785">
        <v>0.12661508941739599</v>
      </c>
      <c r="I785">
        <v>-4.5316653459882499</v>
      </c>
      <c r="J785" s="1">
        <v>5.85205058303157E-6</v>
      </c>
      <c r="K785">
        <v>1.0021075365393299E-4</v>
      </c>
      <c r="L785" t="s">
        <v>26</v>
      </c>
      <c r="M785" t="s">
        <v>27</v>
      </c>
      <c r="N785">
        <v>449.916159137205</v>
      </c>
      <c r="O785">
        <v>556.15580977229104</v>
      </c>
      <c r="P785">
        <v>370.23642116089098</v>
      </c>
      <c r="Q785">
        <v>596.88160931813695</v>
      </c>
      <c r="R785">
        <v>581.01853153160403</v>
      </c>
      <c r="S785">
        <v>490.56728846713202</v>
      </c>
      <c r="T785">
        <v>384.96819610882602</v>
      </c>
      <c r="U785">
        <v>359.73113330876998</v>
      </c>
      <c r="V785">
        <v>398.72426414525302</v>
      </c>
      <c r="W785">
        <v>337.522091080716</v>
      </c>
    </row>
    <row r="786" spans="1:23" x14ac:dyDescent="0.2">
      <c r="A786" t="s">
        <v>1587</v>
      </c>
      <c r="B786" s="3" t="str">
        <f>HYPERLINK("http://www.ncbi.nlm.nih.gov/gene/319996","Casc4")</f>
        <v>Casc4</v>
      </c>
      <c r="C786">
        <v>319996</v>
      </c>
      <c r="D786" t="s">
        <v>1588</v>
      </c>
      <c r="E786" s="3" t="str">
        <f>HYPERLINK("http://genome.ucsc.edu/cgi-bin/hgTracks?db=mm10&amp;lastVirtModeType=default&amp;lastVirtModeExtraState=&amp;virtModeType=default&amp;virtMode=0&amp;nonVirtPosition=&amp;position=chr2:121866969-121936207","chr2:121866969-121936207")</f>
        <v>chr2:121866969-121936207</v>
      </c>
      <c r="F786" t="s">
        <v>30</v>
      </c>
      <c r="G786">
        <v>-0.68190947114078504</v>
      </c>
      <c r="H786">
        <v>0.15052947855066401</v>
      </c>
      <c r="I786">
        <v>-4.5300726323267897</v>
      </c>
      <c r="J786" s="1">
        <v>5.89634123497875E-6</v>
      </c>
      <c r="K786">
        <v>1.00840236880716E-4</v>
      </c>
      <c r="L786" t="s">
        <v>26</v>
      </c>
      <c r="M786" t="s">
        <v>27</v>
      </c>
      <c r="N786">
        <v>623.96842281453803</v>
      </c>
      <c r="O786">
        <v>806.01104992623402</v>
      </c>
      <c r="P786">
        <v>487.43645248076598</v>
      </c>
      <c r="Q786">
        <v>958.79676422185798</v>
      </c>
      <c r="R786">
        <v>766.85344044184296</v>
      </c>
      <c r="S786">
        <v>692.38294511500203</v>
      </c>
      <c r="T786">
        <v>394.13410553998898</v>
      </c>
      <c r="U786">
        <v>533.17292972549797</v>
      </c>
      <c r="V786">
        <v>537.02714543548802</v>
      </c>
      <c r="W786">
        <v>485.41162922209003</v>
      </c>
    </row>
    <row r="787" spans="1:23" x14ac:dyDescent="0.2">
      <c r="A787" t="s">
        <v>1589</v>
      </c>
      <c r="B787" s="3" t="str">
        <f>HYPERLINK("http://www.ncbi.nlm.nih.gov/gene/17153","Mal")</f>
        <v>Mal</v>
      </c>
      <c r="C787">
        <v>17153</v>
      </c>
      <c r="D787" t="s">
        <v>1590</v>
      </c>
      <c r="E787" s="3" t="str">
        <f>HYPERLINK("http://genome.ucsc.edu/cgi-bin/hgTracks?db=mm10&amp;lastVirtModeType=default&amp;lastVirtModeExtraState=&amp;virtModeType=default&amp;virtMode=0&amp;nonVirtPosition=&amp;position=chr2:127633225-127656695","chr2:127633225-127656695")</f>
        <v>chr2:127633225-127656695</v>
      </c>
      <c r="F787" t="s">
        <v>25</v>
      </c>
      <c r="G787">
        <v>-1.37561432455564</v>
      </c>
      <c r="H787">
        <v>0.30374369735513601</v>
      </c>
      <c r="I787">
        <v>-4.5288654103241397</v>
      </c>
      <c r="J787" s="1">
        <v>5.93012557686474E-6</v>
      </c>
      <c r="K787">
        <v>1.0128866275484099E-4</v>
      </c>
      <c r="L787" t="s">
        <v>26</v>
      </c>
      <c r="M787" t="s">
        <v>27</v>
      </c>
      <c r="N787">
        <v>90.168238544736894</v>
      </c>
      <c r="O787">
        <v>148.51873426797201</v>
      </c>
      <c r="P787">
        <v>46.405366752310698</v>
      </c>
      <c r="Q787">
        <v>120.82398248324201</v>
      </c>
      <c r="R787">
        <v>232.104008679727</v>
      </c>
      <c r="S787">
        <v>92.628211640945693</v>
      </c>
      <c r="T787">
        <v>32.0806830090688</v>
      </c>
      <c r="U787">
        <v>62.096445630680499</v>
      </c>
      <c r="V787">
        <v>29.4261449553692</v>
      </c>
      <c r="W787">
        <v>62.018193414124497</v>
      </c>
    </row>
    <row r="788" spans="1:23" x14ac:dyDescent="0.2">
      <c r="A788" t="s">
        <v>1591</v>
      </c>
      <c r="B788" s="3" t="str">
        <f>HYPERLINK("http://www.ncbi.nlm.nih.gov/gene/14348","Fut9")</f>
        <v>Fut9</v>
      </c>
      <c r="C788">
        <v>14348</v>
      </c>
      <c r="D788" t="s">
        <v>1592</v>
      </c>
      <c r="E788" s="3" t="str">
        <f>HYPERLINK("http://genome.ucsc.edu/cgi-bin/hgTracks?db=mm10&amp;lastVirtModeType=default&amp;lastVirtModeExtraState=&amp;virtModeType=default&amp;virtMode=0&amp;nonVirtPosition=&amp;position=chr4:25609332-25800003","chr4:25609332-25800003")</f>
        <v>chr4:25609332-25800003</v>
      </c>
      <c r="F788" t="s">
        <v>25</v>
      </c>
      <c r="G788">
        <v>-0.616932520424463</v>
      </c>
      <c r="H788">
        <v>0.13627918371093301</v>
      </c>
      <c r="I788">
        <v>-4.52697546041267</v>
      </c>
      <c r="J788" s="1">
        <v>5.9833885126236297E-6</v>
      </c>
      <c r="K788">
        <v>1.02068223659291E-4</v>
      </c>
      <c r="L788" t="s">
        <v>26</v>
      </c>
      <c r="M788" t="s">
        <v>27</v>
      </c>
      <c r="N788">
        <v>755.73686194467405</v>
      </c>
      <c r="O788">
        <v>949.06681283363298</v>
      </c>
      <c r="P788">
        <v>610.73939877795499</v>
      </c>
      <c r="Q788">
        <v>1118.5962249255001</v>
      </c>
      <c r="R788">
        <v>932.20858388034105</v>
      </c>
      <c r="S788">
        <v>796.39562969505903</v>
      </c>
      <c r="T788">
        <v>614.11593188788902</v>
      </c>
      <c r="U788">
        <v>595.26937535617901</v>
      </c>
      <c r="V788">
        <v>590.72985997903697</v>
      </c>
      <c r="W788">
        <v>642.84242788871302</v>
      </c>
    </row>
    <row r="789" spans="1:23" x14ac:dyDescent="0.2">
      <c r="A789" t="s">
        <v>1593</v>
      </c>
      <c r="B789" s="3" t="str">
        <f>HYPERLINK("http://www.ncbi.nlm.nih.gov/gene/15900","Irf8")</f>
        <v>Irf8</v>
      </c>
      <c r="C789">
        <v>15900</v>
      </c>
      <c r="D789" t="s">
        <v>1594</v>
      </c>
      <c r="E789" s="3" t="str">
        <f>HYPERLINK("http://genome.ucsc.edu/cgi-bin/hgTracks?db=mm10&amp;lastVirtModeType=default&amp;lastVirtModeExtraState=&amp;virtModeType=default&amp;virtMode=0&amp;nonVirtPosition=&amp;position=chr8:120736357-120756692","chr8:120736357-120756692")</f>
        <v>chr8:120736357-120756692</v>
      </c>
      <c r="F789" t="s">
        <v>30</v>
      </c>
      <c r="G789">
        <v>0.85007247473958003</v>
      </c>
      <c r="H789">
        <v>0.187995970281431</v>
      </c>
      <c r="I789">
        <v>4.52175902210573</v>
      </c>
      <c r="J789" s="1">
        <v>6.1327854339591301E-6</v>
      </c>
      <c r="K789">
        <v>1.04371398041125E-4</v>
      </c>
      <c r="L789" t="s">
        <v>26</v>
      </c>
      <c r="M789" t="s">
        <v>27</v>
      </c>
      <c r="N789">
        <v>401.029208028342</v>
      </c>
      <c r="O789">
        <v>266.95017715155598</v>
      </c>
      <c r="P789">
        <v>501.58848118593198</v>
      </c>
      <c r="Q789">
        <v>237.75041714444501</v>
      </c>
      <c r="R789">
        <v>201.38436047211599</v>
      </c>
      <c r="S789">
        <v>361.71575383810699</v>
      </c>
      <c r="T789">
        <v>572.86933944765804</v>
      </c>
      <c r="U789">
        <v>456.08768687361902</v>
      </c>
      <c r="V789">
        <v>459.78351492764398</v>
      </c>
      <c r="W789">
        <v>517.61338349480798</v>
      </c>
    </row>
    <row r="790" spans="1:23" x14ac:dyDescent="0.2">
      <c r="A790" t="s">
        <v>1595</v>
      </c>
      <c r="B790" s="3" t="str">
        <f>HYPERLINK("http://www.ncbi.nlm.nih.gov/gene/100042784","Prdm11")</f>
        <v>Prdm11</v>
      </c>
      <c r="C790">
        <v>100042784</v>
      </c>
      <c r="D790" t="s">
        <v>1596</v>
      </c>
      <c r="E790" s="3" t="str">
        <f>HYPERLINK("http://genome.ucsc.edu/cgi-bin/hgTracks?db=mm10&amp;lastVirtModeType=default&amp;lastVirtModeExtraState=&amp;virtModeType=default&amp;virtMode=0&amp;nonVirtPosition=&amp;position=chr2:92974905-93046144","chr2:92974905-93046144")</f>
        <v>chr2:92974905-93046144</v>
      </c>
      <c r="F790" t="s">
        <v>25</v>
      </c>
      <c r="G790">
        <v>0.87714546891153899</v>
      </c>
      <c r="H790">
        <v>0.193985027138526</v>
      </c>
      <c r="I790">
        <v>4.5217173812345903</v>
      </c>
      <c r="J790" s="1">
        <v>6.1339922528836996E-6</v>
      </c>
      <c r="K790">
        <v>1.04371398041125E-4</v>
      </c>
      <c r="L790" t="s">
        <v>26</v>
      </c>
      <c r="M790" t="s">
        <v>27</v>
      </c>
      <c r="N790">
        <v>93.295356666279005</v>
      </c>
      <c r="O790">
        <v>59.549538017612399</v>
      </c>
      <c r="P790">
        <v>118.60472065277899</v>
      </c>
      <c r="Q790">
        <v>61.803972606635497</v>
      </c>
      <c r="R790">
        <v>59.9222767506485</v>
      </c>
      <c r="S790">
        <v>56.922364695553199</v>
      </c>
      <c r="T790">
        <v>146.65455089860001</v>
      </c>
      <c r="U790">
        <v>115.627864277819</v>
      </c>
      <c r="V790">
        <v>90.4853957377603</v>
      </c>
      <c r="W790">
        <v>121.651071696936</v>
      </c>
    </row>
    <row r="791" spans="1:23" x14ac:dyDescent="0.2">
      <c r="A791" t="s">
        <v>1597</v>
      </c>
      <c r="B791" s="3" t="str">
        <f>HYPERLINK("http://www.ncbi.nlm.nih.gov/gene/107581","Col16a1")</f>
        <v>Col16a1</v>
      </c>
      <c r="C791">
        <v>107581</v>
      </c>
      <c r="D791" t="s">
        <v>1598</v>
      </c>
      <c r="E791" s="3" t="str">
        <f>HYPERLINK("http://genome.ucsc.edu/cgi-bin/hgTracks?db=mm10&amp;lastVirtModeType=default&amp;lastVirtModeExtraState=&amp;virtModeType=default&amp;virtMode=0&amp;nonVirtPosition=&amp;position=chr4:130047839-130099277","chr4:130047839-130099277")</f>
        <v>chr4:130047839-130099277</v>
      </c>
      <c r="F791" t="s">
        <v>30</v>
      </c>
      <c r="G791">
        <v>1.02309382582553</v>
      </c>
      <c r="H791">
        <v>0.226349157772684</v>
      </c>
      <c r="I791">
        <v>4.5199807054417898</v>
      </c>
      <c r="J791" s="1">
        <v>6.1845267610934098E-6</v>
      </c>
      <c r="K791">
        <v>1.05097713017515E-4</v>
      </c>
      <c r="L791" t="s">
        <v>26</v>
      </c>
      <c r="M791" t="s">
        <v>27</v>
      </c>
      <c r="N791">
        <v>2268.0987679100999</v>
      </c>
      <c r="O791">
        <v>1357.1348157059599</v>
      </c>
      <c r="P791">
        <v>2951.3217320632002</v>
      </c>
      <c r="Q791">
        <v>1311.8032383894899</v>
      </c>
      <c r="R791">
        <v>796.81457881716699</v>
      </c>
      <c r="S791">
        <v>1962.78662991121</v>
      </c>
      <c r="T791">
        <v>2621.45009731248</v>
      </c>
      <c r="U791">
        <v>3166.9187271647102</v>
      </c>
      <c r="V791">
        <v>2902.8891998471699</v>
      </c>
      <c r="W791">
        <v>3114.0289039284398</v>
      </c>
    </row>
    <row r="792" spans="1:23" x14ac:dyDescent="0.2">
      <c r="A792" t="s">
        <v>1599</v>
      </c>
      <c r="B792" s="3" t="str">
        <f>HYPERLINK("http://www.ncbi.nlm.nih.gov/gene/93684","Sep15")</f>
        <v>Sep15</v>
      </c>
      <c r="C792">
        <v>93684</v>
      </c>
      <c r="D792" t="s">
        <v>1600</v>
      </c>
      <c r="E792" s="3" t="str">
        <f>HYPERLINK("http://genome.ucsc.edu/cgi-bin/hgTracks?db=mm10&amp;lastVirtModeType=default&amp;lastVirtModeExtraState=&amp;virtModeType=default&amp;virtMode=0&amp;nonVirtPosition=&amp;position=chr3:144570426-144597676","chr3:144570426-144597676")</f>
        <v>chr3:144570426-144597676</v>
      </c>
      <c r="F792" t="s">
        <v>30</v>
      </c>
      <c r="G792">
        <v>-0.61619274047147599</v>
      </c>
      <c r="H792">
        <v>0.13637568443664799</v>
      </c>
      <c r="I792">
        <v>-4.5183475559949997</v>
      </c>
      <c r="J792" s="1">
        <v>6.23241210429479E-6</v>
      </c>
      <c r="K792">
        <v>1.0577722495388E-4</v>
      </c>
      <c r="L792" t="s">
        <v>26</v>
      </c>
      <c r="M792" t="s">
        <v>27</v>
      </c>
      <c r="N792">
        <v>1047.31843717486</v>
      </c>
      <c r="O792">
        <v>1320.10618596418</v>
      </c>
      <c r="P792">
        <v>842.727625582869</v>
      </c>
      <c r="Q792">
        <v>1491.64723074934</v>
      </c>
      <c r="R792">
        <v>1322.4618925918401</v>
      </c>
      <c r="S792">
        <v>1146.2094345513699</v>
      </c>
      <c r="T792">
        <v>733.27275449300203</v>
      </c>
      <c r="U792">
        <v>817.96007692827402</v>
      </c>
      <c r="V792">
        <v>968.12016903164704</v>
      </c>
      <c r="W792">
        <v>851.55750187855494</v>
      </c>
    </row>
    <row r="793" spans="1:23" x14ac:dyDescent="0.2">
      <c r="A793" t="s">
        <v>1601</v>
      </c>
      <c r="B793" s="3" t="str">
        <f>HYPERLINK("http://www.ncbi.nlm.nih.gov/gene/69178","Snx5")</f>
        <v>Snx5</v>
      </c>
      <c r="C793">
        <v>69178</v>
      </c>
      <c r="D793" t="s">
        <v>1602</v>
      </c>
      <c r="E793" s="3" t="str">
        <f>HYPERLINK("http://genome.ucsc.edu/cgi-bin/hgTracks?db=mm10&amp;lastVirtModeType=default&amp;lastVirtModeExtraState=&amp;virtModeType=default&amp;virtMode=0&amp;nonVirtPosition=&amp;position=chr2:144250123-144270572","chr2:144250123-144270572")</f>
        <v>chr2:144250123-144270572</v>
      </c>
      <c r="F793" t="s">
        <v>25</v>
      </c>
      <c r="G793">
        <v>-0.47677025737275802</v>
      </c>
      <c r="H793">
        <v>0.105567191984748</v>
      </c>
      <c r="I793">
        <v>-4.5162729860394704</v>
      </c>
      <c r="J793" s="1">
        <v>6.29375200407761E-6</v>
      </c>
      <c r="K793">
        <v>1.0668307985645999E-4</v>
      </c>
      <c r="L793" t="s">
        <v>26</v>
      </c>
      <c r="M793" t="s">
        <v>27</v>
      </c>
      <c r="N793">
        <v>696.639561834152</v>
      </c>
      <c r="O793">
        <v>833.679928681462</v>
      </c>
      <c r="P793">
        <v>593.85928669866905</v>
      </c>
      <c r="Q793">
        <v>880.28901523505101</v>
      </c>
      <c r="R793">
        <v>836.25709009607499</v>
      </c>
      <c r="S793">
        <v>784.49368071326103</v>
      </c>
      <c r="T793">
        <v>582.03524887881997</v>
      </c>
      <c r="U793">
        <v>605.97565908560603</v>
      </c>
      <c r="V793">
        <v>630.45515566878498</v>
      </c>
      <c r="W793">
        <v>556.97108316146398</v>
      </c>
    </row>
    <row r="794" spans="1:23" x14ac:dyDescent="0.2">
      <c r="A794" t="s">
        <v>1603</v>
      </c>
      <c r="B794" s="3" t="str">
        <f>HYPERLINK("http://www.ncbi.nlm.nih.gov/gene/56045","Samhd1")</f>
        <v>Samhd1</v>
      </c>
      <c r="C794">
        <v>56045</v>
      </c>
      <c r="D794" t="s">
        <v>1604</v>
      </c>
      <c r="E794" s="3" t="str">
        <f>HYPERLINK("http://genome.ucsc.edu/cgi-bin/hgTracks?db=mm10&amp;lastVirtModeType=default&amp;lastVirtModeExtraState=&amp;virtModeType=default&amp;virtMode=0&amp;nonVirtPosition=&amp;position=chr2:157097528-157135222","chr2:157097528-157135222")</f>
        <v>chr2:157097528-157135222</v>
      </c>
      <c r="F794" t="s">
        <v>25</v>
      </c>
      <c r="G794">
        <v>0.79146035515076996</v>
      </c>
      <c r="H794">
        <v>0.17536374107244901</v>
      </c>
      <c r="I794">
        <v>4.5132497191867698</v>
      </c>
      <c r="J794" s="1">
        <v>6.38417779618682E-6</v>
      </c>
      <c r="K794">
        <v>1.0794258190497199E-4</v>
      </c>
      <c r="L794" t="s">
        <v>26</v>
      </c>
      <c r="M794" t="s">
        <v>27</v>
      </c>
      <c r="N794">
        <v>219.635240356624</v>
      </c>
      <c r="O794">
        <v>149.692507933721</v>
      </c>
      <c r="P794">
        <v>272.09228967380199</v>
      </c>
      <c r="Q794">
        <v>145.87964705350001</v>
      </c>
      <c r="R794">
        <v>129.32592640488099</v>
      </c>
      <c r="S794">
        <v>173.87195034278099</v>
      </c>
      <c r="T794">
        <v>352.88751309975697</v>
      </c>
      <c r="U794">
        <v>211.98441784266799</v>
      </c>
      <c r="V794">
        <v>242.03004225791199</v>
      </c>
      <c r="W794">
        <v>281.46718549487298</v>
      </c>
    </row>
    <row r="795" spans="1:23" x14ac:dyDescent="0.2">
      <c r="A795" t="s">
        <v>1605</v>
      </c>
      <c r="B795" s="3" t="str">
        <f>HYPERLINK("http://www.ncbi.nlm.nih.gov/gene/13436","Dnmt3b")</f>
        <v>Dnmt3b</v>
      </c>
      <c r="C795">
        <v>13436</v>
      </c>
      <c r="D795" t="s">
        <v>1606</v>
      </c>
      <c r="E795" s="3" t="str">
        <f>HYPERLINK("http://genome.ucsc.edu/cgi-bin/hgTracks?db=mm10&amp;lastVirtModeType=default&amp;lastVirtModeExtraState=&amp;virtModeType=default&amp;virtMode=0&amp;nonVirtPosition=&amp;position=chr2:153649448-153687730","chr2:153649448-153687730")</f>
        <v>chr2:153649448-153687730</v>
      </c>
      <c r="F795" t="s">
        <v>30</v>
      </c>
      <c r="G795">
        <v>1.41083810721144</v>
      </c>
      <c r="H795">
        <v>0.312783207183916</v>
      </c>
      <c r="I795">
        <v>4.5105941585344302</v>
      </c>
      <c r="J795" s="1">
        <v>6.4646298098304598E-6</v>
      </c>
      <c r="K795">
        <v>1.0916501612035299E-4</v>
      </c>
      <c r="L795" t="s">
        <v>26</v>
      </c>
      <c r="M795" t="s">
        <v>27</v>
      </c>
      <c r="N795">
        <v>21.9817695990047</v>
      </c>
      <c r="O795">
        <v>9.2032086082151903</v>
      </c>
      <c r="P795">
        <v>31.5656903420969</v>
      </c>
      <c r="Q795">
        <v>10.0222658281031</v>
      </c>
      <c r="R795">
        <v>11.377647484300301</v>
      </c>
      <c r="S795">
        <v>6.2097125122421701</v>
      </c>
      <c r="T795">
        <v>36.663637724650101</v>
      </c>
      <c r="U795">
        <v>29.9775944423975</v>
      </c>
      <c r="V795">
        <v>34.575720322558801</v>
      </c>
      <c r="W795">
        <v>25.045808878780999</v>
      </c>
    </row>
    <row r="796" spans="1:23" x14ac:dyDescent="0.2">
      <c r="A796" t="s">
        <v>1607</v>
      </c>
      <c r="B796" s="3" t="str">
        <f>HYPERLINK("http://www.ncbi.nlm.nih.gov/gene/16573","Kif5b")</f>
        <v>Kif5b</v>
      </c>
      <c r="C796">
        <v>16573</v>
      </c>
      <c r="D796" t="s">
        <v>1608</v>
      </c>
      <c r="E796" s="3" t="str">
        <f>HYPERLINK("http://genome.ucsc.edu/cgi-bin/hgTracks?db=mm10&amp;lastVirtModeType=default&amp;lastVirtModeExtraState=&amp;virtModeType=default&amp;virtMode=0&amp;nonVirtPosition=&amp;position=chr18:6201004-6241524","chr18:6201004-6241524")</f>
        <v>chr18:6201004-6241524</v>
      </c>
      <c r="F796" t="s">
        <v>25</v>
      </c>
      <c r="G796">
        <v>-0.54820541824965896</v>
      </c>
      <c r="H796">
        <v>0.12163837744815099</v>
      </c>
      <c r="I796">
        <v>-4.5068458635378601</v>
      </c>
      <c r="J796" s="1">
        <v>6.5798394607809496E-6</v>
      </c>
      <c r="K796">
        <v>1.10970567026848E-4</v>
      </c>
      <c r="L796" t="s">
        <v>26</v>
      </c>
      <c r="M796" t="s">
        <v>27</v>
      </c>
      <c r="N796">
        <v>1453.28836914251</v>
      </c>
      <c r="O796">
        <v>1774.39651809251</v>
      </c>
      <c r="P796">
        <v>1212.45725743002</v>
      </c>
      <c r="Q796">
        <v>1816.8140776166799</v>
      </c>
      <c r="R796">
        <v>1853.03952027638</v>
      </c>
      <c r="S796">
        <v>1653.3359563844799</v>
      </c>
      <c r="T796">
        <v>1443.6307354081</v>
      </c>
      <c r="U796">
        <v>1104.8884808769401</v>
      </c>
      <c r="V796">
        <v>1118.19350830403</v>
      </c>
      <c r="W796">
        <v>1183.11630513099</v>
      </c>
    </row>
    <row r="797" spans="1:23" x14ac:dyDescent="0.2">
      <c r="A797" t="s">
        <v>1609</v>
      </c>
      <c r="B797" s="3" t="str">
        <f>HYPERLINK("http://www.ncbi.nlm.nih.gov/gene/77040","Atg16l1")</f>
        <v>Atg16l1</v>
      </c>
      <c r="C797">
        <v>77040</v>
      </c>
      <c r="D797" t="s">
        <v>1610</v>
      </c>
      <c r="E797" s="3" t="str">
        <f>HYPERLINK("http://genome.ucsc.edu/cgi-bin/hgTracks?db=mm10&amp;lastVirtModeType=default&amp;lastVirtModeExtraState=&amp;virtModeType=default&amp;virtMode=0&amp;nonVirtPosition=&amp;position=chr1:87756010-87792428","chr1:87756010-87792428")</f>
        <v>chr1:87756010-87792428</v>
      </c>
      <c r="F797" t="s">
        <v>30</v>
      </c>
      <c r="G797">
        <v>0.61955024421613603</v>
      </c>
      <c r="H797">
        <v>0.13747817658480899</v>
      </c>
      <c r="I797">
        <v>4.5065352160380296</v>
      </c>
      <c r="J797" s="1">
        <v>6.58947533490503E-6</v>
      </c>
      <c r="K797">
        <v>1.10993288314105E-4</v>
      </c>
      <c r="L797" t="s">
        <v>26</v>
      </c>
      <c r="M797" t="s">
        <v>27</v>
      </c>
      <c r="N797">
        <v>242.16522095364601</v>
      </c>
      <c r="O797">
        <v>185.18980938644401</v>
      </c>
      <c r="P797">
        <v>284.89677962904801</v>
      </c>
      <c r="Q797">
        <v>164.81059361769499</v>
      </c>
      <c r="R797">
        <v>180.146085168089</v>
      </c>
      <c r="S797">
        <v>210.61274937354699</v>
      </c>
      <c r="T797">
        <v>261.22841878813199</v>
      </c>
      <c r="U797">
        <v>280.504633711005</v>
      </c>
      <c r="V797">
        <v>300.88233216865001</v>
      </c>
      <c r="W797">
        <v>296.97173384840403</v>
      </c>
    </row>
    <row r="798" spans="1:23" x14ac:dyDescent="0.2">
      <c r="A798" t="s">
        <v>1611</v>
      </c>
      <c r="B798" s="3" t="str">
        <f>HYPERLINK("http://www.ncbi.nlm.nih.gov/gene/239096","Cdh24")</f>
        <v>Cdh24</v>
      </c>
      <c r="C798">
        <v>239096</v>
      </c>
      <c r="D798" t="s">
        <v>1612</v>
      </c>
      <c r="E798" s="3" t="str">
        <f>HYPERLINK("http://genome.ucsc.edu/cgi-bin/hgTracks?db=mm10&amp;lastVirtModeType=default&amp;lastVirtModeExtraState=&amp;virtModeType=default&amp;virtMode=0&amp;nonVirtPosition=&amp;position=chr14:54631991-54641364","chr14:54631991-54641364")</f>
        <v>chr14:54631991-54641364</v>
      </c>
      <c r="F798" t="s">
        <v>25</v>
      </c>
      <c r="G798">
        <v>0.89149226192035902</v>
      </c>
      <c r="H798">
        <v>0.197868970957467</v>
      </c>
      <c r="I798">
        <v>4.5054677224353199</v>
      </c>
      <c r="J798" s="1">
        <v>6.6226905804884003E-6</v>
      </c>
      <c r="K798">
        <v>1.11412625079548E-4</v>
      </c>
      <c r="L798" t="s">
        <v>26</v>
      </c>
      <c r="M798" t="s">
        <v>27</v>
      </c>
      <c r="N798">
        <v>78.424667809347099</v>
      </c>
      <c r="O798">
        <v>51.709251982290802</v>
      </c>
      <c r="P798">
        <v>98.461229679639402</v>
      </c>
      <c r="Q798">
        <v>49.5545365945095</v>
      </c>
      <c r="R798">
        <v>43.993570272627998</v>
      </c>
      <c r="S798">
        <v>61.579649079734899</v>
      </c>
      <c r="T798">
        <v>87.076139596044001</v>
      </c>
      <c r="U798">
        <v>102.780323802506</v>
      </c>
      <c r="V798">
        <v>97.841931976602595</v>
      </c>
      <c r="W798">
        <v>106.14652334340499</v>
      </c>
    </row>
    <row r="799" spans="1:23" x14ac:dyDescent="0.2">
      <c r="A799" t="s">
        <v>1613</v>
      </c>
      <c r="B799" s="3" t="str">
        <f>HYPERLINK("http://www.ncbi.nlm.nih.gov/gene/78178","4930511A08Rik")</f>
        <v>4930511A08Rik</v>
      </c>
      <c r="C799">
        <v>78178</v>
      </c>
      <c r="D799" t="s">
        <v>1614</v>
      </c>
      <c r="E799" s="3" t="str">
        <f>HYPERLINK("http://genome.ucsc.edu/cgi-bin/hgTracks?db=mm10&amp;lastVirtModeType=default&amp;lastVirtModeExtraState=&amp;virtModeType=default&amp;virtMode=0&amp;nonVirtPosition=&amp;position=chr6:94132922-94237442","chr6:94132922-94237442")</f>
        <v>chr6:94132922-94237442</v>
      </c>
      <c r="F799" t="s">
        <v>25</v>
      </c>
      <c r="G799">
        <v>0.54438944664042999</v>
      </c>
      <c r="H799">
        <v>0.120844380578939</v>
      </c>
      <c r="I799">
        <v>4.5048801113661803</v>
      </c>
      <c r="J799" s="1">
        <v>6.64104248716508E-6</v>
      </c>
      <c r="K799">
        <v>1.1158117935461401E-4</v>
      </c>
      <c r="L799" t="s">
        <v>26</v>
      </c>
      <c r="M799" t="s">
        <v>27</v>
      </c>
      <c r="N799">
        <v>833.52989728052296</v>
      </c>
      <c r="O799">
        <v>653.84728246162604</v>
      </c>
      <c r="P799">
        <v>968.29185839469596</v>
      </c>
      <c r="Q799">
        <v>697.104267599168</v>
      </c>
      <c r="R799">
        <v>571.53715862802005</v>
      </c>
      <c r="S799">
        <v>692.90042115768904</v>
      </c>
      <c r="T799">
        <v>1063.24549401485</v>
      </c>
      <c r="U799">
        <v>993.54313009088798</v>
      </c>
      <c r="V799">
        <v>890.87653852380299</v>
      </c>
      <c r="W799">
        <v>925.50227094924196</v>
      </c>
    </row>
    <row r="800" spans="1:23" x14ac:dyDescent="0.2">
      <c r="A800" t="s">
        <v>1613</v>
      </c>
      <c r="B800" s="3" t="str">
        <f>HYPERLINK("http://www.ncbi.nlm.nih.gov/gene/14924","Magi1")</f>
        <v>Magi1</v>
      </c>
      <c r="C800">
        <v>14924</v>
      </c>
      <c r="D800" t="s">
        <v>1615</v>
      </c>
      <c r="E800" s="3" t="str">
        <f>HYPERLINK("http://genome.ucsc.edu/cgi-bin/hgTracks?db=mm10&amp;lastVirtModeType=default&amp;lastVirtModeExtraState=&amp;virtModeType=default&amp;virtMode=0&amp;nonVirtPosition=&amp;position=chr6:93675452-94283917","chr6:93675452-94283917")</f>
        <v>chr6:93675452-94283917</v>
      </c>
      <c r="F800" t="s">
        <v>25</v>
      </c>
      <c r="G800">
        <v>0.54438944664042999</v>
      </c>
      <c r="H800">
        <v>0.120844380578939</v>
      </c>
      <c r="I800">
        <v>4.5048801113661803</v>
      </c>
      <c r="J800" s="1">
        <v>6.64104248716508E-6</v>
      </c>
      <c r="K800">
        <v>1.1158117935461401E-4</v>
      </c>
      <c r="L800" t="s">
        <v>26</v>
      </c>
      <c r="M800" t="s">
        <v>27</v>
      </c>
      <c r="N800">
        <v>833.52989728052296</v>
      </c>
      <c r="O800">
        <v>653.84728246162604</v>
      </c>
      <c r="P800">
        <v>968.29185839469596</v>
      </c>
      <c r="Q800">
        <v>697.104267599168</v>
      </c>
      <c r="R800">
        <v>571.53715862802005</v>
      </c>
      <c r="S800">
        <v>692.90042115768904</v>
      </c>
      <c r="T800">
        <v>1063.24549401485</v>
      </c>
      <c r="U800">
        <v>993.54313009088798</v>
      </c>
      <c r="V800">
        <v>890.87653852380299</v>
      </c>
      <c r="W800">
        <v>925.50227094924196</v>
      </c>
    </row>
    <row r="801" spans="1:23" x14ac:dyDescent="0.2">
      <c r="A801" t="s">
        <v>1616</v>
      </c>
      <c r="B801" s="3" t="str">
        <f>HYPERLINK("http://www.ncbi.nlm.nih.gov/gene/229898","Gbp5")</f>
        <v>Gbp5</v>
      </c>
      <c r="C801">
        <v>229898</v>
      </c>
      <c r="D801" t="s">
        <v>1617</v>
      </c>
      <c r="E801" s="3" t="str">
        <f>HYPERLINK("http://genome.ucsc.edu/cgi-bin/hgTracks?db=mm10&amp;lastVirtModeType=default&amp;lastVirtModeExtraState=&amp;virtModeType=default&amp;virtMode=0&amp;nonVirtPosition=&amp;position=chr3:142496933-142522344","chr3:142496933-142522344")</f>
        <v>chr3:142496933-142522344</v>
      </c>
      <c r="F801" t="s">
        <v>30</v>
      </c>
      <c r="G801">
        <v>1.6032211754246699</v>
      </c>
      <c r="H801">
        <v>0.35591200245930499</v>
      </c>
      <c r="I801">
        <v>4.5045437196459304</v>
      </c>
      <c r="J801" s="1">
        <v>6.6515703527955596E-6</v>
      </c>
      <c r="K801">
        <v>1.11618018288578E-4</v>
      </c>
      <c r="L801" t="s">
        <v>26</v>
      </c>
      <c r="M801" t="s">
        <v>27</v>
      </c>
      <c r="N801">
        <v>62.746491470072499</v>
      </c>
      <c r="O801">
        <v>19.712511681062299</v>
      </c>
      <c r="P801">
        <v>95.021976311830102</v>
      </c>
      <c r="Q801">
        <v>29.5100049383034</v>
      </c>
      <c r="R801">
        <v>10.998392568157</v>
      </c>
      <c r="S801">
        <v>18.6291375367265</v>
      </c>
      <c r="T801">
        <v>174.152279192088</v>
      </c>
      <c r="U801">
        <v>34.260107934168602</v>
      </c>
      <c r="V801">
        <v>50.024446424127703</v>
      </c>
      <c r="W801">
        <v>121.651071696936</v>
      </c>
    </row>
    <row r="802" spans="1:23" x14ac:dyDescent="0.2">
      <c r="A802" t="s">
        <v>1618</v>
      </c>
      <c r="B802" s="3" t="str">
        <f>HYPERLINK("http://www.ncbi.nlm.nih.gov/gene/223658","Mroh1")</f>
        <v>Mroh1</v>
      </c>
      <c r="C802">
        <v>223658</v>
      </c>
      <c r="D802" t="s">
        <v>1619</v>
      </c>
      <c r="E802" s="3" t="str">
        <f>HYPERLINK("http://genome.ucsc.edu/cgi-bin/hgTracks?db=mm10&amp;lastVirtModeType=default&amp;lastVirtModeExtraState=&amp;virtModeType=default&amp;virtMode=0&amp;nonVirtPosition=&amp;position=chr15:76380512-76453039","chr15:76380512-76453039")</f>
        <v>chr15:76380512-76453039</v>
      </c>
      <c r="F802" t="s">
        <v>30</v>
      </c>
      <c r="G802">
        <v>0.70133437991742298</v>
      </c>
      <c r="H802">
        <v>0.15580643872075001</v>
      </c>
      <c r="I802">
        <v>4.5013183388037996</v>
      </c>
      <c r="J802" s="1">
        <v>6.7533270525857001E-6</v>
      </c>
      <c r="K802">
        <v>1.13183732867553E-4</v>
      </c>
      <c r="L802" t="s">
        <v>26</v>
      </c>
      <c r="M802" t="s">
        <v>27</v>
      </c>
      <c r="N802">
        <v>339.12717205782201</v>
      </c>
      <c r="O802">
        <v>248.24178800116599</v>
      </c>
      <c r="P802">
        <v>407.29121010031298</v>
      </c>
      <c r="Q802">
        <v>205.45644947611299</v>
      </c>
      <c r="R802">
        <v>246.894950409317</v>
      </c>
      <c r="S802">
        <v>292.37396411806901</v>
      </c>
      <c r="T802">
        <v>348.304558384176</v>
      </c>
      <c r="U802">
        <v>398.27375473471</v>
      </c>
      <c r="V802">
        <v>403.13818588855798</v>
      </c>
      <c r="W802">
        <v>479.44834139380799</v>
      </c>
    </row>
    <row r="803" spans="1:23" x14ac:dyDescent="0.2">
      <c r="A803" t="s">
        <v>1620</v>
      </c>
      <c r="B803" s="3" t="str">
        <f>HYPERLINK("http://www.ncbi.nlm.nih.gov/gene/320150","Zdhhc17")</f>
        <v>Zdhhc17</v>
      </c>
      <c r="C803">
        <v>320150</v>
      </c>
      <c r="D803" t="s">
        <v>1621</v>
      </c>
      <c r="E803" s="3" t="str">
        <f>HYPERLINK("http://genome.ucsc.edu/cgi-bin/hgTracks?db=mm10&amp;lastVirtModeType=default&amp;lastVirtModeExtraState=&amp;virtModeType=default&amp;virtMode=0&amp;nonVirtPosition=&amp;position=chr10:110941779-111010066","chr10:110941779-111010066")</f>
        <v>chr10:110941779-111010066</v>
      </c>
      <c r="F803" t="s">
        <v>25</v>
      </c>
      <c r="G803">
        <v>-0.54725626248175196</v>
      </c>
      <c r="H803">
        <v>0.121645726669392</v>
      </c>
      <c r="I803">
        <v>-4.4987709594524503</v>
      </c>
      <c r="J803" s="1">
        <v>6.8347444203581397E-6</v>
      </c>
      <c r="K803">
        <v>1.1440507816627001E-4</v>
      </c>
      <c r="L803" t="s">
        <v>26</v>
      </c>
      <c r="M803" t="s">
        <v>27</v>
      </c>
      <c r="N803">
        <v>423.10589734562001</v>
      </c>
      <c r="O803">
        <v>522.64775088946203</v>
      </c>
      <c r="P803">
        <v>348.44950718773902</v>
      </c>
      <c r="Q803">
        <v>552.89499818368495</v>
      </c>
      <c r="R803">
        <v>514.64892120651905</v>
      </c>
      <c r="S803">
        <v>500.39933327818198</v>
      </c>
      <c r="T803">
        <v>316.22387537510701</v>
      </c>
      <c r="U803">
        <v>316.90599839105897</v>
      </c>
      <c r="V803">
        <v>367.09115831823101</v>
      </c>
      <c r="W803">
        <v>393.57699666655901</v>
      </c>
    </row>
    <row r="804" spans="1:23" x14ac:dyDescent="0.2">
      <c r="A804" t="s">
        <v>1622</v>
      </c>
      <c r="B804" s="3" t="str">
        <f>HYPERLINK("http://www.ncbi.nlm.nih.gov/gene/19325","Rab10")</f>
        <v>Rab10</v>
      </c>
      <c r="C804">
        <v>19325</v>
      </c>
      <c r="D804" t="s">
        <v>1623</v>
      </c>
      <c r="E804" s="3" t="str">
        <f>HYPERLINK("http://genome.ucsc.edu/cgi-bin/hgTracks?db=mm10&amp;lastVirtModeType=default&amp;lastVirtModeExtraState=&amp;virtModeType=default&amp;virtMode=0&amp;nonVirtPosition=&amp;position=chr12:3247427-3309969","chr12:3247427-3309969")</f>
        <v>chr12:3247427-3309969</v>
      </c>
      <c r="F804" t="s">
        <v>25</v>
      </c>
      <c r="G804">
        <v>-0.49527801395491</v>
      </c>
      <c r="H804">
        <v>0.11015797518251</v>
      </c>
      <c r="I804">
        <v>-4.4960704219039398</v>
      </c>
      <c r="J804" s="1">
        <v>6.9220818797164198E-6</v>
      </c>
      <c r="K804">
        <v>1.15722345132687E-4</v>
      </c>
      <c r="L804" t="s">
        <v>26</v>
      </c>
      <c r="M804" t="s">
        <v>27</v>
      </c>
      <c r="N804">
        <v>1134.0439346451201</v>
      </c>
      <c r="O804">
        <v>1359.6233077239599</v>
      </c>
      <c r="P804">
        <v>964.85940483598904</v>
      </c>
      <c r="Q804">
        <v>1351.8923017018999</v>
      </c>
      <c r="R804">
        <v>1352.0437760510199</v>
      </c>
      <c r="S804">
        <v>1374.9338454189501</v>
      </c>
      <c r="T804">
        <v>1017.41594685904</v>
      </c>
      <c r="U804">
        <v>1072.76962968865</v>
      </c>
      <c r="V804">
        <v>903.38265012983504</v>
      </c>
      <c r="W804">
        <v>865.86939266643003</v>
      </c>
    </row>
    <row r="805" spans="1:23" x14ac:dyDescent="0.2">
      <c r="A805" t="s">
        <v>1624</v>
      </c>
      <c r="B805" s="3" t="str">
        <f>HYPERLINK("http://www.ncbi.nlm.nih.gov/gene/50817","Capn15")</f>
        <v>Capn15</v>
      </c>
      <c r="C805">
        <v>50817</v>
      </c>
      <c r="D805" t="s">
        <v>1625</v>
      </c>
      <c r="E805" s="3" t="str">
        <f>HYPERLINK("http://genome.ucsc.edu/cgi-bin/hgTracks?db=mm10&amp;lastVirtModeType=default&amp;lastVirtModeExtraState=&amp;virtModeType=default&amp;virtMode=0&amp;nonVirtPosition=&amp;position=chr17:25959555-25965505","chr17:25959555-25965505")</f>
        <v>chr17:25959555-25965505</v>
      </c>
      <c r="F805" t="s">
        <v>25</v>
      </c>
      <c r="G805">
        <v>0.67963982402688905</v>
      </c>
      <c r="H805">
        <v>0.15123476615216599</v>
      </c>
      <c r="I805">
        <v>4.4939390678401603</v>
      </c>
      <c r="J805" s="1">
        <v>6.9917641909077098E-6</v>
      </c>
      <c r="K805">
        <v>1.1674153900304899E-4</v>
      </c>
      <c r="L805" t="s">
        <v>26</v>
      </c>
      <c r="M805" t="s">
        <v>27</v>
      </c>
      <c r="N805">
        <v>210.48565576911901</v>
      </c>
      <c r="O805">
        <v>154.24382118563599</v>
      </c>
      <c r="P805">
        <v>252.667031706731</v>
      </c>
      <c r="Q805">
        <v>134.74379613338499</v>
      </c>
      <c r="R805">
        <v>153.59824103805499</v>
      </c>
      <c r="S805">
        <v>174.389426385468</v>
      </c>
      <c r="T805">
        <v>238.31364521022601</v>
      </c>
      <c r="U805">
        <v>295.49343093220398</v>
      </c>
      <c r="V805">
        <v>228.788277027996</v>
      </c>
      <c r="W805">
        <v>248.07277365649799</v>
      </c>
    </row>
    <row r="806" spans="1:23" x14ac:dyDescent="0.2">
      <c r="A806" t="s">
        <v>1626</v>
      </c>
      <c r="B806" s="3" t="str">
        <f>HYPERLINK("http://www.ncbi.nlm.nih.gov/gene/57913","Pidd1")</f>
        <v>Pidd1</v>
      </c>
      <c r="C806">
        <v>57913</v>
      </c>
      <c r="D806" t="s">
        <v>1627</v>
      </c>
      <c r="E806" s="3" t="str">
        <f>HYPERLINK("http://genome.ucsc.edu/cgi-bin/hgTracks?db=mm10&amp;lastVirtModeType=default&amp;lastVirtModeExtraState=&amp;virtModeType=default&amp;virtMode=0&amp;nonVirtPosition=&amp;position=chr7:141438514-141443355","chr7:141438514-141443355")</f>
        <v>chr7:141438514-141443355</v>
      </c>
      <c r="F806" t="s">
        <v>25</v>
      </c>
      <c r="G806">
        <v>1.3815408983867901</v>
      </c>
      <c r="H806">
        <v>0.30762751470907002</v>
      </c>
      <c r="I806">
        <v>4.4909536121739304</v>
      </c>
      <c r="J806" s="1">
        <v>7.0904994045479601E-6</v>
      </c>
      <c r="K806">
        <v>1.1814047705262701E-4</v>
      </c>
      <c r="L806" t="s">
        <v>26</v>
      </c>
      <c r="M806" t="s">
        <v>27</v>
      </c>
      <c r="N806">
        <v>45.892391745928002</v>
      </c>
      <c r="O806">
        <v>20.2589823939559</v>
      </c>
      <c r="P806">
        <v>65.117448759907205</v>
      </c>
      <c r="Q806">
        <v>8.3518881900858695</v>
      </c>
      <c r="R806">
        <v>20.859020387884001</v>
      </c>
      <c r="S806">
        <v>31.566038603897699</v>
      </c>
      <c r="T806">
        <v>59.578411302556397</v>
      </c>
      <c r="U806">
        <v>64.237702376566105</v>
      </c>
      <c r="V806">
        <v>60.3235971585069</v>
      </c>
      <c r="W806">
        <v>76.330084201999398</v>
      </c>
    </row>
    <row r="807" spans="1:23" x14ac:dyDescent="0.2">
      <c r="A807" t="s">
        <v>1628</v>
      </c>
      <c r="B807" s="3" t="str">
        <f>HYPERLINK("http://www.ncbi.nlm.nih.gov/gene/108655","Foxp1")</f>
        <v>Foxp1</v>
      </c>
      <c r="C807">
        <v>108655</v>
      </c>
      <c r="D807" t="s">
        <v>1629</v>
      </c>
      <c r="E807" s="3" t="str">
        <f>HYPERLINK("http://genome.ucsc.edu/cgi-bin/hgTracks?db=mm10&amp;lastVirtModeType=default&amp;lastVirtModeExtraState=&amp;virtModeType=default&amp;virtMode=0&amp;nonVirtPosition=&amp;position=chr6:98925341-99266515","chr6:98925341-99266515")</f>
        <v>chr6:98925341-99266515</v>
      </c>
      <c r="F807" t="s">
        <v>25</v>
      </c>
      <c r="G807">
        <v>0.95208925070279804</v>
      </c>
      <c r="H807">
        <v>0.21200539567379401</v>
      </c>
      <c r="I807">
        <v>4.4908727331060403</v>
      </c>
      <c r="J807" s="1">
        <v>7.0931927078120996E-6</v>
      </c>
      <c r="K807">
        <v>1.1814047705262701E-4</v>
      </c>
      <c r="L807" t="s">
        <v>26</v>
      </c>
      <c r="M807" t="s">
        <v>27</v>
      </c>
      <c r="N807">
        <v>151.92075992036101</v>
      </c>
      <c r="O807">
        <v>95.761029025022793</v>
      </c>
      <c r="P807">
        <v>194.04055809186499</v>
      </c>
      <c r="Q807">
        <v>126.948700489305</v>
      </c>
      <c r="R807">
        <v>81.160552054675705</v>
      </c>
      <c r="S807">
        <v>79.173834531087707</v>
      </c>
      <c r="T807">
        <v>206.23296220115699</v>
      </c>
      <c r="U807">
        <v>137.04043173667401</v>
      </c>
      <c r="V807">
        <v>217.017819045848</v>
      </c>
      <c r="W807">
        <v>215.87101938377899</v>
      </c>
    </row>
    <row r="808" spans="1:23" x14ac:dyDescent="0.2">
      <c r="A808" t="s">
        <v>1630</v>
      </c>
      <c r="B808" s="3" t="str">
        <f>HYPERLINK("http://www.ncbi.nlm.nih.gov/gene/269831","Tspan12")</f>
        <v>Tspan12</v>
      </c>
      <c r="C808">
        <v>269831</v>
      </c>
      <c r="D808" t="s">
        <v>1631</v>
      </c>
      <c r="E808" s="3" t="str">
        <f>HYPERLINK("http://genome.ucsc.edu/cgi-bin/hgTracks?db=mm10&amp;lastVirtModeType=default&amp;lastVirtModeExtraState=&amp;virtModeType=default&amp;virtMode=0&amp;nonVirtPosition=&amp;position=chr6:21771394-21852515","chr6:21771394-21852515")</f>
        <v>chr6:21771394-21852515</v>
      </c>
      <c r="F808" t="s">
        <v>25</v>
      </c>
      <c r="G808">
        <v>-0.69021820241597498</v>
      </c>
      <c r="H808">
        <v>0.15371734211963001</v>
      </c>
      <c r="I808">
        <v>-4.4901778348393098</v>
      </c>
      <c r="J808" s="1">
        <v>7.1163734325942304E-6</v>
      </c>
      <c r="K808">
        <v>1.1837932501350201E-4</v>
      </c>
      <c r="L808" t="s">
        <v>26</v>
      </c>
      <c r="M808" t="s">
        <v>27</v>
      </c>
      <c r="N808">
        <v>371.95032978952997</v>
      </c>
      <c r="O808">
        <v>476.88566109836802</v>
      </c>
      <c r="P808">
        <v>293.24883130790101</v>
      </c>
      <c r="Q808">
        <v>439.86611134452301</v>
      </c>
      <c r="R808">
        <v>522.99252936167204</v>
      </c>
      <c r="S808">
        <v>467.79834258890997</v>
      </c>
      <c r="T808">
        <v>316.22387537510701</v>
      </c>
      <c r="U808">
        <v>327.61228212048701</v>
      </c>
      <c r="V808">
        <v>309.71017565526103</v>
      </c>
      <c r="W808">
        <v>219.44899208074801</v>
      </c>
    </row>
    <row r="809" spans="1:23" x14ac:dyDescent="0.2">
      <c r="A809" t="s">
        <v>1632</v>
      </c>
      <c r="B809" s="3" t="str">
        <f>HYPERLINK("http://www.ncbi.nlm.nih.gov/gene/101100","Ttll3")</f>
        <v>Ttll3</v>
      </c>
      <c r="C809">
        <v>101100</v>
      </c>
      <c r="D809" t="s">
        <v>1633</v>
      </c>
      <c r="E809" s="3" t="str">
        <f>HYPERLINK("http://genome.ucsc.edu/cgi-bin/hgTracks?db=mm10&amp;lastVirtModeType=default&amp;lastVirtModeExtraState=&amp;virtModeType=default&amp;virtMode=0&amp;nonVirtPosition=&amp;position=chr6:113392496-113414571","chr6:113392496-113414571")</f>
        <v>chr6:113392496-113414571</v>
      </c>
      <c r="F809" t="s">
        <v>30</v>
      </c>
      <c r="G809">
        <v>1.19323964786176</v>
      </c>
      <c r="H809">
        <v>0.265796862044134</v>
      </c>
      <c r="I809">
        <v>4.4892917045184397</v>
      </c>
      <c r="J809" s="1">
        <v>7.1460384780170701E-6</v>
      </c>
      <c r="K809">
        <v>1.18725311735889E-4</v>
      </c>
      <c r="L809" t="s">
        <v>26</v>
      </c>
      <c r="M809" t="s">
        <v>27</v>
      </c>
      <c r="N809">
        <v>45.5757904668395</v>
      </c>
      <c r="O809">
        <v>23.775728814099299</v>
      </c>
      <c r="P809">
        <v>61.925836706394797</v>
      </c>
      <c r="Q809">
        <v>23.9420794782462</v>
      </c>
      <c r="R809">
        <v>26.168589213890801</v>
      </c>
      <c r="S809">
        <v>21.216517750160801</v>
      </c>
      <c r="T809">
        <v>64.161366018137699</v>
      </c>
      <c r="U809">
        <v>53.531418647138402</v>
      </c>
      <c r="V809">
        <v>44.139217433053801</v>
      </c>
      <c r="W809">
        <v>85.871344727249294</v>
      </c>
    </row>
    <row r="810" spans="1:23" x14ac:dyDescent="0.2">
      <c r="A810" t="s">
        <v>1634</v>
      </c>
      <c r="B810" s="3" t="str">
        <f>HYPERLINK("http://www.ncbi.nlm.nih.gov/gene/11964","Atp6v1a")</f>
        <v>Atp6v1a</v>
      </c>
      <c r="C810">
        <v>11964</v>
      </c>
      <c r="D810" t="s">
        <v>1635</v>
      </c>
      <c r="E810" s="3" t="str">
        <f>HYPERLINK("http://genome.ucsc.edu/cgi-bin/hgTracks?db=mm10&amp;lastVirtModeType=default&amp;lastVirtModeExtraState=&amp;virtModeType=default&amp;virtMode=0&amp;nonVirtPosition=&amp;position=chr16:44085403-44139019","chr16:44085403-44139019")</f>
        <v>chr16:44085403-44139019</v>
      </c>
      <c r="F810" t="s">
        <v>25</v>
      </c>
      <c r="G810">
        <v>-0.58176528734798005</v>
      </c>
      <c r="H810">
        <v>0.12961770353725999</v>
      </c>
      <c r="I810">
        <v>-4.4883165761438297</v>
      </c>
      <c r="J810" s="1">
        <v>7.1788195904313904E-6</v>
      </c>
      <c r="K810">
        <v>1.19122147627592E-4</v>
      </c>
      <c r="L810" t="s">
        <v>26</v>
      </c>
      <c r="M810" t="s">
        <v>27</v>
      </c>
      <c r="N810">
        <v>991.39766812541302</v>
      </c>
      <c r="O810">
        <v>1236.0029846312</v>
      </c>
      <c r="P810">
        <v>807.94368074607405</v>
      </c>
      <c r="Q810">
        <v>1261.69190924897</v>
      </c>
      <c r="R810">
        <v>1321.32412784341</v>
      </c>
      <c r="S810">
        <v>1124.99291680121</v>
      </c>
      <c r="T810">
        <v>682.86025262160797</v>
      </c>
      <c r="U810">
        <v>758.00488804347901</v>
      </c>
      <c r="V810">
        <v>866.599968935623</v>
      </c>
      <c r="W810">
        <v>924.309613383586</v>
      </c>
    </row>
    <row r="811" spans="1:23" x14ac:dyDescent="0.2">
      <c r="A811" t="s">
        <v>1636</v>
      </c>
      <c r="B811" s="3" t="str">
        <f>HYPERLINK("http://www.ncbi.nlm.nih.gov/gene/104248","Cabin1")</f>
        <v>Cabin1</v>
      </c>
      <c r="C811">
        <v>104248</v>
      </c>
      <c r="D811" t="s">
        <v>1637</v>
      </c>
      <c r="E811" s="3" t="str">
        <f>HYPERLINK("http://genome.ucsc.edu/cgi-bin/hgTracks?db=mm10&amp;lastVirtModeType=default&amp;lastVirtModeExtraState=&amp;virtModeType=default&amp;virtMode=0&amp;nonVirtPosition=&amp;position=chr10:75646109-75764357","chr10:75646109-75764357")</f>
        <v>chr10:75646109-75764357</v>
      </c>
      <c r="F811" t="s">
        <v>25</v>
      </c>
      <c r="G811">
        <v>0.67222858399116203</v>
      </c>
      <c r="H811">
        <v>0.14998975150183899</v>
      </c>
      <c r="I811">
        <v>4.4818301067917901</v>
      </c>
      <c r="J811" s="1">
        <v>7.4005649394415302E-6</v>
      </c>
      <c r="K811">
        <v>1.2264970928720499E-4</v>
      </c>
      <c r="L811" t="s">
        <v>26</v>
      </c>
      <c r="M811" t="s">
        <v>27</v>
      </c>
      <c r="N811">
        <v>554.58782480852403</v>
      </c>
      <c r="O811">
        <v>407.53923027734601</v>
      </c>
      <c r="P811">
        <v>664.87427070690705</v>
      </c>
      <c r="Q811">
        <v>344.09779343153798</v>
      </c>
      <c r="R811">
        <v>372.42832765276398</v>
      </c>
      <c r="S811">
        <v>506.09156974773703</v>
      </c>
      <c r="T811">
        <v>737.85570920858299</v>
      </c>
      <c r="U811">
        <v>648.80079400331704</v>
      </c>
      <c r="V811">
        <v>631.19080929267</v>
      </c>
      <c r="W811">
        <v>641.64977032305706</v>
      </c>
    </row>
    <row r="812" spans="1:23" x14ac:dyDescent="0.2">
      <c r="A812" t="s">
        <v>1638</v>
      </c>
      <c r="B812" s="3" t="str">
        <f>HYPERLINK("http://www.ncbi.nlm.nih.gov/gene/57443","Fbxo3")</f>
        <v>Fbxo3</v>
      </c>
      <c r="C812">
        <v>57443</v>
      </c>
      <c r="D812" t="s">
        <v>1639</v>
      </c>
      <c r="E812" s="3" t="str">
        <f>HYPERLINK("http://genome.ucsc.edu/cgi-bin/hgTracks?db=mm10&amp;lastVirtModeType=default&amp;lastVirtModeExtraState=&amp;virtModeType=default&amp;virtMode=0&amp;nonVirtPosition=&amp;position=chr2:104027798-104055127","chr2:104027798-104055127")</f>
        <v>chr2:104027798-104055127</v>
      </c>
      <c r="F812" t="s">
        <v>30</v>
      </c>
      <c r="G812">
        <v>-0.52916167268865499</v>
      </c>
      <c r="H812">
        <v>0.118106273075313</v>
      </c>
      <c r="I812">
        <v>-4.4803858331151103</v>
      </c>
      <c r="J812" s="1">
        <v>7.4508226055045704E-6</v>
      </c>
      <c r="K812">
        <v>1.2332999445032299E-4</v>
      </c>
      <c r="L812" t="s">
        <v>26</v>
      </c>
      <c r="M812" t="s">
        <v>27</v>
      </c>
      <c r="N812">
        <v>424.118316906757</v>
      </c>
      <c r="O812">
        <v>516.82151063670699</v>
      </c>
      <c r="P812">
        <v>354.59092160929401</v>
      </c>
      <c r="Q812">
        <v>569.04198201785096</v>
      </c>
      <c r="R812">
        <v>497.58244998006802</v>
      </c>
      <c r="S812">
        <v>483.84009991220302</v>
      </c>
      <c r="T812">
        <v>348.304558384176</v>
      </c>
      <c r="U812">
        <v>353.307363071113</v>
      </c>
      <c r="V812">
        <v>339.87197423451403</v>
      </c>
      <c r="W812">
        <v>376.879790747372</v>
      </c>
    </row>
    <row r="813" spans="1:23" x14ac:dyDescent="0.2">
      <c r="A813" t="s">
        <v>1640</v>
      </c>
      <c r="B813" s="3" t="str">
        <f>HYPERLINK("http://www.ncbi.nlm.nih.gov/gene/216049","Zfp365")</f>
        <v>Zfp365</v>
      </c>
      <c r="C813">
        <v>216049</v>
      </c>
      <c r="D813" t="s">
        <v>1641</v>
      </c>
      <c r="E813" s="3" t="str">
        <f>HYPERLINK("http://genome.ucsc.edu/cgi-bin/hgTracks?db=mm10&amp;lastVirtModeType=default&amp;lastVirtModeExtraState=&amp;virtModeType=default&amp;virtMode=0&amp;nonVirtPosition=&amp;position=chr10:67886104-67912662","chr10:67886104-67912662")</f>
        <v>chr10:67886104-67912662</v>
      </c>
      <c r="F813" t="s">
        <v>25</v>
      </c>
      <c r="G813">
        <v>-0.61507828710662904</v>
      </c>
      <c r="H813">
        <v>0.137378767505073</v>
      </c>
      <c r="I813">
        <v>-4.4772441788278297</v>
      </c>
      <c r="J813" s="1">
        <v>7.5612750011001601E-6</v>
      </c>
      <c r="K813">
        <v>1.2500374511078099E-4</v>
      </c>
      <c r="L813" t="s">
        <v>26</v>
      </c>
      <c r="M813" t="s">
        <v>27</v>
      </c>
      <c r="N813">
        <v>373.06873252461702</v>
      </c>
      <c r="O813">
        <v>470.067622856458</v>
      </c>
      <c r="P813">
        <v>300.31956477573601</v>
      </c>
      <c r="Q813">
        <v>412.58327659024201</v>
      </c>
      <c r="R813">
        <v>468.75907635317401</v>
      </c>
      <c r="S813">
        <v>528.86051562595799</v>
      </c>
      <c r="T813">
        <v>297.89205651278201</v>
      </c>
      <c r="U813">
        <v>267.657093235692</v>
      </c>
      <c r="V813">
        <v>333.98674524344102</v>
      </c>
      <c r="W813">
        <v>301.74236411102902</v>
      </c>
    </row>
    <row r="814" spans="1:23" x14ac:dyDescent="0.2">
      <c r="A814" t="s">
        <v>1642</v>
      </c>
      <c r="B814" s="3" t="str">
        <f>HYPERLINK("http://www.ncbi.nlm.nih.gov/gene/20471","Six1")</f>
        <v>Six1</v>
      </c>
      <c r="C814">
        <v>20471</v>
      </c>
      <c r="D814" t="s">
        <v>1643</v>
      </c>
      <c r="E814" s="3" t="str">
        <f>HYPERLINK("http://genome.ucsc.edu/cgi-bin/hgTracks?db=mm10&amp;lastVirtModeType=default&amp;lastVirtModeExtraState=&amp;virtModeType=default&amp;virtMode=0&amp;nonVirtPosition=&amp;position=chr12:73041826-73046712","chr12:73041826-73046712")</f>
        <v>chr12:73041826-73046712</v>
      </c>
      <c r="F814" t="s">
        <v>25</v>
      </c>
      <c r="G814">
        <v>1.7090092621902899</v>
      </c>
      <c r="H814">
        <v>0.38174876568273097</v>
      </c>
      <c r="I814">
        <v>4.4767905382322599</v>
      </c>
      <c r="J814" s="1">
        <v>7.5773526030501501E-6</v>
      </c>
      <c r="K814">
        <v>1.2500715379846499E-4</v>
      </c>
      <c r="L814" t="s">
        <v>26</v>
      </c>
      <c r="M814" t="s">
        <v>27</v>
      </c>
      <c r="N814">
        <v>27.588545578758801</v>
      </c>
      <c r="O814">
        <v>6.9462391380464599</v>
      </c>
      <c r="P814">
        <v>43.070275409293103</v>
      </c>
      <c r="Q814">
        <v>8.3518881900858695</v>
      </c>
      <c r="R814">
        <v>2.6547844130034099</v>
      </c>
      <c r="S814">
        <v>9.8320448110501104</v>
      </c>
      <c r="T814">
        <v>18.3318188623251</v>
      </c>
      <c r="U814">
        <v>34.260107934168602</v>
      </c>
      <c r="V814">
        <v>24.276569588179601</v>
      </c>
      <c r="W814">
        <v>95.412605252499205</v>
      </c>
    </row>
    <row r="815" spans="1:23" x14ac:dyDescent="0.2">
      <c r="A815" t="s">
        <v>1644</v>
      </c>
      <c r="B815" s="3" t="str">
        <f>HYPERLINK("http://www.ncbi.nlm.nih.gov/gene/19171","Psmb10")</f>
        <v>Psmb10</v>
      </c>
      <c r="C815">
        <v>19171</v>
      </c>
      <c r="D815" t="s">
        <v>1645</v>
      </c>
      <c r="E815" s="3" t="str">
        <f>HYPERLINK("http://genome.ucsc.edu/cgi-bin/hgTracks?db=mm10&amp;lastVirtModeType=default&amp;lastVirtModeExtraState=&amp;virtModeType=default&amp;virtMode=0&amp;nonVirtPosition=&amp;position=chr8:105935727-105938392","chr8:105935727-105938392")</f>
        <v>chr8:105935727-105938392</v>
      </c>
      <c r="F815" t="s">
        <v>25</v>
      </c>
      <c r="G815">
        <v>1.0008436671187799</v>
      </c>
      <c r="H815">
        <v>0.223566703266419</v>
      </c>
      <c r="I815">
        <v>4.476711659187</v>
      </c>
      <c r="J815" s="1">
        <v>7.5801515110412402E-6</v>
      </c>
      <c r="K815">
        <v>1.2500715379846499E-4</v>
      </c>
      <c r="L815" t="s">
        <v>26</v>
      </c>
      <c r="M815" t="s">
        <v>27</v>
      </c>
      <c r="N815">
        <v>212.182147928457</v>
      </c>
      <c r="O815">
        <v>125.693497989195</v>
      </c>
      <c r="P815">
        <v>277.04863538290402</v>
      </c>
      <c r="Q815">
        <v>121.380775029248</v>
      </c>
      <c r="R815">
        <v>119.08604366901</v>
      </c>
      <c r="S815">
        <v>136.61367526932801</v>
      </c>
      <c r="T815">
        <v>444.54660741138298</v>
      </c>
      <c r="U815">
        <v>199.136877367355</v>
      </c>
      <c r="V815">
        <v>204.51170743981601</v>
      </c>
      <c r="W815">
        <v>259.99934931306001</v>
      </c>
    </row>
    <row r="816" spans="1:23" x14ac:dyDescent="0.2">
      <c r="A816" t="s">
        <v>1646</v>
      </c>
      <c r="B816" s="3" t="str">
        <f>HYPERLINK("http://www.ncbi.nlm.nih.gov/gene/15379","Onecut1")</f>
        <v>Onecut1</v>
      </c>
      <c r="C816">
        <v>15379</v>
      </c>
      <c r="D816" t="s">
        <v>1647</v>
      </c>
      <c r="E816" s="3" t="str">
        <f>HYPERLINK("http://genome.ucsc.edu/cgi-bin/hgTracks?db=mm10&amp;lastVirtModeType=default&amp;lastVirtModeExtraState=&amp;virtModeType=default&amp;virtMode=0&amp;nonVirtPosition=&amp;position=chr9:74861920-74889647","chr9:74861920-74889647")</f>
        <v>chr9:74861920-74889647</v>
      </c>
      <c r="F816" t="s">
        <v>30</v>
      </c>
      <c r="G816">
        <v>1.67745737302717</v>
      </c>
      <c r="H816">
        <v>0.37481590679235</v>
      </c>
      <c r="I816">
        <v>4.4754167115871404</v>
      </c>
      <c r="J816" s="1">
        <v>7.6262424081285199E-6</v>
      </c>
      <c r="K816">
        <v>1.2561256099292601E-4</v>
      </c>
      <c r="L816" t="s">
        <v>26</v>
      </c>
      <c r="M816" t="s">
        <v>27</v>
      </c>
      <c r="N816">
        <v>10.8355984526731</v>
      </c>
      <c r="O816">
        <v>2.9413178973572802</v>
      </c>
      <c r="P816">
        <v>16.756308869159898</v>
      </c>
      <c r="Q816">
        <v>3.3407552760343502</v>
      </c>
      <c r="R816">
        <v>3.4132942452900998</v>
      </c>
      <c r="S816">
        <v>2.0699041707473902</v>
      </c>
      <c r="T816">
        <v>13.7488641467438</v>
      </c>
      <c r="U816">
        <v>14.9887972211987</v>
      </c>
      <c r="V816">
        <v>13.241765229916099</v>
      </c>
      <c r="W816">
        <v>25.045808878780999</v>
      </c>
    </row>
    <row r="817" spans="1:23" x14ac:dyDescent="0.2">
      <c r="A817" t="s">
        <v>1648</v>
      </c>
      <c r="B817" s="3" t="str">
        <f>HYPERLINK("http://www.ncbi.nlm.nih.gov/gene/12336","Capns1")</f>
        <v>Capns1</v>
      </c>
      <c r="C817">
        <v>12336</v>
      </c>
      <c r="D817" t="s">
        <v>1649</v>
      </c>
      <c r="E817" s="3" t="str">
        <f>HYPERLINK("http://genome.ucsc.edu/cgi-bin/hgTracks?db=mm10&amp;lastVirtModeType=default&amp;lastVirtModeExtraState=&amp;virtModeType=default&amp;virtMode=0&amp;nonVirtPosition=&amp;position=chr7:30186941-30195048","chr7:30186941-30195048")</f>
        <v>chr7:30186941-30195048</v>
      </c>
      <c r="F817" t="s">
        <v>25</v>
      </c>
      <c r="G817">
        <v>-0.54517504381011594</v>
      </c>
      <c r="H817">
        <v>0.121842818564266</v>
      </c>
      <c r="I817">
        <v>-4.4744126099033403</v>
      </c>
      <c r="J817" s="1">
        <v>7.6621655852300204E-6</v>
      </c>
      <c r="K817">
        <v>1.2596103378329101E-4</v>
      </c>
      <c r="L817" t="s">
        <v>26</v>
      </c>
      <c r="M817" t="s">
        <v>27</v>
      </c>
      <c r="N817">
        <v>492.66711310147298</v>
      </c>
      <c r="O817">
        <v>609.53258252609396</v>
      </c>
      <c r="P817">
        <v>405.01801103300602</v>
      </c>
      <c r="Q817">
        <v>644.20897572862395</v>
      </c>
      <c r="R817">
        <v>592.39617901590395</v>
      </c>
      <c r="S817">
        <v>591.99259283375397</v>
      </c>
      <c r="T817">
        <v>339.13864895301401</v>
      </c>
      <c r="U817">
        <v>389.70872775116698</v>
      </c>
      <c r="V817">
        <v>448.74871056938002</v>
      </c>
      <c r="W817">
        <v>442.475956858465</v>
      </c>
    </row>
    <row r="818" spans="1:23" x14ac:dyDescent="0.2">
      <c r="A818" t="s">
        <v>1650</v>
      </c>
      <c r="B818" s="3" t="str">
        <f>HYPERLINK("http://www.ncbi.nlm.nih.gov/gene/57257","Vav3")</f>
        <v>Vav3</v>
      </c>
      <c r="C818">
        <v>57257</v>
      </c>
      <c r="D818" t="s">
        <v>1651</v>
      </c>
      <c r="E818" s="3" t="str">
        <f>HYPERLINK("http://genome.ucsc.edu/cgi-bin/hgTracks?db=mm10&amp;lastVirtModeType=default&amp;lastVirtModeExtraState=&amp;virtModeType=default&amp;virtMode=0&amp;nonVirtPosition=&amp;position=chr3:109340682-109685694","chr3:109340682-109685694")</f>
        <v>chr3:109340682-109685694</v>
      </c>
      <c r="F818" t="s">
        <v>30</v>
      </c>
      <c r="G818">
        <v>-1.08169647878789</v>
      </c>
      <c r="H818">
        <v>0.24175771149458899</v>
      </c>
      <c r="I818">
        <v>-4.4742997942057299</v>
      </c>
      <c r="J818" s="1">
        <v>7.6662118238654506E-6</v>
      </c>
      <c r="K818">
        <v>1.2596103378329101E-4</v>
      </c>
      <c r="L818" t="s">
        <v>26</v>
      </c>
      <c r="M818" t="s">
        <v>27</v>
      </c>
      <c r="N818">
        <v>100.441590053578</v>
      </c>
      <c r="O818">
        <v>147.67278747610899</v>
      </c>
      <c r="P818">
        <v>65.018191986679298</v>
      </c>
      <c r="Q818">
        <v>93.541147728961803</v>
      </c>
      <c r="R818">
        <v>158.528554947918</v>
      </c>
      <c r="S818">
        <v>190.948659751447</v>
      </c>
      <c r="T818">
        <v>73.327275449300203</v>
      </c>
      <c r="U818">
        <v>62.096445630680499</v>
      </c>
      <c r="V818">
        <v>66.208826149580702</v>
      </c>
      <c r="W818">
        <v>58.440220717155803</v>
      </c>
    </row>
    <row r="819" spans="1:23" x14ac:dyDescent="0.2">
      <c r="A819" t="s">
        <v>1652</v>
      </c>
      <c r="B819" s="3" t="str">
        <f>HYPERLINK("http://www.ncbi.nlm.nih.gov/gene/654820","G530011O06Rik")</f>
        <v>G530011O06Rik</v>
      </c>
      <c r="C819">
        <v>654820</v>
      </c>
      <c r="D819" t="s">
        <v>1653</v>
      </c>
      <c r="E819" s="3" t="str">
        <f>HYPERLINK("http://genome.ucsc.edu/cgi-bin/hgTracks?db=mm10&amp;lastVirtModeType=default&amp;lastVirtModeExtraState=&amp;virtModeType=default&amp;virtMode=0&amp;nonVirtPosition=&amp;position=chrX:169975042-169978917","chrX:169975042-169978917")</f>
        <v>chrX:169975042-169978917</v>
      </c>
      <c r="F819" t="s">
        <v>25</v>
      </c>
      <c r="G819">
        <v>1.73818509492825</v>
      </c>
      <c r="H819">
        <v>0.388574206313409</v>
      </c>
      <c r="I819">
        <v>4.4732384874931697</v>
      </c>
      <c r="J819" s="1">
        <v>7.7043767080829704E-6</v>
      </c>
      <c r="K819">
        <v>1.2643297610041599E-4</v>
      </c>
      <c r="L819" t="s">
        <v>26</v>
      </c>
      <c r="M819" t="s">
        <v>27</v>
      </c>
      <c r="N819">
        <v>11.594163724035599</v>
      </c>
      <c r="O819">
        <v>2.6952384921240098</v>
      </c>
      <c r="P819">
        <v>18.2683576479692</v>
      </c>
      <c r="Q819">
        <v>1.67037763801717</v>
      </c>
      <c r="R819">
        <v>2.2755294968600701</v>
      </c>
      <c r="S819">
        <v>4.1398083414947804</v>
      </c>
      <c r="T819">
        <v>9.1659094311625307</v>
      </c>
      <c r="U819">
        <v>10.7062837294277</v>
      </c>
      <c r="V819">
        <v>35.311373946442998</v>
      </c>
      <c r="W819">
        <v>17.889863484843598</v>
      </c>
    </row>
    <row r="820" spans="1:23" x14ac:dyDescent="0.2">
      <c r="A820" t="s">
        <v>1654</v>
      </c>
      <c r="B820" s="3" t="str">
        <f>HYPERLINK("http://www.ncbi.nlm.nih.gov/gene/20353","Sema4c")</f>
        <v>Sema4c</v>
      </c>
      <c r="C820">
        <v>20353</v>
      </c>
      <c r="D820" t="s">
        <v>1655</v>
      </c>
      <c r="E820" s="3" t="str">
        <f>HYPERLINK("http://genome.ucsc.edu/cgi-bin/hgTracks?db=mm10&amp;lastVirtModeType=default&amp;lastVirtModeExtraState=&amp;virtModeType=default&amp;virtMode=0&amp;nonVirtPosition=&amp;position=chr1:36548638-36558381","chr1:36548638-36558381")</f>
        <v>chr1:36548638-36558381</v>
      </c>
      <c r="F820" t="s">
        <v>25</v>
      </c>
      <c r="G820">
        <v>0.93270991944308002</v>
      </c>
      <c r="H820">
        <v>0.208657772988742</v>
      </c>
      <c r="I820">
        <v>4.4700463638773904</v>
      </c>
      <c r="J820" s="1">
        <v>7.8202642997844894E-6</v>
      </c>
      <c r="K820">
        <v>1.28177673486431E-4</v>
      </c>
      <c r="L820" t="s">
        <v>26</v>
      </c>
      <c r="M820" t="s">
        <v>27</v>
      </c>
      <c r="N820">
        <v>276.06807889155402</v>
      </c>
      <c r="O820">
        <v>175.86953733745599</v>
      </c>
      <c r="P820">
        <v>351.216985057128</v>
      </c>
      <c r="Q820">
        <v>143.652476869477</v>
      </c>
      <c r="R820">
        <v>133.497730482457</v>
      </c>
      <c r="S820">
        <v>250.45840466043401</v>
      </c>
      <c r="T820">
        <v>297.89205651278201</v>
      </c>
      <c r="U820">
        <v>415.40380870179399</v>
      </c>
      <c r="V820">
        <v>361.20592932715698</v>
      </c>
      <c r="W820">
        <v>330.366145686778</v>
      </c>
    </row>
    <row r="821" spans="1:23" x14ac:dyDescent="0.2">
      <c r="A821" t="s">
        <v>1656</v>
      </c>
      <c r="B821" s="3" t="str">
        <f>HYPERLINK("http://www.ncbi.nlm.nih.gov/gene/102414","Clk3")</f>
        <v>Clk3</v>
      </c>
      <c r="C821">
        <v>102414</v>
      </c>
      <c r="D821" t="s">
        <v>1657</v>
      </c>
      <c r="E821" s="3" t="str">
        <f>HYPERLINK("http://genome.ucsc.edu/cgi-bin/hgTracks?db=mm10&amp;lastVirtModeType=default&amp;lastVirtModeExtraState=&amp;virtModeType=default&amp;virtMode=0&amp;nonVirtPosition=&amp;position=chr9:57750710-57765860","chr9:57750710-57765860")</f>
        <v>chr9:57750710-57765860</v>
      </c>
      <c r="F821" t="s">
        <v>25</v>
      </c>
      <c r="G821">
        <v>0.58613633105686003</v>
      </c>
      <c r="H821">
        <v>0.13115236534742999</v>
      </c>
      <c r="I821">
        <v>4.4691251240810903</v>
      </c>
      <c r="J821" s="1">
        <v>7.8540178837591298E-6</v>
      </c>
      <c r="K821">
        <v>1.28573537263348E-4</v>
      </c>
      <c r="L821" t="s">
        <v>26</v>
      </c>
      <c r="M821" t="s">
        <v>27</v>
      </c>
      <c r="N821">
        <v>204.22109934479499</v>
      </c>
      <c r="O821">
        <v>156.21286533745399</v>
      </c>
      <c r="P821">
        <v>240.227274850301</v>
      </c>
      <c r="Q821">
        <v>144.20926941548299</v>
      </c>
      <c r="R821">
        <v>161.94184919320799</v>
      </c>
      <c r="S821">
        <v>162.48747740367</v>
      </c>
      <c r="T821">
        <v>256.64546407255102</v>
      </c>
      <c r="U821">
        <v>237.67949879329399</v>
      </c>
      <c r="V821">
        <v>228.05262340411099</v>
      </c>
      <c r="W821">
        <v>238.531513131248</v>
      </c>
    </row>
    <row r="822" spans="1:23" x14ac:dyDescent="0.2">
      <c r="A822" t="s">
        <v>1658</v>
      </c>
      <c r="B822" s="3" t="str">
        <f>HYPERLINK("http://www.ncbi.nlm.nih.gov/gene/17169","Mark3")</f>
        <v>Mark3</v>
      </c>
      <c r="C822">
        <v>17169</v>
      </c>
      <c r="D822" t="s">
        <v>1659</v>
      </c>
      <c r="E822" s="3" t="str">
        <f>HYPERLINK("http://genome.ucsc.edu/cgi-bin/hgTracks?db=mm10&amp;lastVirtModeType=default&amp;lastVirtModeExtraState=&amp;virtModeType=default&amp;virtMode=0&amp;nonVirtPosition=&amp;position=chr12:111574509-111656227","chr12:111574509-111656227")</f>
        <v>chr12:111574509-111656227</v>
      </c>
      <c r="F822" t="s">
        <v>30</v>
      </c>
      <c r="G822">
        <v>-0.47475291676391101</v>
      </c>
      <c r="H822">
        <v>0.10630998613906199</v>
      </c>
      <c r="I822">
        <v>-4.4657414981025196</v>
      </c>
      <c r="J822" s="1">
        <v>7.9791907815179802E-6</v>
      </c>
      <c r="K822">
        <v>1.30463179188409E-4</v>
      </c>
      <c r="L822" t="s">
        <v>26</v>
      </c>
      <c r="M822" t="s">
        <v>27</v>
      </c>
      <c r="N822">
        <v>863.56653034539102</v>
      </c>
      <c r="O822">
        <v>1035.6291345018001</v>
      </c>
      <c r="P822">
        <v>734.519577228088</v>
      </c>
      <c r="Q822">
        <v>960.46714185987605</v>
      </c>
      <c r="R822">
        <v>1094.9089429058399</v>
      </c>
      <c r="S822">
        <v>1051.5113187396701</v>
      </c>
      <c r="T822">
        <v>673.69434319044603</v>
      </c>
      <c r="U822">
        <v>719.46226661753997</v>
      </c>
      <c r="V822">
        <v>776.85022682174701</v>
      </c>
      <c r="W822">
        <v>768.07147228261795</v>
      </c>
    </row>
    <row r="823" spans="1:23" x14ac:dyDescent="0.2">
      <c r="A823" t="s">
        <v>1660</v>
      </c>
      <c r="B823" s="3" t="str">
        <f>HYPERLINK("http://www.ncbi.nlm.nih.gov/gene/24001","Tiam2")</f>
        <v>Tiam2</v>
      </c>
      <c r="C823">
        <v>24001</v>
      </c>
      <c r="D823" t="s">
        <v>1661</v>
      </c>
      <c r="E823" s="3" t="str">
        <f>HYPERLINK("http://genome.ucsc.edu/cgi-bin/hgTracks?db=mm10&amp;lastVirtModeType=default&amp;lastVirtModeExtraState=&amp;virtModeType=default&amp;virtMode=0&amp;nonVirtPosition=&amp;position=chr17:3397206-3519397","chr17:3397206-3519397")</f>
        <v>chr17:3397206-3519397</v>
      </c>
      <c r="F823" t="s">
        <v>30</v>
      </c>
      <c r="G823">
        <v>1.1384378354610101</v>
      </c>
      <c r="H823">
        <v>0.25499766275843799</v>
      </c>
      <c r="I823">
        <v>4.4645030199334199</v>
      </c>
      <c r="J823" s="1">
        <v>8.0254816799909208E-6</v>
      </c>
      <c r="K823">
        <v>1.3096217048554E-4</v>
      </c>
      <c r="L823" t="s">
        <v>26</v>
      </c>
      <c r="M823" t="s">
        <v>27</v>
      </c>
      <c r="N823">
        <v>85.836298132834699</v>
      </c>
      <c r="O823">
        <v>47.573519536348101</v>
      </c>
      <c r="P823">
        <v>114.5333820802</v>
      </c>
      <c r="Q823">
        <v>34.521137852354897</v>
      </c>
      <c r="R823">
        <v>36.787726865904403</v>
      </c>
      <c r="S823">
        <v>71.411693890785003</v>
      </c>
      <c r="T823">
        <v>100.825003742788</v>
      </c>
      <c r="U823">
        <v>107.062837294277</v>
      </c>
      <c r="V823">
        <v>105.93412183932899</v>
      </c>
      <c r="W823">
        <v>144.31156544440501</v>
      </c>
    </row>
    <row r="824" spans="1:23" x14ac:dyDescent="0.2">
      <c r="A824" t="s">
        <v>1662</v>
      </c>
      <c r="B824" s="3" t="str">
        <f>HYPERLINK("http://www.ncbi.nlm.nih.gov/gene/330998","Ankrd34c")</f>
        <v>Ankrd34c</v>
      </c>
      <c r="C824">
        <v>330998</v>
      </c>
      <c r="D824" t="s">
        <v>1663</v>
      </c>
      <c r="E824" s="3" t="str">
        <f>HYPERLINK("http://genome.ucsc.edu/cgi-bin/hgTracks?db=mm10&amp;lastVirtModeType=default&amp;lastVirtModeExtraState=&amp;virtModeType=default&amp;virtMode=0&amp;nonVirtPosition=&amp;position=chr9:89728248-89738475","chr9:89728248-89738475")</f>
        <v>chr9:89728248-89738475</v>
      </c>
      <c r="F824" t="s">
        <v>25</v>
      </c>
      <c r="G824">
        <v>-1.6499722614572601</v>
      </c>
      <c r="H824">
        <v>0.36958842336807601</v>
      </c>
      <c r="I824">
        <v>-4.4643504967525498</v>
      </c>
      <c r="J824" s="1">
        <v>8.0312002992878995E-6</v>
      </c>
      <c r="K824">
        <v>1.3096217048554E-4</v>
      </c>
      <c r="L824" t="s">
        <v>26</v>
      </c>
      <c r="M824" t="s">
        <v>27</v>
      </c>
      <c r="N824">
        <v>37.806930904917699</v>
      </c>
      <c r="O824">
        <v>68.3922327960601</v>
      </c>
      <c r="P824">
        <v>14.867954486560899</v>
      </c>
      <c r="Q824">
        <v>29.5100049383034</v>
      </c>
      <c r="R824">
        <v>56.129727589215001</v>
      </c>
      <c r="S824">
        <v>119.53696586066199</v>
      </c>
      <c r="T824">
        <v>32.0806830090688</v>
      </c>
      <c r="U824">
        <v>8.5650269835421398</v>
      </c>
      <c r="V824">
        <v>8.0921898627265296</v>
      </c>
      <c r="W824">
        <v>10.733918090906201</v>
      </c>
    </row>
    <row r="825" spans="1:23" x14ac:dyDescent="0.2">
      <c r="A825" t="s">
        <v>1664</v>
      </c>
      <c r="B825" s="3" t="str">
        <f>HYPERLINK("http://www.ncbi.nlm.nih.gov/gene/224938","Pja2")</f>
        <v>Pja2</v>
      </c>
      <c r="C825">
        <v>224938</v>
      </c>
      <c r="D825" t="s">
        <v>1665</v>
      </c>
      <c r="E825" s="3" t="str">
        <f>HYPERLINK("http://genome.ucsc.edu/cgi-bin/hgTracks?db=mm10&amp;lastVirtModeType=default&amp;lastVirtModeExtraState=&amp;virtModeType=default&amp;virtMode=0&amp;nonVirtPosition=&amp;position=chr17:64281005-64331883","chr17:64281005-64331883")</f>
        <v>chr17:64281005-64331883</v>
      </c>
      <c r="F825" t="s">
        <v>25</v>
      </c>
      <c r="G825">
        <v>-0.63561771636853304</v>
      </c>
      <c r="H825">
        <v>0.142382973350275</v>
      </c>
      <c r="I825">
        <v>-4.4641413324390502</v>
      </c>
      <c r="J825" s="1">
        <v>8.0390489238379698E-6</v>
      </c>
      <c r="K825">
        <v>1.3096217048554E-4</v>
      </c>
      <c r="L825" t="s">
        <v>26</v>
      </c>
      <c r="M825" t="s">
        <v>27</v>
      </c>
      <c r="N825">
        <v>931.17581890176803</v>
      </c>
      <c r="O825">
        <v>1184.0984842012199</v>
      </c>
      <c r="P825">
        <v>741.483819927176</v>
      </c>
      <c r="Q825">
        <v>1260.57832415696</v>
      </c>
      <c r="R825">
        <v>1227.26890863986</v>
      </c>
      <c r="S825">
        <v>1064.4482198068499</v>
      </c>
      <c r="T825">
        <v>554.53752058533303</v>
      </c>
      <c r="U825">
        <v>790.12373923176301</v>
      </c>
      <c r="V825">
        <v>786.41372393224196</v>
      </c>
      <c r="W825">
        <v>834.86029595936805</v>
      </c>
    </row>
    <row r="826" spans="1:23" x14ac:dyDescent="0.2">
      <c r="A826" t="s">
        <v>1666</v>
      </c>
      <c r="B826" s="3" t="str">
        <f>HYPERLINK("http://www.ncbi.nlm.nih.gov/gene/71817","Tmem50a")</f>
        <v>Tmem50a</v>
      </c>
      <c r="C826">
        <v>71817</v>
      </c>
      <c r="D826" t="s">
        <v>1667</v>
      </c>
      <c r="E826" s="3" t="str">
        <f>HYPERLINK("http://genome.ucsc.edu/cgi-bin/hgTracks?db=mm10&amp;lastVirtModeType=default&amp;lastVirtModeExtraState=&amp;virtModeType=default&amp;virtMode=0&amp;nonVirtPosition=&amp;position=chr4:134897848-134914916","chr4:134897848-134914916")</f>
        <v>chr4:134897848-134914916</v>
      </c>
      <c r="F826" t="s">
        <v>25</v>
      </c>
      <c r="G826">
        <v>-0.65221386999897102</v>
      </c>
      <c r="H826">
        <v>0.14611206885290401</v>
      </c>
      <c r="I826">
        <v>-4.4637919038404501</v>
      </c>
      <c r="J826" s="1">
        <v>8.0521771460950494E-6</v>
      </c>
      <c r="K826">
        <v>1.3101665147431199E-4</v>
      </c>
      <c r="L826" t="s">
        <v>26</v>
      </c>
      <c r="M826" t="s">
        <v>27</v>
      </c>
      <c r="N826">
        <v>233.05621203252301</v>
      </c>
      <c r="O826">
        <v>295.670839951294</v>
      </c>
      <c r="P826">
        <v>186.09524109344599</v>
      </c>
      <c r="Q826">
        <v>340.75703815550401</v>
      </c>
      <c r="R826">
        <v>274.58055928778202</v>
      </c>
      <c r="S826">
        <v>271.674922410595</v>
      </c>
      <c r="T826">
        <v>201.650007485576</v>
      </c>
      <c r="U826">
        <v>175.58305316261399</v>
      </c>
      <c r="V826">
        <v>194.21255670543701</v>
      </c>
      <c r="W826">
        <v>172.93534702015501</v>
      </c>
    </row>
    <row r="827" spans="1:23" x14ac:dyDescent="0.2">
      <c r="A827" t="s">
        <v>1668</v>
      </c>
      <c r="B827" s="3" t="str">
        <f>HYPERLINK("http://www.ncbi.nlm.nih.gov/gene/56531","Ylpm1")</f>
        <v>Ylpm1</v>
      </c>
      <c r="C827">
        <v>56531</v>
      </c>
      <c r="D827" t="s">
        <v>1669</v>
      </c>
      <c r="E827" s="3" t="str">
        <f>HYPERLINK("http://genome.ucsc.edu/cgi-bin/hgTracks?db=mm10&amp;lastVirtModeType=default&amp;lastVirtModeExtraState=&amp;virtModeType=default&amp;virtMode=0&amp;nonVirtPosition=&amp;position=chr12:84996320-85070515","chr12:84996320-85070515")</f>
        <v>chr12:84996320-85070515</v>
      </c>
      <c r="F827" t="s">
        <v>30</v>
      </c>
      <c r="G827">
        <v>0.52022634637154197</v>
      </c>
      <c r="H827">
        <v>0.11661716297918601</v>
      </c>
      <c r="I827">
        <v>4.4609758382168101</v>
      </c>
      <c r="J827" s="1">
        <v>8.1587289501868797E-6</v>
      </c>
      <c r="K827">
        <v>1.32589246810622E-4</v>
      </c>
      <c r="L827" t="s">
        <v>26</v>
      </c>
      <c r="M827" t="s">
        <v>27</v>
      </c>
      <c r="N827">
        <v>694.76636995788704</v>
      </c>
      <c r="O827">
        <v>554.58926736507703</v>
      </c>
      <c r="P827">
        <v>799.89919690249496</v>
      </c>
      <c r="Q827">
        <v>589.08651367405696</v>
      </c>
      <c r="R827">
        <v>481.65374350204797</v>
      </c>
      <c r="S827">
        <v>593.02754491912697</v>
      </c>
      <c r="T827">
        <v>788.26821107997705</v>
      </c>
      <c r="U827">
        <v>785.84122573999196</v>
      </c>
      <c r="V827">
        <v>783.47110943670498</v>
      </c>
      <c r="W827">
        <v>842.01624135330496</v>
      </c>
    </row>
    <row r="828" spans="1:23" x14ac:dyDescent="0.2">
      <c r="A828" t="s">
        <v>1670</v>
      </c>
      <c r="B828" s="3" t="str">
        <f>HYPERLINK("http://www.ncbi.nlm.nih.gov/gene/68170","B230118H07Rik")</f>
        <v>B230118H07Rik</v>
      </c>
      <c r="C828">
        <v>68170</v>
      </c>
      <c r="D828" t="s">
        <v>1671</v>
      </c>
      <c r="E828" s="3" t="str">
        <f>HYPERLINK("http://genome.ucsc.edu/cgi-bin/hgTracks?db=mm10&amp;lastVirtModeType=default&amp;lastVirtModeExtraState=&amp;virtModeType=default&amp;virtMode=0&amp;nonVirtPosition=&amp;position=chr2:101560780-101628986","chr2:101560780-101628986")</f>
        <v>chr2:101560780-101628986</v>
      </c>
      <c r="F828" t="s">
        <v>25</v>
      </c>
      <c r="G828">
        <v>-0.72512783637254796</v>
      </c>
      <c r="H828">
        <v>0.16261603147150899</v>
      </c>
      <c r="I828">
        <v>-4.4591411425483702</v>
      </c>
      <c r="J828" s="1">
        <v>8.2288722020217796E-6</v>
      </c>
      <c r="K828">
        <v>1.3356706382699801E-4</v>
      </c>
      <c r="L828" t="s">
        <v>26</v>
      </c>
      <c r="M828" t="s">
        <v>27</v>
      </c>
      <c r="N828">
        <v>132.98584056911901</v>
      </c>
      <c r="O828">
        <v>172.58143961692201</v>
      </c>
      <c r="P828">
        <v>103.289141283267</v>
      </c>
      <c r="Q828">
        <v>183.18474763588401</v>
      </c>
      <c r="R828">
        <v>182.421614664949</v>
      </c>
      <c r="S828">
        <v>152.13795654993299</v>
      </c>
      <c r="T828">
        <v>114.573867889532</v>
      </c>
      <c r="U828">
        <v>94.215296818963594</v>
      </c>
      <c r="V828">
        <v>102.99150734379199</v>
      </c>
      <c r="W828">
        <v>101.37589308078</v>
      </c>
    </row>
    <row r="829" spans="1:23" x14ac:dyDescent="0.2">
      <c r="A829" t="s">
        <v>1672</v>
      </c>
      <c r="B829" s="3" t="str">
        <f>HYPERLINK("http://www.ncbi.nlm.nih.gov/gene/17966","Nbr1")</f>
        <v>Nbr1</v>
      </c>
      <c r="C829">
        <v>17966</v>
      </c>
      <c r="D829" t="s">
        <v>1673</v>
      </c>
      <c r="E829" s="3" t="str">
        <f>HYPERLINK("http://genome.ucsc.edu/cgi-bin/hgTracks?db=mm10&amp;lastVirtModeType=default&amp;lastVirtModeExtraState=&amp;virtModeType=default&amp;virtMode=0&amp;nonVirtPosition=&amp;position=chr11:101552653-101581951","chr11:101552653-101581951")</f>
        <v>chr11:101552653-101581951</v>
      </c>
      <c r="F829" t="s">
        <v>30</v>
      </c>
      <c r="G829">
        <v>-0.644960020939219</v>
      </c>
      <c r="H829">
        <v>0.144701168435376</v>
      </c>
      <c r="I829">
        <v>-4.45718599174449</v>
      </c>
      <c r="J829" s="1">
        <v>8.3042549425961296E-6</v>
      </c>
      <c r="K829">
        <v>1.34627455128698E-4</v>
      </c>
      <c r="L829" t="s">
        <v>26</v>
      </c>
      <c r="M829" t="s">
        <v>27</v>
      </c>
      <c r="N829">
        <v>1171.9078346435001</v>
      </c>
      <c r="O829">
        <v>1485.7658859189901</v>
      </c>
      <c r="P829">
        <v>936.51429618688496</v>
      </c>
      <c r="Q829">
        <v>1823.4955881687499</v>
      </c>
      <c r="R829">
        <v>1286.81193047437</v>
      </c>
      <c r="S829">
        <v>1346.9901391138601</v>
      </c>
      <c r="T829">
        <v>999.08412799671498</v>
      </c>
      <c r="U829">
        <v>860.78521184598503</v>
      </c>
      <c r="V829">
        <v>966.64886178387803</v>
      </c>
      <c r="W829">
        <v>919.53898312096101</v>
      </c>
    </row>
    <row r="830" spans="1:23" x14ac:dyDescent="0.2">
      <c r="A830" t="s">
        <v>1674</v>
      </c>
      <c r="B830" s="3" t="str">
        <f>HYPERLINK("http://www.ncbi.nlm.nih.gov/gene/77036","1700109H08Rik")</f>
        <v>1700109H08Rik</v>
      </c>
      <c r="C830">
        <v>77036</v>
      </c>
      <c r="D830" t="s">
        <v>1675</v>
      </c>
      <c r="E830" s="3" t="str">
        <f>HYPERLINK("http://genome.ucsc.edu/cgi-bin/hgTracks?db=mm10&amp;lastVirtModeType=default&amp;lastVirtModeExtraState=&amp;virtModeType=default&amp;virtMode=0&amp;nonVirtPosition=&amp;position=chr5:3571715-3584341","chr5:3571715-3584341")</f>
        <v>chr5:3571715-3584341</v>
      </c>
      <c r="F830" t="s">
        <v>30</v>
      </c>
      <c r="G830">
        <v>1.19190826946562</v>
      </c>
      <c r="H830">
        <v>0.26750560450988797</v>
      </c>
      <c r="I830">
        <v>4.4556384964321802</v>
      </c>
      <c r="J830" s="1">
        <v>8.3643876397176305E-6</v>
      </c>
      <c r="K830">
        <v>1.3543834931494401E-4</v>
      </c>
      <c r="L830" t="s">
        <v>26</v>
      </c>
      <c r="M830" t="s">
        <v>27</v>
      </c>
      <c r="N830">
        <v>35.412059881520797</v>
      </c>
      <c r="O830">
        <v>17.866882017172099</v>
      </c>
      <c r="P830">
        <v>48.570943279782398</v>
      </c>
      <c r="Q830">
        <v>16.146983834166001</v>
      </c>
      <c r="R830">
        <v>19.342000723310601</v>
      </c>
      <c r="S830">
        <v>18.111661494039701</v>
      </c>
      <c r="T830">
        <v>68.744320733718993</v>
      </c>
      <c r="U830">
        <v>38.5426214259396</v>
      </c>
      <c r="V830">
        <v>50.024446424127703</v>
      </c>
      <c r="W830">
        <v>36.972384535343402</v>
      </c>
    </row>
    <row r="831" spans="1:23" x14ac:dyDescent="0.2">
      <c r="A831" t="s">
        <v>1676</v>
      </c>
      <c r="B831" s="3" t="str">
        <f>HYPERLINK("http://www.ncbi.nlm.nih.gov/gene/404710","Iqgap3")</f>
        <v>Iqgap3</v>
      </c>
      <c r="C831">
        <v>404710</v>
      </c>
      <c r="D831" t="s">
        <v>1677</v>
      </c>
      <c r="E831" s="3" t="str">
        <f>HYPERLINK("http://genome.ucsc.edu/cgi-bin/hgTracks?db=mm10&amp;lastVirtModeType=default&amp;lastVirtModeExtraState=&amp;virtModeType=default&amp;virtMode=0&amp;nonVirtPosition=&amp;position=chr3:88082050-88121048","chr3:88082050-88121048")</f>
        <v>chr3:88082050-88121048</v>
      </c>
      <c r="F831" t="s">
        <v>30</v>
      </c>
      <c r="G831">
        <v>1.04668816671988</v>
      </c>
      <c r="H831">
        <v>0.23500075741764001</v>
      </c>
      <c r="I831">
        <v>4.4539778433978396</v>
      </c>
      <c r="J831" s="1">
        <v>8.4293803019372197E-6</v>
      </c>
      <c r="K831">
        <v>1.3632588360294799E-4</v>
      </c>
      <c r="L831" t="s">
        <v>26</v>
      </c>
      <c r="M831" t="s">
        <v>27</v>
      </c>
      <c r="N831">
        <v>285.31718209100399</v>
      </c>
      <c r="O831">
        <v>166.52253253409199</v>
      </c>
      <c r="P831">
        <v>374.41316925868699</v>
      </c>
      <c r="Q831">
        <v>91.313977544938894</v>
      </c>
      <c r="R831">
        <v>173.319496677508</v>
      </c>
      <c r="S831">
        <v>234.934123379829</v>
      </c>
      <c r="T831">
        <v>449.129562126964</v>
      </c>
      <c r="U831">
        <v>351.16610632522799</v>
      </c>
      <c r="V831">
        <v>363.41289019880998</v>
      </c>
      <c r="W831">
        <v>333.94411838374702</v>
      </c>
    </row>
    <row r="832" spans="1:23" x14ac:dyDescent="0.2">
      <c r="A832" t="s">
        <v>1678</v>
      </c>
      <c r="B832" s="3" t="str">
        <f>HYPERLINK("http://www.ncbi.nlm.nih.gov/gene/226016","Abhd17b")</f>
        <v>Abhd17b</v>
      </c>
      <c r="C832">
        <v>226016</v>
      </c>
      <c r="D832" t="s">
        <v>1679</v>
      </c>
      <c r="E832" s="3" t="str">
        <f>HYPERLINK("http://genome.ucsc.edu/cgi-bin/hgTracks?db=mm10&amp;lastVirtModeType=default&amp;lastVirtModeExtraState=&amp;virtModeType=default&amp;virtMode=0&amp;nonVirtPosition=&amp;position=chr19:21653308-21685637","chr19:21653308-21685637")</f>
        <v>chr19:21653308-21685637</v>
      </c>
      <c r="F832" t="s">
        <v>30</v>
      </c>
      <c r="G832">
        <v>-0.85786789382134898</v>
      </c>
      <c r="H832">
        <v>0.19262719759035199</v>
      </c>
      <c r="I832">
        <v>-4.4535138576106998</v>
      </c>
      <c r="J832" s="1">
        <v>8.4476253182767502E-6</v>
      </c>
      <c r="K832">
        <v>1.3645615275879801E-4</v>
      </c>
      <c r="L832" t="s">
        <v>26</v>
      </c>
      <c r="M832" t="s">
        <v>27</v>
      </c>
      <c r="N832">
        <v>388.86119628660703</v>
      </c>
      <c r="O832">
        <v>530.62934876156305</v>
      </c>
      <c r="P832">
        <v>282.53508193039102</v>
      </c>
      <c r="Q832">
        <v>359.68798471969802</v>
      </c>
      <c r="R832">
        <v>655.73175001184302</v>
      </c>
      <c r="S832">
        <v>576.46831155314806</v>
      </c>
      <c r="T832">
        <v>307.05796594394502</v>
      </c>
      <c r="U832">
        <v>256.95080950626402</v>
      </c>
      <c r="V832">
        <v>309.71017565526103</v>
      </c>
      <c r="W832">
        <v>256.421376616092</v>
      </c>
    </row>
    <row r="833" spans="1:23" x14ac:dyDescent="0.2">
      <c r="A833" t="s">
        <v>1680</v>
      </c>
      <c r="B833" s="3" t="str">
        <f>HYPERLINK("http://www.ncbi.nlm.nih.gov/gene/20843","Stag2")</f>
        <v>Stag2</v>
      </c>
      <c r="C833">
        <v>20843</v>
      </c>
      <c r="D833" t="s">
        <v>1681</v>
      </c>
      <c r="E833" s="3" t="str">
        <f>HYPERLINK("http://genome.ucsc.edu/cgi-bin/hgTracks?db=mm10&amp;lastVirtModeType=default&amp;lastVirtModeExtraState=&amp;virtModeType=default&amp;virtMode=0&amp;nonVirtPosition=&amp;position=chrX:42201854-42277186","chrX:42201854-42277186")</f>
        <v>chrX:42201854-42277186</v>
      </c>
      <c r="F833" t="s">
        <v>30</v>
      </c>
      <c r="G833">
        <v>-0.57105409237107596</v>
      </c>
      <c r="H833">
        <v>0.12828104032726201</v>
      </c>
      <c r="I833">
        <v>-4.4515860715990598</v>
      </c>
      <c r="J833" s="1">
        <v>8.5238353974785897E-6</v>
      </c>
      <c r="K833">
        <v>1.37521300973055E-4</v>
      </c>
      <c r="L833" t="s">
        <v>26</v>
      </c>
      <c r="M833" t="s">
        <v>27</v>
      </c>
      <c r="N833">
        <v>1093.33371307773</v>
      </c>
      <c r="O833">
        <v>1348.24457443548</v>
      </c>
      <c r="P833">
        <v>902.15056705941799</v>
      </c>
      <c r="Q833">
        <v>1533.40667169977</v>
      </c>
      <c r="R833">
        <v>1296.29330337795</v>
      </c>
      <c r="S833">
        <v>1215.03374822872</v>
      </c>
      <c r="T833">
        <v>1012.83299214346</v>
      </c>
      <c r="U833">
        <v>832.948874149473</v>
      </c>
      <c r="V833">
        <v>938.69402407627797</v>
      </c>
      <c r="W833">
        <v>824.12637786846199</v>
      </c>
    </row>
    <row r="834" spans="1:23" x14ac:dyDescent="0.2">
      <c r="A834" t="s">
        <v>1682</v>
      </c>
      <c r="B834" s="3" t="str">
        <f>HYPERLINK("http://www.ncbi.nlm.nih.gov/gene/327799","Usp44")</f>
        <v>Usp44</v>
      </c>
      <c r="C834">
        <v>327799</v>
      </c>
      <c r="D834" t="s">
        <v>1683</v>
      </c>
      <c r="E834" s="3" t="str">
        <f>HYPERLINK("http://genome.ucsc.edu/cgi-bin/hgTracks?db=mm10&amp;lastVirtModeType=default&amp;lastVirtModeExtraState=&amp;virtModeType=default&amp;virtMode=0&amp;nonVirtPosition=&amp;position=chr10:93831554-93848538","chr10:93831554-93848538")</f>
        <v>chr10:93831554-93848538</v>
      </c>
      <c r="F834" t="s">
        <v>30</v>
      </c>
      <c r="G834">
        <v>1.66671655245258</v>
      </c>
      <c r="H834">
        <v>0.37448907984882701</v>
      </c>
      <c r="I834">
        <v>4.4506412660294297</v>
      </c>
      <c r="J834" s="1">
        <v>8.5614253704894404E-6</v>
      </c>
      <c r="K834">
        <v>1.3796154890038999E-4</v>
      </c>
      <c r="L834" t="s">
        <v>26</v>
      </c>
      <c r="M834" t="s">
        <v>27</v>
      </c>
      <c r="N834">
        <v>12.660915213817701</v>
      </c>
      <c r="O834">
        <v>3.3979031401944799</v>
      </c>
      <c r="P834">
        <v>19.6081742690351</v>
      </c>
      <c r="Q834">
        <v>6.1247180060629702</v>
      </c>
      <c r="R834">
        <v>3.03403932914676</v>
      </c>
      <c r="S834">
        <v>1.0349520853737</v>
      </c>
      <c r="T834">
        <v>22.914773577906299</v>
      </c>
      <c r="U834">
        <v>17.130053967084301</v>
      </c>
      <c r="V834">
        <v>16.920033349337299</v>
      </c>
      <c r="W834">
        <v>21.467836181812299</v>
      </c>
    </row>
    <row r="835" spans="1:23" x14ac:dyDescent="0.2">
      <c r="A835" t="s">
        <v>1684</v>
      </c>
      <c r="B835" s="3" t="str">
        <f>HYPERLINK("http://www.ncbi.nlm.nih.gov/gene/209630","Frmd4a")</f>
        <v>Frmd4a</v>
      </c>
      <c r="C835">
        <v>209630</v>
      </c>
      <c r="D835" t="s">
        <v>1685</v>
      </c>
      <c r="E835" s="3" t="str">
        <f>HYPERLINK("http://genome.ucsc.edu/cgi-bin/hgTracks?db=mm10&amp;lastVirtModeType=default&amp;lastVirtModeExtraState=&amp;virtModeType=default&amp;virtMode=0&amp;nonVirtPosition=&amp;position=chr2:4152862-4614043","chr2:4152862-4614043")</f>
        <v>chr2:4152862-4614043</v>
      </c>
      <c r="F835" t="s">
        <v>30</v>
      </c>
      <c r="G835">
        <v>0.72513680856112195</v>
      </c>
      <c r="H835">
        <v>0.163010420481876</v>
      </c>
      <c r="I835">
        <v>4.4484076933090604</v>
      </c>
      <c r="J835" s="1">
        <v>8.6509211515793695E-6</v>
      </c>
      <c r="K835">
        <v>1.39236160024999E-4</v>
      </c>
      <c r="L835" t="s">
        <v>26</v>
      </c>
      <c r="M835" t="s">
        <v>27</v>
      </c>
      <c r="N835">
        <v>900.18400465968898</v>
      </c>
      <c r="O835">
        <v>647.27025212350497</v>
      </c>
      <c r="P835">
        <v>1089.8693190618301</v>
      </c>
      <c r="Q835">
        <v>579.06424784595401</v>
      </c>
      <c r="R835">
        <v>533.23241209754303</v>
      </c>
      <c r="S835">
        <v>829.51409642701697</v>
      </c>
      <c r="T835">
        <v>980.75230913438998</v>
      </c>
      <c r="U835">
        <v>1027.80323802506</v>
      </c>
      <c r="V835">
        <v>1188.0806025730301</v>
      </c>
      <c r="W835">
        <v>1162.84112651483</v>
      </c>
    </row>
    <row r="836" spans="1:23" x14ac:dyDescent="0.2">
      <c r="A836" t="s">
        <v>1686</v>
      </c>
      <c r="B836" s="3" t="str">
        <f>HYPERLINK("http://www.ncbi.nlm.nih.gov/gene/111173","Erc1")</f>
        <v>Erc1</v>
      </c>
      <c r="C836">
        <v>111173</v>
      </c>
      <c r="D836" t="s">
        <v>1687</v>
      </c>
      <c r="E836" s="3" t="str">
        <f>HYPERLINK("http://genome.ucsc.edu/cgi-bin/hgTracks?db=mm10&amp;lastVirtModeType=default&amp;lastVirtModeExtraState=&amp;virtModeType=default&amp;virtMode=0&amp;nonVirtPosition=&amp;position=chr6:119570795-119848150","chr6:119570795-119848150")</f>
        <v>chr6:119570795-119848150</v>
      </c>
      <c r="F836" t="s">
        <v>25</v>
      </c>
      <c r="G836">
        <v>0.50868906997261498</v>
      </c>
      <c r="H836">
        <v>0.114364593234367</v>
      </c>
      <c r="I836">
        <v>4.4479594215856597</v>
      </c>
      <c r="J836" s="1">
        <v>8.6689901048626607E-6</v>
      </c>
      <c r="K836">
        <v>1.3935947958489299E-4</v>
      </c>
      <c r="L836" t="s">
        <v>26</v>
      </c>
      <c r="M836" t="s">
        <v>27</v>
      </c>
      <c r="N836">
        <v>397.25929586290403</v>
      </c>
      <c r="O836">
        <v>320.06210297401202</v>
      </c>
      <c r="P836">
        <v>455.15719052957297</v>
      </c>
      <c r="Q836">
        <v>297.327219567057</v>
      </c>
      <c r="R836">
        <v>333.744326206143</v>
      </c>
      <c r="S836">
        <v>329.11476314883498</v>
      </c>
      <c r="T836">
        <v>435.38069798022002</v>
      </c>
      <c r="U836">
        <v>423.96883568533599</v>
      </c>
      <c r="V836">
        <v>472.28962653367603</v>
      </c>
      <c r="W836">
        <v>488.98960191905798</v>
      </c>
    </row>
    <row r="837" spans="1:23" x14ac:dyDescent="0.2">
      <c r="A837" t="s">
        <v>1688</v>
      </c>
      <c r="B837" s="3" t="str">
        <f>HYPERLINK("http://www.ncbi.nlm.nih.gov/gene/21761","Morf4l1")</f>
        <v>Morf4l1</v>
      </c>
      <c r="C837">
        <v>21761</v>
      </c>
      <c r="D837" t="s">
        <v>1689</v>
      </c>
      <c r="E837" s="3" t="str">
        <f>HYPERLINK("http://genome.ucsc.edu/cgi-bin/hgTracks?db=mm10&amp;lastVirtModeType=default&amp;lastVirtModeExtraState=&amp;virtModeType=default&amp;virtMode=0&amp;nonVirtPosition=&amp;position=chr9:90091668-90114820","chr9:90091668-90114820")</f>
        <v>chr9:90091668-90114820</v>
      </c>
      <c r="F837" t="s">
        <v>25</v>
      </c>
      <c r="G837">
        <v>0.640841497451482</v>
      </c>
      <c r="H837">
        <v>0.144110988588285</v>
      </c>
      <c r="I837">
        <v>4.4468607406637197</v>
      </c>
      <c r="J837" s="1">
        <v>8.7134284281105705E-6</v>
      </c>
      <c r="K837">
        <v>1.3990589937749201E-4</v>
      </c>
      <c r="L837" t="s">
        <v>26</v>
      </c>
      <c r="M837" t="s">
        <v>27</v>
      </c>
      <c r="N837">
        <v>210.95637471029499</v>
      </c>
      <c r="O837">
        <v>157.12970280872901</v>
      </c>
      <c r="P837">
        <v>251.32637863647</v>
      </c>
      <c r="Q837">
        <v>138.64134395542601</v>
      </c>
      <c r="R837">
        <v>154.73600578648501</v>
      </c>
      <c r="S837">
        <v>178.011758684276</v>
      </c>
      <c r="T837">
        <v>274.97728293487597</v>
      </c>
      <c r="U837">
        <v>246.24452577683701</v>
      </c>
      <c r="V837">
        <v>257.47876835948102</v>
      </c>
      <c r="W837">
        <v>226.60493747468601</v>
      </c>
    </row>
    <row r="838" spans="1:23" x14ac:dyDescent="0.2">
      <c r="A838" t="s">
        <v>1688</v>
      </c>
      <c r="B838" s="3" t="str">
        <f>HYPERLINK("http://www.ncbi.nlm.nih.gov/gene/627352","Morf4l1b")</f>
        <v>Morf4l1b</v>
      </c>
      <c r="C838">
        <v>627352</v>
      </c>
      <c r="D838" t="s">
        <v>1690</v>
      </c>
      <c r="E838" s="3" t="str">
        <f>HYPERLINK("http://genome.ucsc.edu/cgi-bin/hgTracks?db=mm10&amp;lastVirtModeType=default&amp;lastVirtModeExtraState=&amp;virtModeType=default&amp;virtMode=0&amp;nonVirtPosition=&amp;position=chr19:41525251-41526961","chr19:41525251-41526961")</f>
        <v>chr19:41525251-41526961</v>
      </c>
      <c r="F838" t="s">
        <v>30</v>
      </c>
      <c r="G838">
        <v>0.640841497451482</v>
      </c>
      <c r="H838">
        <v>0.144110988588285</v>
      </c>
      <c r="I838">
        <v>4.4468607406637197</v>
      </c>
      <c r="J838" s="1">
        <v>8.7134284281105705E-6</v>
      </c>
      <c r="K838">
        <v>1.3990589937749201E-4</v>
      </c>
      <c r="L838" t="s">
        <v>26</v>
      </c>
      <c r="M838" t="s">
        <v>27</v>
      </c>
      <c r="N838">
        <v>210.95637471029499</v>
      </c>
      <c r="O838">
        <v>157.12970280872901</v>
      </c>
      <c r="P838">
        <v>251.32637863647</v>
      </c>
      <c r="Q838">
        <v>138.64134395542601</v>
      </c>
      <c r="R838">
        <v>154.73600578648501</v>
      </c>
      <c r="S838">
        <v>178.011758684276</v>
      </c>
      <c r="T838">
        <v>274.97728293487597</v>
      </c>
      <c r="U838">
        <v>246.24452577683701</v>
      </c>
      <c r="V838">
        <v>257.47876835948102</v>
      </c>
      <c r="W838">
        <v>226.60493747468601</v>
      </c>
    </row>
    <row r="839" spans="1:23" x14ac:dyDescent="0.2">
      <c r="A839" t="s">
        <v>1691</v>
      </c>
      <c r="B839" s="3" t="str">
        <f>HYPERLINK("http://www.ncbi.nlm.nih.gov/gene/12727","Clcn4")</f>
        <v>Clcn4</v>
      </c>
      <c r="C839">
        <v>12727</v>
      </c>
      <c r="D839" t="s">
        <v>1692</v>
      </c>
      <c r="E839" s="3" t="str">
        <f>HYPERLINK("http://genome.ucsc.edu/cgi-bin/hgTracks?db=mm10&amp;lastVirtModeType=default&amp;lastVirtModeExtraState=&amp;virtModeType=default&amp;virtMode=0&amp;nonVirtPosition=&amp;position=chr7:7282308-7298836","chr7:7282308-7298836")</f>
        <v>chr7:7282308-7298836</v>
      </c>
      <c r="F839" t="s">
        <v>25</v>
      </c>
      <c r="G839">
        <v>-0.50871657893352695</v>
      </c>
      <c r="H839">
        <v>0.114444229561908</v>
      </c>
      <c r="I839">
        <v>-4.4451046669708898</v>
      </c>
      <c r="J839" s="1">
        <v>8.7849086629732805E-6</v>
      </c>
      <c r="K839">
        <v>1.4088468491721599E-4</v>
      </c>
      <c r="L839" t="s">
        <v>26</v>
      </c>
      <c r="M839" t="s">
        <v>27</v>
      </c>
      <c r="N839">
        <v>723.49305022774297</v>
      </c>
      <c r="O839">
        <v>873.70588380750701</v>
      </c>
      <c r="P839">
        <v>610.83342504291898</v>
      </c>
      <c r="Q839">
        <v>935.41147728961801</v>
      </c>
      <c r="R839">
        <v>902.24744550501703</v>
      </c>
      <c r="S839">
        <v>783.45872862788701</v>
      </c>
      <c r="T839">
        <v>609.53297717230805</v>
      </c>
      <c r="U839">
        <v>655.22456424097402</v>
      </c>
      <c r="V839">
        <v>612.06381507167998</v>
      </c>
      <c r="W839">
        <v>566.51234368671396</v>
      </c>
    </row>
    <row r="840" spans="1:23" x14ac:dyDescent="0.2">
      <c r="A840" t="s">
        <v>1693</v>
      </c>
      <c r="B840" s="3" t="str">
        <f>HYPERLINK("http://www.ncbi.nlm.nih.gov/gene/240476","Zfp407")</f>
        <v>Zfp407</v>
      </c>
      <c r="C840">
        <v>240476</v>
      </c>
      <c r="D840" t="s">
        <v>1694</v>
      </c>
      <c r="E840" s="3" t="str">
        <f>HYPERLINK("http://genome.ucsc.edu/cgi-bin/hgTracks?db=mm10&amp;lastVirtModeType=default&amp;lastVirtModeExtraState=&amp;virtModeType=default&amp;virtMode=0&amp;nonVirtPosition=&amp;position=chr18:84207701-84589504","chr18:84207701-84589504")</f>
        <v>chr18:84207701-84589504</v>
      </c>
      <c r="F840" t="s">
        <v>25</v>
      </c>
      <c r="G840">
        <v>0.593269210179033</v>
      </c>
      <c r="H840">
        <v>0.133569239812066</v>
      </c>
      <c r="I840">
        <v>4.4416604527642303</v>
      </c>
      <c r="J840" s="1">
        <v>8.9267345226665693E-6</v>
      </c>
      <c r="K840">
        <v>1.4298792104429199E-4</v>
      </c>
      <c r="L840" t="s">
        <v>26</v>
      </c>
      <c r="M840" t="s">
        <v>27</v>
      </c>
      <c r="N840">
        <v>385.54450370836901</v>
      </c>
      <c r="O840">
        <v>294.86947539603301</v>
      </c>
      <c r="P840">
        <v>453.55077494262099</v>
      </c>
      <c r="Q840">
        <v>266.70362953674203</v>
      </c>
      <c r="R840">
        <v>281.02789286221798</v>
      </c>
      <c r="S840">
        <v>336.876903789138</v>
      </c>
      <c r="T840">
        <v>513.29092814510102</v>
      </c>
      <c r="U840">
        <v>398.27375473471</v>
      </c>
      <c r="V840">
        <v>464.93309029483402</v>
      </c>
      <c r="W840">
        <v>437.70532659584001</v>
      </c>
    </row>
    <row r="841" spans="1:23" x14ac:dyDescent="0.2">
      <c r="A841" t="s">
        <v>1695</v>
      </c>
      <c r="B841" s="3" t="str">
        <f>HYPERLINK("http://www.ncbi.nlm.nih.gov/gene/231659","Gcn1l1")</f>
        <v>Gcn1l1</v>
      </c>
      <c r="C841">
        <v>231659</v>
      </c>
      <c r="D841" t="s">
        <v>1696</v>
      </c>
      <c r="E841" s="3" t="str">
        <f>HYPERLINK("http://genome.ucsc.edu/cgi-bin/hgTracks?db=mm10&amp;lastVirtModeType=default&amp;lastVirtModeExtraState=&amp;virtModeType=default&amp;virtMode=0&amp;nonVirtPosition=&amp;position=chr5:115565262-115622654","chr5:115565262-115622654")</f>
        <v>chr5:115565262-115622654</v>
      </c>
      <c r="F841" t="s">
        <v>30</v>
      </c>
      <c r="G841">
        <v>0.76375354638623505</v>
      </c>
      <c r="H841">
        <v>0.17203641258934799</v>
      </c>
      <c r="I841">
        <v>4.4394877508247097</v>
      </c>
      <c r="J841" s="1">
        <v>9.0173246499587396E-6</v>
      </c>
      <c r="K841">
        <v>1.44266421012661E-4</v>
      </c>
      <c r="L841" t="s">
        <v>26</v>
      </c>
      <c r="M841" t="s">
        <v>27</v>
      </c>
      <c r="N841">
        <v>1109.5833938494</v>
      </c>
      <c r="O841">
        <v>777.62896613852695</v>
      </c>
      <c r="P841">
        <v>1358.5492146325601</v>
      </c>
      <c r="Q841">
        <v>644.20897572862395</v>
      </c>
      <c r="R841">
        <v>664.07535816699601</v>
      </c>
      <c r="S841">
        <v>1024.60256451996</v>
      </c>
      <c r="T841">
        <v>1397.8011882522901</v>
      </c>
      <c r="U841">
        <v>1528.8573165622699</v>
      </c>
      <c r="V841">
        <v>1271.9451156958301</v>
      </c>
      <c r="W841">
        <v>1235.5932380198601</v>
      </c>
    </row>
    <row r="842" spans="1:23" x14ac:dyDescent="0.2">
      <c r="A842" t="s">
        <v>1697</v>
      </c>
      <c r="B842" s="3" t="str">
        <f>HYPERLINK("http://www.ncbi.nlm.nih.gov/gene/269614","Pank4")</f>
        <v>Pank4</v>
      </c>
      <c r="C842">
        <v>269614</v>
      </c>
      <c r="D842" t="s">
        <v>1698</v>
      </c>
      <c r="E842" s="3" t="str">
        <f>HYPERLINK("http://genome.ucsc.edu/cgi-bin/hgTracks?db=mm10&amp;lastVirtModeType=default&amp;lastVirtModeExtraState=&amp;virtModeType=default&amp;virtMode=0&amp;nonVirtPosition=&amp;position=chr4:154964122-154980938","chr4:154964122-154980938")</f>
        <v>chr4:154964122-154980938</v>
      </c>
      <c r="F842" t="s">
        <v>30</v>
      </c>
      <c r="G842">
        <v>0.67248130330148304</v>
      </c>
      <c r="H842">
        <v>0.151518696220689</v>
      </c>
      <c r="I842">
        <v>4.4382727681474101</v>
      </c>
      <c r="J842" s="1">
        <v>9.0683652398313502E-6</v>
      </c>
      <c r="K842">
        <v>1.4490987938732899E-4</v>
      </c>
      <c r="L842" t="s">
        <v>26</v>
      </c>
      <c r="M842" t="s">
        <v>27</v>
      </c>
      <c r="N842">
        <v>218.32419343440699</v>
      </c>
      <c r="O842">
        <v>158.58566656931001</v>
      </c>
      <c r="P842">
        <v>263.12808858323001</v>
      </c>
      <c r="Q842">
        <v>140.868514139448</v>
      </c>
      <c r="R842">
        <v>151.70196645733799</v>
      </c>
      <c r="S842">
        <v>183.18651911114401</v>
      </c>
      <c r="T842">
        <v>307.05796594394502</v>
      </c>
      <c r="U842">
        <v>267.657093235692</v>
      </c>
      <c r="V842">
        <v>236.880466890722</v>
      </c>
      <c r="W842">
        <v>240.91682826255999</v>
      </c>
    </row>
    <row r="843" spans="1:23" x14ac:dyDescent="0.2">
      <c r="A843" t="s">
        <v>1699</v>
      </c>
      <c r="B843" s="3" t="str">
        <f>HYPERLINK("http://www.ncbi.nlm.nih.gov/gene/21353","Tank")</f>
        <v>Tank</v>
      </c>
      <c r="C843">
        <v>21353</v>
      </c>
      <c r="D843" t="s">
        <v>1700</v>
      </c>
      <c r="E843" s="3" t="str">
        <f>HYPERLINK("http://genome.ucsc.edu/cgi-bin/hgTracks?db=mm10&amp;lastVirtModeType=default&amp;lastVirtModeExtraState=&amp;virtModeType=default&amp;virtMode=0&amp;nonVirtPosition=&amp;position=chr2:61578585-61654169","chr2:61578585-61654169")</f>
        <v>chr2:61578585-61654169</v>
      </c>
      <c r="F843" t="s">
        <v>30</v>
      </c>
      <c r="G843">
        <v>-0.79221271600818799</v>
      </c>
      <c r="H843">
        <v>0.17855046993450499</v>
      </c>
      <c r="I843">
        <v>-4.4369119627564304</v>
      </c>
      <c r="J843" s="1">
        <v>9.1258594569177403E-6</v>
      </c>
      <c r="K843">
        <v>1.4544803417000101E-4</v>
      </c>
      <c r="L843" t="s">
        <v>26</v>
      </c>
      <c r="M843" t="s">
        <v>27</v>
      </c>
      <c r="N843">
        <v>175.42153929006</v>
      </c>
      <c r="O843">
        <v>232.99605351795299</v>
      </c>
      <c r="P843">
        <v>132.24065361914001</v>
      </c>
      <c r="Q843">
        <v>239.420794782462</v>
      </c>
      <c r="R843">
        <v>263.96142163576798</v>
      </c>
      <c r="S843">
        <v>195.60594413562799</v>
      </c>
      <c r="T843">
        <v>160.40341504534399</v>
      </c>
      <c r="U843">
        <v>94.215296818963594</v>
      </c>
      <c r="V843">
        <v>132.41765229916101</v>
      </c>
      <c r="W843">
        <v>141.92625031309299</v>
      </c>
    </row>
    <row r="844" spans="1:23" x14ac:dyDescent="0.2">
      <c r="A844" t="s">
        <v>1701</v>
      </c>
      <c r="B844" s="3" t="str">
        <f>HYPERLINK("http://www.ncbi.nlm.nih.gov/gene/76457","Ccdc134")</f>
        <v>Ccdc134</v>
      </c>
      <c r="C844">
        <v>76457</v>
      </c>
      <c r="D844" t="s">
        <v>1702</v>
      </c>
      <c r="E844" s="3" t="str">
        <f>HYPERLINK("http://genome.ucsc.edu/cgi-bin/hgTracks?db=mm10&amp;lastVirtModeType=default&amp;lastVirtModeExtraState=&amp;virtModeType=default&amp;virtMode=0&amp;nonVirtPosition=&amp;position=chr15:82127921-82142202","chr15:82127921-82142202")</f>
        <v>chr15:82127921-82142202</v>
      </c>
      <c r="F844" t="s">
        <v>30</v>
      </c>
      <c r="G844">
        <v>0.770188137501429</v>
      </c>
      <c r="H844">
        <v>0.173588439903308</v>
      </c>
      <c r="I844">
        <v>4.43686306490478</v>
      </c>
      <c r="J844" s="1">
        <v>9.1279318665105504E-6</v>
      </c>
      <c r="K844">
        <v>1.4544803417000101E-4</v>
      </c>
      <c r="L844" t="s">
        <v>26</v>
      </c>
      <c r="M844" t="s">
        <v>27</v>
      </c>
      <c r="N844">
        <v>114.858849109289</v>
      </c>
      <c r="O844">
        <v>81.7070569399243</v>
      </c>
      <c r="P844">
        <v>139.72269323631201</v>
      </c>
      <c r="Q844">
        <v>94.097940274967499</v>
      </c>
      <c r="R844">
        <v>75.471728312525599</v>
      </c>
      <c r="S844">
        <v>75.551502232279802</v>
      </c>
      <c r="T844">
        <v>119.15682260511301</v>
      </c>
      <c r="U844">
        <v>145.60545872021601</v>
      </c>
      <c r="V844">
        <v>158.16552913510901</v>
      </c>
      <c r="W844">
        <v>135.96296248481099</v>
      </c>
    </row>
    <row r="845" spans="1:23" x14ac:dyDescent="0.2">
      <c r="A845" t="s">
        <v>1703</v>
      </c>
      <c r="B845" s="3" t="str">
        <f>HYPERLINK("http://www.ncbi.nlm.nih.gov/gene/18706","Pik3ca")</f>
        <v>Pik3ca</v>
      </c>
      <c r="C845">
        <v>18706</v>
      </c>
      <c r="D845" t="s">
        <v>1704</v>
      </c>
      <c r="E845" s="3" t="str">
        <f>HYPERLINK("http://genome.ucsc.edu/cgi-bin/hgTracks?db=mm10&amp;lastVirtModeType=default&amp;lastVirtModeExtraState=&amp;virtModeType=default&amp;virtMode=0&amp;nonVirtPosition=&amp;position=chr3:32436150-32468486","chr3:32436150-32468486")</f>
        <v>chr3:32436150-32468486</v>
      </c>
      <c r="F845" t="s">
        <v>30</v>
      </c>
      <c r="G845">
        <v>-0.45242595089985199</v>
      </c>
      <c r="H845">
        <v>0.10197715791897501</v>
      </c>
      <c r="I845">
        <v>-4.4365420662078501</v>
      </c>
      <c r="J845" s="1">
        <v>9.1415477394851797E-6</v>
      </c>
      <c r="K845">
        <v>1.4544803417000101E-4</v>
      </c>
      <c r="L845" t="s">
        <v>26</v>
      </c>
      <c r="M845" t="s">
        <v>27</v>
      </c>
      <c r="N845">
        <v>690.76804413731998</v>
      </c>
      <c r="O845">
        <v>819.72573408480901</v>
      </c>
      <c r="P845">
        <v>594.049776676703</v>
      </c>
      <c r="Q845">
        <v>863.58523885487898</v>
      </c>
      <c r="R845">
        <v>794.53904932030696</v>
      </c>
      <c r="S845">
        <v>801.05291407924005</v>
      </c>
      <c r="T845">
        <v>600.367067741146</v>
      </c>
      <c r="U845">
        <v>558.86801067612498</v>
      </c>
      <c r="V845">
        <v>628.983848421017</v>
      </c>
      <c r="W845">
        <v>587.98017986852597</v>
      </c>
    </row>
    <row r="846" spans="1:23" x14ac:dyDescent="0.2">
      <c r="A846" t="s">
        <v>1705</v>
      </c>
      <c r="B846" s="3" t="str">
        <f>HYPERLINK("http://www.ncbi.nlm.nih.gov/gene/66945","Sdha")</f>
        <v>Sdha</v>
      </c>
      <c r="C846">
        <v>66945</v>
      </c>
      <c r="D846" t="s">
        <v>1706</v>
      </c>
      <c r="E846" s="3" t="str">
        <f>HYPERLINK("http://genome.ucsc.edu/cgi-bin/hgTracks?db=mm10&amp;lastVirtModeType=default&amp;lastVirtModeExtraState=&amp;virtModeType=default&amp;virtMode=0&amp;nonVirtPosition=&amp;position=chr13:74322254-74350240","chr13:74322254-74350240")</f>
        <v>chr13:74322254-74350240</v>
      </c>
      <c r="F846" t="s">
        <v>25</v>
      </c>
      <c r="G846">
        <v>-0.49087013817076502</v>
      </c>
      <c r="H846">
        <v>0.110644822578036</v>
      </c>
      <c r="I846">
        <v>-4.4364492321776803</v>
      </c>
      <c r="J846" s="1">
        <v>9.1454891174028092E-6</v>
      </c>
      <c r="K846">
        <v>1.4544803417000101E-4</v>
      </c>
      <c r="L846" t="s">
        <v>26</v>
      </c>
      <c r="M846" t="s">
        <v>27</v>
      </c>
      <c r="N846">
        <v>837.38038829669904</v>
      </c>
      <c r="O846">
        <v>1008.83191599875</v>
      </c>
      <c r="P846">
        <v>708.79174252015696</v>
      </c>
      <c r="Q846">
        <v>944.32015802571004</v>
      </c>
      <c r="R846">
        <v>1109.3206297192801</v>
      </c>
      <c r="S846">
        <v>972.85496025127395</v>
      </c>
      <c r="T846">
        <v>641.61366018137699</v>
      </c>
      <c r="U846">
        <v>747.298604314052</v>
      </c>
      <c r="V846">
        <v>718.73359053489298</v>
      </c>
      <c r="W846">
        <v>727.52111505030598</v>
      </c>
    </row>
    <row r="847" spans="1:23" x14ac:dyDescent="0.2">
      <c r="A847" t="s">
        <v>1707</v>
      </c>
      <c r="B847" s="3" t="str">
        <f>HYPERLINK("http://www.ncbi.nlm.nih.gov/gene/15423","Hoxc4")</f>
        <v>Hoxc4</v>
      </c>
      <c r="C847">
        <v>15423</v>
      </c>
      <c r="D847" t="s">
        <v>1708</v>
      </c>
      <c r="E847" s="3" t="str">
        <f>HYPERLINK("http://genome.ucsc.edu/cgi-bin/hgTracks?db=mm10&amp;lastVirtModeType=default&amp;lastVirtModeExtraState=&amp;virtModeType=default&amp;virtMode=0&amp;nonVirtPosition=&amp;position=chr15:103034394-103036852","chr15:103034394-103036852")</f>
        <v>chr15:103034394-103036852</v>
      </c>
      <c r="F847" t="s">
        <v>30</v>
      </c>
      <c r="G847">
        <v>1.73598986883824</v>
      </c>
      <c r="H847">
        <v>0.39160535387921702</v>
      </c>
      <c r="I847">
        <v>4.4330085164608697</v>
      </c>
      <c r="J847" s="1">
        <v>9.2927193876926808E-6</v>
      </c>
      <c r="K847">
        <v>1.4761424118694299E-4</v>
      </c>
      <c r="L847" t="s">
        <v>26</v>
      </c>
      <c r="M847" t="s">
        <v>27</v>
      </c>
      <c r="N847">
        <v>11.580635944114899</v>
      </c>
      <c r="O847">
        <v>2.06575232510624</v>
      </c>
      <c r="P847">
        <v>18.716798658371399</v>
      </c>
      <c r="Q847">
        <v>2.78396273002862</v>
      </c>
      <c r="R847">
        <v>3.4132942452900998</v>
      </c>
      <c r="S847">
        <v>0</v>
      </c>
      <c r="T847">
        <v>32.0806830090688</v>
      </c>
      <c r="U847">
        <v>12.847540475313201</v>
      </c>
      <c r="V847">
        <v>13.241765229916099</v>
      </c>
      <c r="W847">
        <v>16.6972059191874</v>
      </c>
    </row>
    <row r="848" spans="1:23" x14ac:dyDescent="0.2">
      <c r="A848" t="s">
        <v>1709</v>
      </c>
      <c r="B848" s="3" t="str">
        <f>HYPERLINK("http://www.ncbi.nlm.nih.gov/gene/68801","Elovl5")</f>
        <v>Elovl5</v>
      </c>
      <c r="C848">
        <v>68801</v>
      </c>
      <c r="D848" t="s">
        <v>1710</v>
      </c>
      <c r="E848" s="3" t="str">
        <f>HYPERLINK("http://genome.ucsc.edu/cgi-bin/hgTracks?db=mm10&amp;lastVirtModeType=default&amp;lastVirtModeExtraState=&amp;virtModeType=default&amp;virtMode=0&amp;nonVirtPosition=&amp;position=chr9:77917364-77984519","chr9:77917364-77984519")</f>
        <v>chr9:77917364-77984519</v>
      </c>
      <c r="F848" t="s">
        <v>30</v>
      </c>
      <c r="G848">
        <v>-0.59025114210805696</v>
      </c>
      <c r="H848">
        <v>0.133179280836452</v>
      </c>
      <c r="I848">
        <v>-4.4320042757469302</v>
      </c>
      <c r="J848" s="1">
        <v>9.3361166023475301E-6</v>
      </c>
      <c r="K848">
        <v>1.4812788794080101E-4</v>
      </c>
      <c r="L848" t="s">
        <v>26</v>
      </c>
      <c r="M848" t="s">
        <v>27</v>
      </c>
      <c r="N848">
        <v>748.79789150970305</v>
      </c>
      <c r="O848">
        <v>931.34355142327297</v>
      </c>
      <c r="P848">
        <v>611.88864657452598</v>
      </c>
      <c r="Q848">
        <v>1074.6096137910499</v>
      </c>
      <c r="R848">
        <v>943.20697644849804</v>
      </c>
      <c r="S848">
        <v>776.21406403027197</v>
      </c>
      <c r="T848">
        <v>632.44775075021403</v>
      </c>
      <c r="U848">
        <v>590.98686186440796</v>
      </c>
      <c r="V848">
        <v>628.983848421017</v>
      </c>
      <c r="W848">
        <v>595.13612526246402</v>
      </c>
    </row>
    <row r="849" spans="1:23" x14ac:dyDescent="0.2">
      <c r="A849" t="s">
        <v>1711</v>
      </c>
      <c r="B849" s="3" t="str">
        <f>HYPERLINK("http://www.ncbi.nlm.nih.gov/gene/69993","Chn2")</f>
        <v>Chn2</v>
      </c>
      <c r="C849">
        <v>69993</v>
      </c>
      <c r="D849" t="s">
        <v>1712</v>
      </c>
      <c r="E849" s="3" t="str">
        <f>HYPERLINK("http://genome.ucsc.edu/cgi-bin/hgTracks?db=mm10&amp;lastVirtModeType=default&amp;lastVirtModeExtraState=&amp;virtModeType=default&amp;virtMode=0&amp;nonVirtPosition=&amp;position=chr6:54264857-54301812","chr6:54264857-54301812")</f>
        <v>chr6:54264857-54301812</v>
      </c>
      <c r="F849" t="s">
        <v>30</v>
      </c>
      <c r="G849">
        <v>-1.1615092520306201</v>
      </c>
      <c r="H849">
        <v>0.26217080206416099</v>
      </c>
      <c r="I849">
        <v>-4.4303532006068602</v>
      </c>
      <c r="J849" s="1">
        <v>9.4078872433642205E-6</v>
      </c>
      <c r="K849">
        <v>1.49089962219988E-4</v>
      </c>
      <c r="L849" t="s">
        <v>26</v>
      </c>
      <c r="M849" t="s">
        <v>27</v>
      </c>
      <c r="N849">
        <v>214.43634120658501</v>
      </c>
      <c r="O849">
        <v>326.07047018599098</v>
      </c>
      <c r="P849">
        <v>130.71074447202901</v>
      </c>
      <c r="Q849">
        <v>197.10456128602701</v>
      </c>
      <c r="R849">
        <v>527.54358835539199</v>
      </c>
      <c r="S849">
        <v>253.56326091655501</v>
      </c>
      <c r="T849">
        <v>142.07159618301901</v>
      </c>
      <c r="U849">
        <v>107.062837294277</v>
      </c>
      <c r="V849">
        <v>135.36026679469799</v>
      </c>
      <c r="W849">
        <v>138.34827761612399</v>
      </c>
    </row>
    <row r="850" spans="1:23" x14ac:dyDescent="0.2">
      <c r="A850" t="s">
        <v>1713</v>
      </c>
      <c r="B850" s="3" t="str">
        <f>HYPERLINK("http://www.ncbi.nlm.nih.gov/gene/234814","Mthfsd")</f>
        <v>Mthfsd</v>
      </c>
      <c r="C850">
        <v>234814</v>
      </c>
      <c r="D850" t="s">
        <v>1714</v>
      </c>
      <c r="E850" s="3" t="str">
        <f>HYPERLINK("http://genome.ucsc.edu/cgi-bin/hgTracks?db=mm10&amp;lastVirtModeType=default&amp;lastVirtModeExtraState=&amp;virtModeType=default&amp;virtMode=0&amp;nonVirtPosition=&amp;position=chr8:121097556-121108379","chr8:121097556-121108379")</f>
        <v>chr8:121097556-121108379</v>
      </c>
      <c r="F850" t="s">
        <v>25</v>
      </c>
      <c r="G850">
        <v>0.74352708619517005</v>
      </c>
      <c r="H850">
        <v>0.16784108497411701</v>
      </c>
      <c r="I850">
        <v>4.4299468530594304</v>
      </c>
      <c r="J850" s="1">
        <v>9.42563143527211E-6</v>
      </c>
      <c r="K850">
        <v>1.4919459875854501E-4</v>
      </c>
      <c r="L850" t="s">
        <v>26</v>
      </c>
      <c r="M850" t="s">
        <v>27</v>
      </c>
      <c r="N850">
        <v>141.842928931334</v>
      </c>
      <c r="O850">
        <v>102.20993274156299</v>
      </c>
      <c r="P850">
        <v>171.567676073662</v>
      </c>
      <c r="Q850">
        <v>92.427562636950398</v>
      </c>
      <c r="R850">
        <v>112.25945517843</v>
      </c>
      <c r="S850">
        <v>101.94278040930899</v>
      </c>
      <c r="T850">
        <v>123.739777320694</v>
      </c>
      <c r="U850">
        <v>203.419390859126</v>
      </c>
      <c r="V850">
        <v>170.671640741141</v>
      </c>
      <c r="W850">
        <v>188.439895373686</v>
      </c>
    </row>
    <row r="851" spans="1:23" x14ac:dyDescent="0.2">
      <c r="A851" t="s">
        <v>1715</v>
      </c>
      <c r="B851" s="3" t="str">
        <f>HYPERLINK("http://www.ncbi.nlm.nih.gov/gene/333789","N4bp2")</f>
        <v>N4bp2</v>
      </c>
      <c r="C851">
        <v>333789</v>
      </c>
      <c r="D851" t="s">
        <v>1716</v>
      </c>
      <c r="E851" s="3" t="str">
        <f>HYPERLINK("http://genome.ucsc.edu/cgi-bin/hgTracks?db=mm10&amp;lastVirtModeType=default&amp;lastVirtModeExtraState=&amp;virtModeType=default&amp;virtMode=0&amp;nonVirtPosition=&amp;position=chr5:65763520-65826784","chr5:65763520-65826784")</f>
        <v>chr5:65763520-65826784</v>
      </c>
      <c r="F851" t="s">
        <v>30</v>
      </c>
      <c r="G851">
        <v>0.53163382292054695</v>
      </c>
      <c r="H851">
        <v>0.120042485150147</v>
      </c>
      <c r="I851">
        <v>4.4287139028785303</v>
      </c>
      <c r="J851" s="1">
        <v>9.4796672144557502E-6</v>
      </c>
      <c r="K851">
        <v>1.49872755216974E-4</v>
      </c>
      <c r="L851" t="s">
        <v>26</v>
      </c>
      <c r="M851" t="s">
        <v>27</v>
      </c>
      <c r="N851">
        <v>311.487582282571</v>
      </c>
      <c r="O851">
        <v>246.90405664612601</v>
      </c>
      <c r="P851">
        <v>359.925226509906</v>
      </c>
      <c r="Q851">
        <v>270.60117735878202</v>
      </c>
      <c r="R851">
        <v>227.93220460214999</v>
      </c>
      <c r="S851">
        <v>242.17878797744501</v>
      </c>
      <c r="T851">
        <v>371.21933196208198</v>
      </c>
      <c r="U851">
        <v>342.60107934168599</v>
      </c>
      <c r="V851">
        <v>359.734622079389</v>
      </c>
      <c r="W851">
        <v>366.145872656466</v>
      </c>
    </row>
    <row r="852" spans="1:23" x14ac:dyDescent="0.2">
      <c r="A852" t="s">
        <v>1717</v>
      </c>
      <c r="B852" s="3" t="str">
        <f>HYPERLINK("http://www.ncbi.nlm.nih.gov/gene/16410","Itgav")</f>
        <v>Itgav</v>
      </c>
      <c r="C852">
        <v>16410</v>
      </c>
      <c r="D852" t="s">
        <v>1718</v>
      </c>
      <c r="E852" s="3" t="str">
        <f>HYPERLINK("http://genome.ucsc.edu/cgi-bin/hgTracks?db=mm10&amp;lastVirtModeType=default&amp;lastVirtModeExtraState=&amp;virtModeType=default&amp;virtMode=0&amp;nonVirtPosition=&amp;position=chr2:83724396-83806917","chr2:83724396-83806917")</f>
        <v>chr2:83724396-83806917</v>
      </c>
      <c r="F852" t="s">
        <v>30</v>
      </c>
      <c r="G852">
        <v>-1.01592849657638</v>
      </c>
      <c r="H852">
        <v>0.22944306282069499</v>
      </c>
      <c r="I852">
        <v>-4.4278021923474196</v>
      </c>
      <c r="J852" s="1">
        <v>9.51981440413195E-6</v>
      </c>
      <c r="K852">
        <v>1.50329993733173E-4</v>
      </c>
      <c r="L852" t="s">
        <v>26</v>
      </c>
      <c r="M852" t="s">
        <v>27</v>
      </c>
      <c r="N852">
        <v>6599.66684714229</v>
      </c>
      <c r="O852">
        <v>9538.4836455666009</v>
      </c>
      <c r="P852">
        <v>4395.5542483240597</v>
      </c>
      <c r="Q852">
        <v>13303.444301714801</v>
      </c>
      <c r="R852">
        <v>6910.7830819640303</v>
      </c>
      <c r="S852">
        <v>8401.2235530209691</v>
      </c>
      <c r="T852">
        <v>3368.4717159522302</v>
      </c>
      <c r="U852">
        <v>4640.1033683339501</v>
      </c>
      <c r="V852">
        <v>5482.8264588091697</v>
      </c>
      <c r="W852">
        <v>4090.8154502009002</v>
      </c>
    </row>
    <row r="853" spans="1:23" x14ac:dyDescent="0.2">
      <c r="A853" t="s">
        <v>1719</v>
      </c>
      <c r="B853" s="3" t="str">
        <f>HYPERLINK("http://www.ncbi.nlm.nih.gov/gene/19230","Twf1")</f>
        <v>Twf1</v>
      </c>
      <c r="C853">
        <v>19230</v>
      </c>
      <c r="D853" t="s">
        <v>1720</v>
      </c>
      <c r="E853" s="3" t="str">
        <f>HYPERLINK("http://genome.ucsc.edu/cgi-bin/hgTracks?db=mm10&amp;lastVirtModeType=default&amp;lastVirtModeExtraState=&amp;virtModeType=default&amp;virtMode=0&amp;nonVirtPosition=&amp;position=chr15:94577947-94589824","chr15:94577947-94589824")</f>
        <v>chr15:94577947-94589824</v>
      </c>
      <c r="F853" t="s">
        <v>25</v>
      </c>
      <c r="G853">
        <v>-0.49240503516433198</v>
      </c>
      <c r="H853">
        <v>0.111330060976061</v>
      </c>
      <c r="I853">
        <v>-4.4229297176996401</v>
      </c>
      <c r="J853" s="1">
        <v>9.7371423795286197E-6</v>
      </c>
      <c r="K853">
        <v>1.5358076985190499E-4</v>
      </c>
      <c r="L853" t="s">
        <v>26</v>
      </c>
      <c r="M853" t="s">
        <v>27</v>
      </c>
      <c r="N853">
        <v>522.91443867578698</v>
      </c>
      <c r="O853">
        <v>633.45014440702005</v>
      </c>
      <c r="P853">
        <v>440.01265937736099</v>
      </c>
      <c r="Q853">
        <v>631.40274717049203</v>
      </c>
      <c r="R853">
        <v>644.35410252754298</v>
      </c>
      <c r="S853">
        <v>624.59358352302502</v>
      </c>
      <c r="T853">
        <v>389.55115082440699</v>
      </c>
      <c r="U853">
        <v>441.09888965241998</v>
      </c>
      <c r="V853">
        <v>492.88792800243402</v>
      </c>
      <c r="W853">
        <v>436.51266903018399</v>
      </c>
    </row>
    <row r="854" spans="1:23" x14ac:dyDescent="0.2">
      <c r="A854" t="s">
        <v>1721</v>
      </c>
      <c r="B854" s="3" t="str">
        <f>HYPERLINK("http://www.ncbi.nlm.nih.gov/gene/238673","Zfp367")</f>
        <v>Zfp367</v>
      </c>
      <c r="C854">
        <v>238673</v>
      </c>
      <c r="D854" t="s">
        <v>1722</v>
      </c>
      <c r="E854" s="3" t="str">
        <f>HYPERLINK("http://genome.ucsc.edu/cgi-bin/hgTracks?db=mm10&amp;lastVirtModeType=default&amp;lastVirtModeExtraState=&amp;virtModeType=default&amp;virtMode=0&amp;nonVirtPosition=&amp;position=chr13:64133056-64153199","chr13:64133056-64153199")</f>
        <v>chr13:64133056-64153199</v>
      </c>
      <c r="F854" t="s">
        <v>25</v>
      </c>
      <c r="G854">
        <v>0.65142317955090301</v>
      </c>
      <c r="H854">
        <v>0.14731094712885101</v>
      </c>
      <c r="I854">
        <v>4.4220962002308699</v>
      </c>
      <c r="J854" s="1">
        <v>9.7747914659066698E-6</v>
      </c>
      <c r="K854">
        <v>1.53951817120285E-4</v>
      </c>
      <c r="L854" t="s">
        <v>26</v>
      </c>
      <c r="M854" t="s">
        <v>27</v>
      </c>
      <c r="N854">
        <v>188.845045777243</v>
      </c>
      <c r="O854">
        <v>138.436419148082</v>
      </c>
      <c r="P854">
        <v>226.651515749114</v>
      </c>
      <c r="Q854">
        <v>131.40304085735099</v>
      </c>
      <c r="R854">
        <v>141.082828805324</v>
      </c>
      <c r="S854">
        <v>142.82338778157001</v>
      </c>
      <c r="T854">
        <v>252.062509356969</v>
      </c>
      <c r="U854">
        <v>244.103269030951</v>
      </c>
      <c r="V854">
        <v>189.79863496213099</v>
      </c>
      <c r="W854">
        <v>220.64164964640401</v>
      </c>
    </row>
    <row r="855" spans="1:23" x14ac:dyDescent="0.2">
      <c r="A855" t="s">
        <v>1723</v>
      </c>
      <c r="B855" s="3" t="str">
        <f>HYPERLINK("http://www.ncbi.nlm.nih.gov/gene/20284","Scrg1")</f>
        <v>Scrg1</v>
      </c>
      <c r="C855">
        <v>20284</v>
      </c>
      <c r="D855" t="s">
        <v>1724</v>
      </c>
      <c r="E855" s="3" t="str">
        <f>HYPERLINK("http://genome.ucsc.edu/cgi-bin/hgTracks?db=mm10&amp;lastVirtModeType=default&amp;lastVirtModeExtraState=&amp;virtModeType=default&amp;virtMode=0&amp;nonVirtPosition=&amp;position=chr8:57455922-57477585","chr8:57455922-57477585")</f>
        <v>chr8:57455922-57477585</v>
      </c>
      <c r="F855" t="s">
        <v>30</v>
      </c>
      <c r="G855">
        <v>-0.87604329123257796</v>
      </c>
      <c r="H855">
        <v>0.198114663953565</v>
      </c>
      <c r="I855">
        <v>-4.4219002962744298</v>
      </c>
      <c r="J855" s="1">
        <v>9.7836603964873793E-6</v>
      </c>
      <c r="K855">
        <v>1.53951817120285E-4</v>
      </c>
      <c r="L855" t="s">
        <v>26</v>
      </c>
      <c r="M855" t="s">
        <v>27</v>
      </c>
      <c r="N855">
        <v>382.07497471530598</v>
      </c>
      <c r="O855">
        <v>528.62209331264501</v>
      </c>
      <c r="P855">
        <v>272.164635767302</v>
      </c>
      <c r="Q855">
        <v>722.15993216942502</v>
      </c>
      <c r="R855">
        <v>452.830369875153</v>
      </c>
      <c r="S855">
        <v>410.875977893357</v>
      </c>
      <c r="T855">
        <v>229.147735779063</v>
      </c>
      <c r="U855">
        <v>261.23332299803502</v>
      </c>
      <c r="V855">
        <v>325.15890175683001</v>
      </c>
      <c r="W855">
        <v>273.11858253527902</v>
      </c>
    </row>
    <row r="856" spans="1:23" x14ac:dyDescent="0.2">
      <c r="A856" t="s">
        <v>1725</v>
      </c>
      <c r="B856" s="3" t="str">
        <f>HYPERLINK("http://www.ncbi.nlm.nih.gov/gene/70544","Tmem242")</f>
        <v>Tmem242</v>
      </c>
      <c r="C856">
        <v>70544</v>
      </c>
      <c r="D856" t="s">
        <v>1726</v>
      </c>
      <c r="E856" s="3" t="str">
        <f>HYPERLINK("http://genome.ucsc.edu/cgi-bin/hgTracks?db=mm10&amp;lastVirtModeType=default&amp;lastVirtModeExtraState=&amp;virtModeType=default&amp;virtMode=0&amp;nonVirtPosition=&amp;position=chr17:5410863-5440260","chr17:5410863-5440260")</f>
        <v>chr17:5410863-5440260</v>
      </c>
      <c r="F856" t="s">
        <v>25</v>
      </c>
      <c r="G856">
        <v>-0.72391583181011498</v>
      </c>
      <c r="H856">
        <v>0.16373953701295099</v>
      </c>
      <c r="I856">
        <v>-4.4211425353722396</v>
      </c>
      <c r="J856" s="1">
        <v>9.8180380401049895E-6</v>
      </c>
      <c r="K856">
        <v>1.5431144060451399E-4</v>
      </c>
      <c r="L856" t="s">
        <v>26</v>
      </c>
      <c r="M856" t="s">
        <v>27</v>
      </c>
      <c r="N856">
        <v>156.688481692567</v>
      </c>
      <c r="O856">
        <v>208.24194922012401</v>
      </c>
      <c r="P856">
        <v>118.0233810469</v>
      </c>
      <c r="Q856">
        <v>197.66135383203201</v>
      </c>
      <c r="R856">
        <v>215.41679236941999</v>
      </c>
      <c r="S856">
        <v>211.64770145892101</v>
      </c>
      <c r="T856">
        <v>87.076139596044001</v>
      </c>
      <c r="U856">
        <v>126.33414800724699</v>
      </c>
      <c r="V856">
        <v>144.18811028130901</v>
      </c>
      <c r="W856">
        <v>114.495126302999</v>
      </c>
    </row>
    <row r="857" spans="1:23" x14ac:dyDescent="0.2">
      <c r="A857" t="s">
        <v>1727</v>
      </c>
      <c r="B857" s="3" t="str">
        <f>HYPERLINK("http://www.ncbi.nlm.nih.gov/gene/67003","Uqcrc2")</f>
        <v>Uqcrc2</v>
      </c>
      <c r="C857">
        <v>67003</v>
      </c>
      <c r="D857" t="s">
        <v>1728</v>
      </c>
      <c r="E857" s="3" t="str">
        <f>HYPERLINK("http://genome.ucsc.edu/cgi-bin/hgTracks?db=mm10&amp;lastVirtModeType=default&amp;lastVirtModeExtraState=&amp;virtModeType=default&amp;virtMode=0&amp;nonVirtPosition=&amp;position=chr7:120635188-120659523","chr7:120635188-120659523")</f>
        <v>chr7:120635188-120659523</v>
      </c>
      <c r="F857" t="s">
        <v>30</v>
      </c>
      <c r="G857">
        <v>-0.631466193045779</v>
      </c>
      <c r="H857">
        <v>0.14288927059000001</v>
      </c>
      <c r="I857">
        <v>-4.4192694835547002</v>
      </c>
      <c r="J857" s="1">
        <v>9.9035093207647404E-6</v>
      </c>
      <c r="K857">
        <v>1.5547232510476001E-4</v>
      </c>
      <c r="L857" t="s">
        <v>26</v>
      </c>
      <c r="M857" t="s">
        <v>27</v>
      </c>
      <c r="N857">
        <v>326.46016800592298</v>
      </c>
      <c r="O857">
        <v>413.913398020768</v>
      </c>
      <c r="P857">
        <v>260.870245494789</v>
      </c>
      <c r="Q857">
        <v>376.94855364587602</v>
      </c>
      <c r="R857">
        <v>483.929272998908</v>
      </c>
      <c r="S857">
        <v>380.86236741751998</v>
      </c>
      <c r="T857">
        <v>238.31364521022601</v>
      </c>
      <c r="U857">
        <v>271.939606727463</v>
      </c>
      <c r="V857">
        <v>283.96229881931299</v>
      </c>
      <c r="W857">
        <v>249.26543122215401</v>
      </c>
    </row>
    <row r="858" spans="1:23" x14ac:dyDescent="0.2">
      <c r="A858" t="s">
        <v>1729</v>
      </c>
      <c r="B858" s="3" t="str">
        <f>HYPERLINK("http://www.ncbi.nlm.nih.gov/gene/107934","Celsr3")</f>
        <v>Celsr3</v>
      </c>
      <c r="C858">
        <v>107934</v>
      </c>
      <c r="D858" t="s">
        <v>1730</v>
      </c>
      <c r="E858" s="3" t="str">
        <f>HYPERLINK("http://genome.ucsc.edu/cgi-bin/hgTracks?db=mm10&amp;lastVirtModeType=default&amp;lastVirtModeExtraState=&amp;virtModeType=default&amp;virtMode=0&amp;nonVirtPosition=&amp;position=chr9:108826319-108852969","chr9:108826319-108852969")</f>
        <v>chr9:108826319-108852969</v>
      </c>
      <c r="F858" t="s">
        <v>30</v>
      </c>
      <c r="G858">
        <v>0.87731322952734103</v>
      </c>
      <c r="H858">
        <v>0.19853832113323999</v>
      </c>
      <c r="I858">
        <v>4.4188609257885902</v>
      </c>
      <c r="J858" s="1">
        <v>9.9222468557066498E-6</v>
      </c>
      <c r="K858">
        <v>1.5558408389317101E-4</v>
      </c>
      <c r="L858" t="s">
        <v>26</v>
      </c>
      <c r="M858" t="s">
        <v>27</v>
      </c>
      <c r="N858">
        <v>145.962081824709</v>
      </c>
      <c r="O858">
        <v>95.414037307120907</v>
      </c>
      <c r="P858">
        <v>183.87311521289999</v>
      </c>
      <c r="Q858">
        <v>91.870770090944603</v>
      </c>
      <c r="R858">
        <v>102.778082274846</v>
      </c>
      <c r="S858">
        <v>91.593259555572004</v>
      </c>
      <c r="T858">
        <v>169.56932447650701</v>
      </c>
      <c r="U858">
        <v>209.84316109678201</v>
      </c>
      <c r="V858">
        <v>129.47503780362501</v>
      </c>
      <c r="W858">
        <v>226.60493747468601</v>
      </c>
    </row>
    <row r="859" spans="1:23" x14ac:dyDescent="0.2">
      <c r="A859" t="s">
        <v>1731</v>
      </c>
      <c r="B859" s="3" t="str">
        <f>HYPERLINK("http://www.ncbi.nlm.nih.gov/gene/98733","Obsl1")</f>
        <v>Obsl1</v>
      </c>
      <c r="C859">
        <v>98733</v>
      </c>
      <c r="D859" t="s">
        <v>1732</v>
      </c>
      <c r="E859" s="3" t="str">
        <f>HYPERLINK("http://genome.ucsc.edu/cgi-bin/hgTracks?db=mm10&amp;lastVirtModeType=default&amp;lastVirtModeExtraState=&amp;virtModeType=default&amp;virtMode=0&amp;nonVirtPosition=&amp;position=chr1:75496337-75506452","chr1:75496337-75506452")</f>
        <v>chr1:75496337-75506452</v>
      </c>
      <c r="F859" t="s">
        <v>25</v>
      </c>
      <c r="G859">
        <v>0.64617360369995802</v>
      </c>
      <c r="H859">
        <v>0.14624687877012599</v>
      </c>
      <c r="I859">
        <v>4.4183753467698104</v>
      </c>
      <c r="J859" s="1">
        <v>9.9445608275698295E-6</v>
      </c>
      <c r="K859">
        <v>1.5575159537074601E-4</v>
      </c>
      <c r="L859" t="s">
        <v>26</v>
      </c>
      <c r="M859" t="s">
        <v>27</v>
      </c>
      <c r="N859">
        <v>259.24092456786298</v>
      </c>
      <c r="O859">
        <v>192.875809569593</v>
      </c>
      <c r="P859">
        <v>309.01476081656602</v>
      </c>
      <c r="Q859">
        <v>204.899656930107</v>
      </c>
      <c r="R859">
        <v>161.56259427706499</v>
      </c>
      <c r="S859">
        <v>212.16517750160801</v>
      </c>
      <c r="T859">
        <v>320.80683009068798</v>
      </c>
      <c r="U859">
        <v>340.45982259580001</v>
      </c>
      <c r="V859">
        <v>286.16925969096599</v>
      </c>
      <c r="W859">
        <v>288.62313088881001</v>
      </c>
    </row>
    <row r="860" spans="1:23" x14ac:dyDescent="0.2">
      <c r="A860" t="s">
        <v>1733</v>
      </c>
      <c r="B860" s="3" t="str">
        <f>HYPERLINK("http://www.ncbi.nlm.nih.gov/gene/14272","Fnta")</f>
        <v>Fnta</v>
      </c>
      <c r="C860">
        <v>14272</v>
      </c>
      <c r="D860" t="s">
        <v>1734</v>
      </c>
      <c r="E860" s="3" t="str">
        <f>HYPERLINK("http://genome.ucsc.edu/cgi-bin/hgTracks?db=mm10&amp;lastVirtModeType=default&amp;lastVirtModeExtraState=&amp;virtModeType=default&amp;virtMode=0&amp;nonVirtPosition=&amp;position=chr8:25998721-26015601","chr8:25998721-26015601")</f>
        <v>chr8:25998721-26015601</v>
      </c>
      <c r="F860" t="s">
        <v>25</v>
      </c>
      <c r="G860">
        <v>-0.72183984666089596</v>
      </c>
      <c r="H860">
        <v>0.16338471564128901</v>
      </c>
      <c r="I860">
        <v>-4.4180377817328598</v>
      </c>
      <c r="J860" s="1">
        <v>9.96010129752124E-6</v>
      </c>
      <c r="K860">
        <v>1.5581275289148E-4</v>
      </c>
      <c r="L860" t="s">
        <v>26</v>
      </c>
      <c r="M860" t="s">
        <v>27</v>
      </c>
      <c r="N860">
        <v>255.42251072984101</v>
      </c>
      <c r="O860">
        <v>337.62913083730399</v>
      </c>
      <c r="P860">
        <v>193.76754564924499</v>
      </c>
      <c r="Q860">
        <v>387.52761201998499</v>
      </c>
      <c r="R860">
        <v>332.98581637385701</v>
      </c>
      <c r="S860">
        <v>292.37396411806901</v>
      </c>
      <c r="T860">
        <v>151.237505614182</v>
      </c>
      <c r="U860">
        <v>177.72430990849901</v>
      </c>
      <c r="V860">
        <v>220.69608716526901</v>
      </c>
      <c r="W860">
        <v>225.412279909029</v>
      </c>
    </row>
    <row r="861" spans="1:23" x14ac:dyDescent="0.2">
      <c r="A861" t="s">
        <v>1735</v>
      </c>
      <c r="B861" s="3" t="str">
        <f>HYPERLINK("http://www.ncbi.nlm.nih.gov/gene/67564","Tmem35a")</f>
        <v>Tmem35a</v>
      </c>
      <c r="C861">
        <v>67564</v>
      </c>
      <c r="D861" t="s">
        <v>1736</v>
      </c>
      <c r="E861" s="3" t="str">
        <f>HYPERLINK("http://genome.ucsc.edu/cgi-bin/hgTracks?db=mm10&amp;lastVirtModeType=default&amp;lastVirtModeExtraState=&amp;virtModeType=default&amp;virtMode=0&amp;nonVirtPosition=&amp;position=chrX:134295224-134305969","chrX:134295224-134305969")</f>
        <v>chrX:134295224-134305969</v>
      </c>
      <c r="F861" t="s">
        <v>30</v>
      </c>
      <c r="G861">
        <v>-0.66431634569806897</v>
      </c>
      <c r="H861">
        <v>0.15041478491509699</v>
      </c>
      <c r="I861">
        <v>-4.4165628137755899</v>
      </c>
      <c r="J861" s="1">
        <v>1.00282768606559E-5</v>
      </c>
      <c r="K861">
        <v>1.5669621405022501E-4</v>
      </c>
      <c r="L861" t="s">
        <v>26</v>
      </c>
      <c r="M861" t="s">
        <v>27</v>
      </c>
      <c r="N861">
        <v>188.25169322162699</v>
      </c>
      <c r="O861">
        <v>240.91439359658901</v>
      </c>
      <c r="P861">
        <v>148.75466794040699</v>
      </c>
      <c r="Q861">
        <v>230.51211404636999</v>
      </c>
      <c r="R861">
        <v>216.93381203399301</v>
      </c>
      <c r="S861">
        <v>275.29725470940298</v>
      </c>
      <c r="T861">
        <v>142.07159618301901</v>
      </c>
      <c r="U861">
        <v>154.170485703759</v>
      </c>
      <c r="V861">
        <v>144.923763905193</v>
      </c>
      <c r="W861">
        <v>153.85282596965499</v>
      </c>
    </row>
    <row r="862" spans="1:23" x14ac:dyDescent="0.2">
      <c r="A862" t="s">
        <v>1737</v>
      </c>
      <c r="B862" s="3" t="str">
        <f>HYPERLINK("http://www.ncbi.nlm.nih.gov/gene/319215","4932413F04Rik")</f>
        <v>4932413F04Rik</v>
      </c>
      <c r="C862">
        <v>319215</v>
      </c>
      <c r="D862" t="s">
        <v>1738</v>
      </c>
      <c r="E862" s="3" t="str">
        <f>HYPERLINK("http://genome.ucsc.edu/cgi-bin/hgTracks?db=mm10&amp;lastVirtModeType=default&amp;lastVirtModeExtraState=&amp;virtModeType=default&amp;virtMode=0&amp;nonVirtPosition=&amp;position=chr9:103557089-103565891","chr9:103557089-103565891")</f>
        <v>chr9:103557089-103565891</v>
      </c>
      <c r="F862" t="s">
        <v>30</v>
      </c>
      <c r="G862">
        <v>1.27877904074214</v>
      </c>
      <c r="H862">
        <v>0.28982989298782003</v>
      </c>
      <c r="I862">
        <v>4.41217097228781</v>
      </c>
      <c r="J862" s="1">
        <v>1.02339246904775E-5</v>
      </c>
      <c r="K862">
        <v>1.5956362870167499E-4</v>
      </c>
      <c r="L862" t="s">
        <v>26</v>
      </c>
      <c r="M862" t="s">
        <v>27</v>
      </c>
      <c r="N862">
        <v>31.497596913709302</v>
      </c>
      <c r="O862">
        <v>15.758798918907599</v>
      </c>
      <c r="P862">
        <v>43.301695409810598</v>
      </c>
      <c r="Q862">
        <v>14.4766061961489</v>
      </c>
      <c r="R862">
        <v>13.653176981160399</v>
      </c>
      <c r="S862">
        <v>19.146613579413401</v>
      </c>
      <c r="T862">
        <v>36.663637724650101</v>
      </c>
      <c r="U862">
        <v>42.825134917710699</v>
      </c>
      <c r="V862">
        <v>60.3235971585069</v>
      </c>
      <c r="W862">
        <v>33.394411838374701</v>
      </c>
    </row>
    <row r="863" spans="1:23" x14ac:dyDescent="0.2">
      <c r="A863" t="s">
        <v>1739</v>
      </c>
      <c r="B863" s="3" t="str">
        <f>HYPERLINK("http://www.ncbi.nlm.nih.gov/gene/229663","Csde1")</f>
        <v>Csde1</v>
      </c>
      <c r="C863">
        <v>229663</v>
      </c>
      <c r="D863" t="s">
        <v>1740</v>
      </c>
      <c r="E863" s="3" t="str">
        <f>HYPERLINK("http://genome.ucsc.edu/cgi-bin/hgTracks?db=mm10&amp;lastVirtModeType=default&amp;lastVirtModeExtraState=&amp;virtModeType=default&amp;virtMode=0&amp;nonVirtPosition=&amp;position=chr3:103020545-103058186","chr3:103020545-103058186")</f>
        <v>chr3:103020545-103058186</v>
      </c>
      <c r="F863" t="s">
        <v>30</v>
      </c>
      <c r="G863">
        <v>-0.48339333303646997</v>
      </c>
      <c r="H863">
        <v>0.109571473437811</v>
      </c>
      <c r="I863">
        <v>-4.4116713764082798</v>
      </c>
      <c r="J863" s="1">
        <v>1.0257571765384899E-5</v>
      </c>
      <c r="K863">
        <v>1.5956362870167499E-4</v>
      </c>
      <c r="L863" t="s">
        <v>26</v>
      </c>
      <c r="M863" t="s">
        <v>27</v>
      </c>
      <c r="N863">
        <v>2032.19334877148</v>
      </c>
      <c r="O863">
        <v>2436.0270415418199</v>
      </c>
      <c r="P863">
        <v>1729.31807919373</v>
      </c>
      <c r="Q863">
        <v>2203.2281045446498</v>
      </c>
      <c r="R863">
        <v>2668.0583350684301</v>
      </c>
      <c r="S863">
        <v>2436.7946850123699</v>
      </c>
      <c r="T863">
        <v>1718.6080183429699</v>
      </c>
      <c r="U863">
        <v>1650.9089510777501</v>
      </c>
      <c r="V863">
        <v>1839.8697133344599</v>
      </c>
      <c r="W863">
        <v>1707.8856340197401</v>
      </c>
    </row>
    <row r="864" spans="1:23" x14ac:dyDescent="0.2">
      <c r="A864" t="s">
        <v>1741</v>
      </c>
      <c r="B864" s="3" t="str">
        <f>HYPERLINK("http://www.ncbi.nlm.nih.gov/gene/209683","Ttc28")</f>
        <v>Ttc28</v>
      </c>
      <c r="C864">
        <v>209683</v>
      </c>
      <c r="D864" t="s">
        <v>1742</v>
      </c>
      <c r="E864" s="3" t="str">
        <f>HYPERLINK("http://genome.ucsc.edu/cgi-bin/hgTracks?db=mm10&amp;lastVirtModeType=default&amp;lastVirtModeExtraState=&amp;virtModeType=default&amp;virtMode=0&amp;nonVirtPosition=&amp;position=chr5:110879802-111289779","chr5:110879802-111289779")</f>
        <v>chr5:110879802-111289779</v>
      </c>
      <c r="F864" t="s">
        <v>30</v>
      </c>
      <c r="G864">
        <v>0.732174593349879</v>
      </c>
      <c r="H864">
        <v>0.165964671745921</v>
      </c>
      <c r="I864">
        <v>4.4116292078761203</v>
      </c>
      <c r="J864" s="1">
        <v>1.0259570089800201E-5</v>
      </c>
      <c r="K864">
        <v>1.5956362870167499E-4</v>
      </c>
      <c r="L864" t="s">
        <v>26</v>
      </c>
      <c r="M864" t="s">
        <v>27</v>
      </c>
      <c r="N864">
        <v>656.72775470900501</v>
      </c>
      <c r="O864">
        <v>470.47709920447301</v>
      </c>
      <c r="P864">
        <v>796.41574633740504</v>
      </c>
      <c r="Q864">
        <v>456.01309517868901</v>
      </c>
      <c r="R864">
        <v>370.15279815590401</v>
      </c>
      <c r="S864">
        <v>585.26540427882503</v>
      </c>
      <c r="T864">
        <v>669.11138847486404</v>
      </c>
      <c r="U864">
        <v>912.17537374723804</v>
      </c>
      <c r="V864">
        <v>779.05718769340001</v>
      </c>
      <c r="W864">
        <v>825.31903543411795</v>
      </c>
    </row>
    <row r="865" spans="1:23" x14ac:dyDescent="0.2">
      <c r="A865" t="s">
        <v>1743</v>
      </c>
      <c r="B865" s="3" t="str">
        <f>HYPERLINK("http://www.ncbi.nlm.nih.gov/gene/24109","Ubl3")</f>
        <v>Ubl3</v>
      </c>
      <c r="C865">
        <v>24109</v>
      </c>
      <c r="D865" t="s">
        <v>1744</v>
      </c>
      <c r="E865" s="3" t="str">
        <f>HYPERLINK("http://genome.ucsc.edu/cgi-bin/hgTracks?db=mm10&amp;lastVirtModeType=default&amp;lastVirtModeExtraState=&amp;virtModeType=default&amp;virtMode=0&amp;nonVirtPosition=&amp;position=chr5:148504630-148552788","chr5:148504630-148552788")</f>
        <v>chr5:148504630-148552788</v>
      </c>
      <c r="F865" t="s">
        <v>25</v>
      </c>
      <c r="G865">
        <v>-0.60382805683476204</v>
      </c>
      <c r="H865">
        <v>0.13687711382689199</v>
      </c>
      <c r="I865">
        <v>-4.4114610540255796</v>
      </c>
      <c r="J865" s="1">
        <v>1.0267542429908001E-5</v>
      </c>
      <c r="K865">
        <v>1.5956362870167499E-4</v>
      </c>
      <c r="L865" t="s">
        <v>26</v>
      </c>
      <c r="M865" t="s">
        <v>27</v>
      </c>
      <c r="N865">
        <v>632.48651736970396</v>
      </c>
      <c r="O865">
        <v>793.89226276679801</v>
      </c>
      <c r="P865">
        <v>511.43220832188302</v>
      </c>
      <c r="Q865">
        <v>914.25336054139996</v>
      </c>
      <c r="R865">
        <v>748.64920446696203</v>
      </c>
      <c r="S865">
        <v>718.77422329203102</v>
      </c>
      <c r="T865">
        <v>435.38069798022002</v>
      </c>
      <c r="U865">
        <v>588.84560511852203</v>
      </c>
      <c r="V865">
        <v>528.93495557276196</v>
      </c>
      <c r="W865">
        <v>492.567574616027</v>
      </c>
    </row>
    <row r="866" spans="1:23" x14ac:dyDescent="0.2">
      <c r="A866" t="s">
        <v>1745</v>
      </c>
      <c r="B866" s="3" t="str">
        <f>HYPERLINK("http://www.ncbi.nlm.nih.gov/gene/67628","Anp32b")</f>
        <v>Anp32b</v>
      </c>
      <c r="C866">
        <v>67628</v>
      </c>
      <c r="D866" t="s">
        <v>1746</v>
      </c>
      <c r="E866" s="3" t="str">
        <f>HYPERLINK("http://genome.ucsc.edu/cgi-bin/hgTracks?db=mm10&amp;lastVirtModeType=default&amp;lastVirtModeExtraState=&amp;virtModeType=default&amp;virtMode=0&amp;nonVirtPosition=&amp;position=chr4:46450925-46472656","chr4:46450925-46472656")</f>
        <v>chr4:46450925-46472656</v>
      </c>
      <c r="F866" t="s">
        <v>30</v>
      </c>
      <c r="G866">
        <v>1.0522351277612201</v>
      </c>
      <c r="H866">
        <v>0.238538879282432</v>
      </c>
      <c r="I866">
        <v>4.41116823775869</v>
      </c>
      <c r="J866" s="1">
        <v>1.02814392615762E-5</v>
      </c>
      <c r="K866">
        <v>1.5956362870167499E-4</v>
      </c>
      <c r="L866" t="s">
        <v>26</v>
      </c>
      <c r="M866" t="s">
        <v>27</v>
      </c>
      <c r="N866">
        <v>143.99458280798001</v>
      </c>
      <c r="O866">
        <v>82.474711939746598</v>
      </c>
      <c r="P866">
        <v>190.134485959155</v>
      </c>
      <c r="Q866">
        <v>50.111329140515302</v>
      </c>
      <c r="R866">
        <v>87.607885629112602</v>
      </c>
      <c r="S866">
        <v>109.704921049612</v>
      </c>
      <c r="T866">
        <v>252.062509356969</v>
      </c>
      <c r="U866">
        <v>190.571850383813</v>
      </c>
      <c r="V866">
        <v>164.05075812618301</v>
      </c>
      <c r="W866">
        <v>153.85282596965499</v>
      </c>
    </row>
    <row r="867" spans="1:23" x14ac:dyDescent="0.2">
      <c r="A867" t="s">
        <v>1747</v>
      </c>
      <c r="B867" s="3" t="str">
        <f>HYPERLINK("http://www.ncbi.nlm.nih.gov/gene/17151","Ccndbp1")</f>
        <v>Ccndbp1</v>
      </c>
      <c r="C867">
        <v>17151</v>
      </c>
      <c r="D867" t="s">
        <v>1748</v>
      </c>
      <c r="E867" s="3" t="str">
        <f>HYPERLINK("http://genome.ucsc.edu/cgi-bin/hgTracks?db=mm10&amp;lastVirtModeType=default&amp;lastVirtModeExtraState=&amp;virtModeType=default&amp;virtMode=0&amp;nonVirtPosition=&amp;position=chr2:121008407-121016912","chr2:121008407-121016912")</f>
        <v>chr2:121008407-121016912</v>
      </c>
      <c r="F867" t="s">
        <v>30</v>
      </c>
      <c r="G867">
        <v>-0.67258706748258401</v>
      </c>
      <c r="H867">
        <v>0.15247502315367201</v>
      </c>
      <c r="I867">
        <v>-4.4111294661337102</v>
      </c>
      <c r="J867" s="1">
        <v>1.02832806787802E-5</v>
      </c>
      <c r="K867">
        <v>1.5956362870167499E-4</v>
      </c>
      <c r="L867" t="s">
        <v>26</v>
      </c>
      <c r="M867" t="s">
        <v>27</v>
      </c>
      <c r="N867">
        <v>136.878988759614</v>
      </c>
      <c r="O867">
        <v>173.733945506265</v>
      </c>
      <c r="P867">
        <v>109.23777119962701</v>
      </c>
      <c r="Q867">
        <v>168.15134889372899</v>
      </c>
      <c r="R867">
        <v>182.800869581092</v>
      </c>
      <c r="S867">
        <v>170.24961804397299</v>
      </c>
      <c r="T867">
        <v>123.739777320694</v>
      </c>
      <c r="U867">
        <v>102.780323802506</v>
      </c>
      <c r="V867">
        <v>106.669775463213</v>
      </c>
      <c r="W867">
        <v>103.761208212093</v>
      </c>
    </row>
    <row r="868" spans="1:23" x14ac:dyDescent="0.2">
      <c r="A868" t="s">
        <v>1749</v>
      </c>
      <c r="B868" s="3" t="str">
        <f>HYPERLINK("http://www.ncbi.nlm.nih.gov/gene/68421","Lmbrd1")</f>
        <v>Lmbrd1</v>
      </c>
      <c r="C868">
        <v>68421</v>
      </c>
      <c r="D868" t="s">
        <v>1750</v>
      </c>
      <c r="E868" s="3" t="str">
        <f>HYPERLINK("http://genome.ucsc.edu/cgi-bin/hgTracks?db=mm10&amp;lastVirtModeType=default&amp;lastVirtModeExtraState=&amp;virtModeType=default&amp;virtMode=0&amp;nonVirtPosition=&amp;position=chr1:24678543-24766301","chr1:24678543-24766301")</f>
        <v>chr1:24678543-24766301</v>
      </c>
      <c r="F868" t="s">
        <v>30</v>
      </c>
      <c r="G868">
        <v>-0.63680007866299704</v>
      </c>
      <c r="H868">
        <v>0.14444201359549999</v>
      </c>
      <c r="I868">
        <v>-4.4086901228496602</v>
      </c>
      <c r="J868" s="1">
        <v>1.0399770097032901E-5</v>
      </c>
      <c r="K868">
        <v>1.6104162593495101E-4</v>
      </c>
      <c r="L868" t="s">
        <v>26</v>
      </c>
      <c r="M868" t="s">
        <v>27</v>
      </c>
      <c r="N868">
        <v>570.87240965834405</v>
      </c>
      <c r="O868">
        <v>719.66787398870804</v>
      </c>
      <c r="P868">
        <v>459.27581141057101</v>
      </c>
      <c r="Q868">
        <v>864.142031400885</v>
      </c>
      <c r="R868">
        <v>692.51947687774702</v>
      </c>
      <c r="S868">
        <v>602.34211368749095</v>
      </c>
      <c r="T868">
        <v>504.12501871393903</v>
      </c>
      <c r="U868">
        <v>456.08768687361902</v>
      </c>
      <c r="V868">
        <v>439.18521345888502</v>
      </c>
      <c r="W868">
        <v>437.70532659584001</v>
      </c>
    </row>
    <row r="869" spans="1:23" x14ac:dyDescent="0.2">
      <c r="A869" t="s">
        <v>1751</v>
      </c>
      <c r="B869" s="3" t="str">
        <f>HYPERLINK("http://www.ncbi.nlm.nih.gov/gene/18693","Pick1")</f>
        <v>Pick1</v>
      </c>
      <c r="C869">
        <v>18693</v>
      </c>
      <c r="D869" t="s">
        <v>1752</v>
      </c>
      <c r="E869" s="3" t="str">
        <f>HYPERLINK("http://genome.ucsc.edu/cgi-bin/hgTracks?db=mm10&amp;lastVirtModeType=default&amp;lastVirtModeExtraState=&amp;virtModeType=default&amp;virtMode=0&amp;nonVirtPosition=&amp;position=chr15:79229381-79249466","chr15:79229381-79249466")</f>
        <v>chr15:79229381-79249466</v>
      </c>
      <c r="F869" t="s">
        <v>30</v>
      </c>
      <c r="G869">
        <v>0.72913934772156797</v>
      </c>
      <c r="H869">
        <v>0.16538904310286801</v>
      </c>
      <c r="I869">
        <v>4.4086315153783202</v>
      </c>
      <c r="J869" s="1">
        <v>1.04025843054091E-5</v>
      </c>
      <c r="K869">
        <v>1.6104162593495101E-4</v>
      </c>
      <c r="L869" t="s">
        <v>26</v>
      </c>
      <c r="M869" t="s">
        <v>27</v>
      </c>
      <c r="N869">
        <v>140.673964835693</v>
      </c>
      <c r="O869">
        <v>102.914463631285</v>
      </c>
      <c r="P869">
        <v>168.99359073899799</v>
      </c>
      <c r="Q869">
        <v>100.779450827036</v>
      </c>
      <c r="R869">
        <v>102.398827358703</v>
      </c>
      <c r="S869">
        <v>105.565112708117</v>
      </c>
      <c r="T869">
        <v>114.573867889532</v>
      </c>
      <c r="U869">
        <v>194.854363875584</v>
      </c>
      <c r="V869">
        <v>172.14294798891001</v>
      </c>
      <c r="W869">
        <v>194.40318320196701</v>
      </c>
    </row>
    <row r="870" spans="1:23" x14ac:dyDescent="0.2">
      <c r="A870" t="s">
        <v>1753</v>
      </c>
      <c r="B870" s="3" t="str">
        <f>HYPERLINK("http://www.ncbi.nlm.nih.gov/gene/68114","Mum1")</f>
        <v>Mum1</v>
      </c>
      <c r="C870">
        <v>68114</v>
      </c>
      <c r="D870" t="s">
        <v>1754</v>
      </c>
      <c r="E870" s="3" t="str">
        <f>HYPERLINK("http://genome.ucsc.edu/cgi-bin/hgTracks?db=mm10&amp;lastVirtModeType=default&amp;lastVirtModeExtraState=&amp;virtModeType=default&amp;virtMode=0&amp;nonVirtPosition=&amp;position=chr10:80226597-80245144","chr10:80226597-80245144")</f>
        <v>chr10:80226597-80245144</v>
      </c>
      <c r="F870" t="s">
        <v>30</v>
      </c>
      <c r="G870">
        <v>0.628215048429835</v>
      </c>
      <c r="H870">
        <v>0.14254467664669701</v>
      </c>
      <c r="I870">
        <v>4.4071449261264997</v>
      </c>
      <c r="J870" s="1">
        <v>1.04742108702327E-5</v>
      </c>
      <c r="K870">
        <v>1.6196323067354E-4</v>
      </c>
      <c r="L870" t="s">
        <v>26</v>
      </c>
      <c r="M870" t="s">
        <v>27</v>
      </c>
      <c r="N870">
        <v>191.386021050035</v>
      </c>
      <c r="O870">
        <v>146.13310823294199</v>
      </c>
      <c r="P870">
        <v>225.325705662856</v>
      </c>
      <c r="Q870">
        <v>140.868514139448</v>
      </c>
      <c r="R870">
        <v>144.87537796675801</v>
      </c>
      <c r="S870">
        <v>152.65543259262</v>
      </c>
      <c r="T870">
        <v>178.735233907669</v>
      </c>
      <c r="U870">
        <v>261.23332299803502</v>
      </c>
      <c r="V870">
        <v>219.224779917501</v>
      </c>
      <c r="W870">
        <v>242.109485828217</v>
      </c>
    </row>
    <row r="871" spans="1:23" x14ac:dyDescent="0.2">
      <c r="A871" t="s">
        <v>1755</v>
      </c>
      <c r="B871" s="3" t="str">
        <f>HYPERLINK("http://www.ncbi.nlm.nih.gov/gene/74155","Errfi1")</f>
        <v>Errfi1</v>
      </c>
      <c r="C871">
        <v>74155</v>
      </c>
      <c r="D871" t="s">
        <v>1756</v>
      </c>
      <c r="E871" s="3" t="str">
        <f>HYPERLINK("http://genome.ucsc.edu/cgi-bin/hgTracks?db=mm10&amp;lastVirtModeType=default&amp;lastVirtModeExtraState=&amp;virtModeType=default&amp;virtMode=0&amp;nonVirtPosition=&amp;position=chr4:150855090-150868880","chr4:150855090-150868880")</f>
        <v>chr4:150855090-150868880</v>
      </c>
      <c r="F871" t="s">
        <v>30</v>
      </c>
      <c r="G871">
        <v>-0.75694106409346196</v>
      </c>
      <c r="H871">
        <v>0.171790643262275</v>
      </c>
      <c r="I871">
        <v>-4.4061833038125897</v>
      </c>
      <c r="J871" s="1">
        <v>1.0520794169562601E-5</v>
      </c>
      <c r="K871">
        <v>1.6249591087037299E-4</v>
      </c>
      <c r="L871" t="s">
        <v>26</v>
      </c>
      <c r="M871" t="s">
        <v>27</v>
      </c>
      <c r="N871">
        <v>124.594690563019</v>
      </c>
      <c r="O871">
        <v>164.92795417043999</v>
      </c>
      <c r="P871">
        <v>94.344742857452502</v>
      </c>
      <c r="Q871">
        <v>190.42305073395801</v>
      </c>
      <c r="R871">
        <v>146.013142715188</v>
      </c>
      <c r="S871">
        <v>158.34766906217499</v>
      </c>
      <c r="T871">
        <v>91.659094311625296</v>
      </c>
      <c r="U871">
        <v>94.215296818963594</v>
      </c>
      <c r="V871">
        <v>94.899317481065694</v>
      </c>
      <c r="W871">
        <v>96.605262818155396</v>
      </c>
    </row>
    <row r="872" spans="1:23" x14ac:dyDescent="0.2">
      <c r="A872" t="s">
        <v>1757</v>
      </c>
      <c r="B872" s="3" t="str">
        <f>HYPERLINK("http://www.ncbi.nlm.nih.gov/gene/240869","Zbtb37")</f>
        <v>Zbtb37</v>
      </c>
      <c r="C872">
        <v>240869</v>
      </c>
      <c r="D872" t="s">
        <v>1758</v>
      </c>
      <c r="E872" s="3" t="str">
        <f>HYPERLINK("http://genome.ucsc.edu/cgi-bin/hgTracks?db=mm10&amp;lastVirtModeType=default&amp;lastVirtModeExtraState=&amp;virtModeType=default&amp;virtMode=0&amp;nonVirtPosition=&amp;position=chr1:161017755-161034259","chr1:161017755-161034259")</f>
        <v>chr1:161017755-161034259</v>
      </c>
      <c r="F872" t="s">
        <v>25</v>
      </c>
      <c r="G872">
        <v>0.64736911060191005</v>
      </c>
      <c r="H872">
        <v>0.14703098701609801</v>
      </c>
      <c r="I872">
        <v>4.4029433777182803</v>
      </c>
      <c r="J872" s="1">
        <v>1.0679204494653299E-5</v>
      </c>
      <c r="K872">
        <v>1.6475256611509401E-4</v>
      </c>
      <c r="L872" t="s">
        <v>26</v>
      </c>
      <c r="M872" t="s">
        <v>27</v>
      </c>
      <c r="N872">
        <v>307.315801026114</v>
      </c>
      <c r="O872">
        <v>229.59641018228299</v>
      </c>
      <c r="P872">
        <v>365.60534415898798</v>
      </c>
      <c r="Q872">
        <v>239.420794782462</v>
      </c>
      <c r="R872">
        <v>185.455653994096</v>
      </c>
      <c r="S872">
        <v>263.91278177029199</v>
      </c>
      <c r="T872">
        <v>384.96819610882602</v>
      </c>
      <c r="U872">
        <v>340.45982259580001</v>
      </c>
      <c r="V872">
        <v>364.88419744657801</v>
      </c>
      <c r="W872">
        <v>372.10916048474701</v>
      </c>
    </row>
    <row r="873" spans="1:23" x14ac:dyDescent="0.2">
      <c r="A873" t="s">
        <v>1759</v>
      </c>
      <c r="B873" s="3" t="str">
        <f>HYPERLINK("http://www.ncbi.nlm.nih.gov/gene/67088","Cand2")</f>
        <v>Cand2</v>
      </c>
      <c r="C873">
        <v>67088</v>
      </c>
      <c r="D873" t="s">
        <v>1760</v>
      </c>
      <c r="E873" s="3" t="str">
        <f>HYPERLINK("http://genome.ucsc.edu/cgi-bin/hgTracks?db=mm10&amp;lastVirtModeType=default&amp;lastVirtModeExtraState=&amp;virtModeType=default&amp;virtMode=0&amp;nonVirtPosition=&amp;position=chr6:115774556-115805555","chr6:115774556-115805555")</f>
        <v>chr6:115774556-115805555</v>
      </c>
      <c r="F873" t="s">
        <v>30</v>
      </c>
      <c r="G873">
        <v>0.73008730161896396</v>
      </c>
      <c r="H873">
        <v>0.165871825887731</v>
      </c>
      <c r="I873">
        <v>4.4015148305723599</v>
      </c>
      <c r="J873" s="1">
        <v>1.0749771886885501E-5</v>
      </c>
      <c r="K873">
        <v>1.6565039739618401E-4</v>
      </c>
      <c r="L873" t="s">
        <v>26</v>
      </c>
      <c r="M873" t="s">
        <v>27</v>
      </c>
      <c r="N873">
        <v>114.759288394045</v>
      </c>
      <c r="O873">
        <v>82.092584201555894</v>
      </c>
      <c r="P873">
        <v>139.25931653841101</v>
      </c>
      <c r="Q873">
        <v>84.075674446864497</v>
      </c>
      <c r="R873">
        <v>73.196198815665497</v>
      </c>
      <c r="S873">
        <v>89.005879342137803</v>
      </c>
      <c r="T873">
        <v>132.90568675185699</v>
      </c>
      <c r="U873">
        <v>149.88797221198701</v>
      </c>
      <c r="V873">
        <v>128.73938417974</v>
      </c>
      <c r="W873">
        <v>145.504223010061</v>
      </c>
    </row>
    <row r="874" spans="1:23" x14ac:dyDescent="0.2">
      <c r="A874" t="s">
        <v>1761</v>
      </c>
      <c r="B874" s="3" t="str">
        <f>HYPERLINK("http://www.ncbi.nlm.nih.gov/gene/101706","Numa1")</f>
        <v>Numa1</v>
      </c>
      <c r="C874">
        <v>101706</v>
      </c>
      <c r="D874" t="s">
        <v>1762</v>
      </c>
      <c r="E874" s="3" t="str">
        <f>HYPERLINK("http://genome.ucsc.edu/cgi-bin/hgTracks?db=mm10&amp;lastVirtModeType=default&amp;lastVirtModeExtraState=&amp;virtModeType=default&amp;virtMode=0&amp;nonVirtPosition=&amp;position=chr7:101969842-102014959","chr7:101969842-102014959")</f>
        <v>chr7:101969842-102014959</v>
      </c>
      <c r="F874" t="s">
        <v>30</v>
      </c>
      <c r="G874">
        <v>0.54368324261457002</v>
      </c>
      <c r="H874">
        <v>0.12354129813845401</v>
      </c>
      <c r="I874">
        <v>4.4008218369638499</v>
      </c>
      <c r="J874" s="1">
        <v>1.07841645657858E-5</v>
      </c>
      <c r="K874">
        <v>1.6598936517291701E-4</v>
      </c>
      <c r="L874" t="s">
        <v>26</v>
      </c>
      <c r="M874" t="s">
        <v>27</v>
      </c>
      <c r="N874">
        <v>1052.7095850139899</v>
      </c>
      <c r="O874">
        <v>828.89934815472202</v>
      </c>
      <c r="P874">
        <v>1220.5672626584501</v>
      </c>
      <c r="Q874">
        <v>883.62977051108601</v>
      </c>
      <c r="R874">
        <v>695.93277112303701</v>
      </c>
      <c r="S874">
        <v>907.13550283004395</v>
      </c>
      <c r="T874">
        <v>1264.8955015004301</v>
      </c>
      <c r="U874">
        <v>1181.97372372882</v>
      </c>
      <c r="V874">
        <v>1180.72406633419</v>
      </c>
      <c r="W874">
        <v>1254.6757590703601</v>
      </c>
    </row>
    <row r="875" spans="1:23" x14ac:dyDescent="0.2">
      <c r="A875" t="s">
        <v>1763</v>
      </c>
      <c r="B875" s="3" t="str">
        <f>HYPERLINK("http://www.ncbi.nlm.nih.gov/gene/269608","Plekhg5")</f>
        <v>Plekhg5</v>
      </c>
      <c r="C875">
        <v>269608</v>
      </c>
      <c r="D875" t="s">
        <v>1764</v>
      </c>
      <c r="E875" s="3" t="str">
        <f>HYPERLINK("http://genome.ucsc.edu/cgi-bin/hgTracks?db=mm10&amp;lastVirtModeType=default&amp;lastVirtModeExtraState=&amp;virtModeType=default&amp;virtMode=0&amp;nonVirtPosition=&amp;position=chr4:152096718-152115404","chr4:152096718-152115404")</f>
        <v>chr4:152096718-152115404</v>
      </c>
      <c r="F875" t="s">
        <v>30</v>
      </c>
      <c r="G875">
        <v>0.70631284755194201</v>
      </c>
      <c r="H875">
        <v>0.16052390262861199</v>
      </c>
      <c r="I875">
        <v>4.4000478183368399</v>
      </c>
      <c r="J875" s="1">
        <v>1.0822702651349799E-5</v>
      </c>
      <c r="K875">
        <v>1.6639128726087801E-4</v>
      </c>
      <c r="L875" t="s">
        <v>26</v>
      </c>
      <c r="M875" t="s">
        <v>27</v>
      </c>
      <c r="N875">
        <v>133.896205291385</v>
      </c>
      <c r="O875">
        <v>97.112735994812098</v>
      </c>
      <c r="P875">
        <v>161.48380726381399</v>
      </c>
      <c r="Q875">
        <v>97.438695551001899</v>
      </c>
      <c r="R875">
        <v>84.194591383822498</v>
      </c>
      <c r="S875">
        <v>109.704921049612</v>
      </c>
      <c r="T875">
        <v>164.98636976092499</v>
      </c>
      <c r="U875">
        <v>158.45299919553</v>
      </c>
      <c r="V875">
        <v>166.25771899783601</v>
      </c>
      <c r="W875">
        <v>156.238141100967</v>
      </c>
    </row>
    <row r="876" spans="1:23" x14ac:dyDescent="0.2">
      <c r="A876" t="s">
        <v>1765</v>
      </c>
      <c r="B876" s="3" t="str">
        <f>HYPERLINK("http://www.ncbi.nlm.nih.gov/gene/231014","9330182L06Rik")</f>
        <v>9330182L06Rik</v>
      </c>
      <c r="C876">
        <v>231014</v>
      </c>
      <c r="D876" t="s">
        <v>1766</v>
      </c>
      <c r="E876" s="3" t="str">
        <f>HYPERLINK("http://genome.ucsc.edu/cgi-bin/hgTracks?db=mm10&amp;lastVirtModeType=default&amp;lastVirtModeExtraState=&amp;virtModeType=default&amp;virtMode=0&amp;nonVirtPosition=&amp;position=chr5:9266192-9480717","chr5:9266192-9480717")</f>
        <v>chr5:9266192-9480717</v>
      </c>
      <c r="F876" t="s">
        <v>30</v>
      </c>
      <c r="G876">
        <v>-0.84672073547581805</v>
      </c>
      <c r="H876">
        <v>0.19256780898248199</v>
      </c>
      <c r="I876">
        <v>-4.3970004122176203</v>
      </c>
      <c r="J876" s="1">
        <v>1.0975713662074201E-5</v>
      </c>
      <c r="K876">
        <v>1.6829140865188999E-4</v>
      </c>
      <c r="L876" t="s">
        <v>26</v>
      </c>
      <c r="M876" t="s">
        <v>27</v>
      </c>
      <c r="N876">
        <v>280.78426995870899</v>
      </c>
      <c r="O876">
        <v>385.33097450076701</v>
      </c>
      <c r="P876">
        <v>202.37424155216601</v>
      </c>
      <c r="Q876">
        <v>277.83948045685702</v>
      </c>
      <c r="R876">
        <v>465.72503702402702</v>
      </c>
      <c r="S876">
        <v>412.42840602141803</v>
      </c>
      <c r="T876">
        <v>164.98636976092499</v>
      </c>
      <c r="U876">
        <v>201.27813411323999</v>
      </c>
      <c r="V876">
        <v>246.44396400121701</v>
      </c>
      <c r="W876">
        <v>196.78849833327999</v>
      </c>
    </row>
    <row r="877" spans="1:23" x14ac:dyDescent="0.2">
      <c r="A877" t="s">
        <v>1767</v>
      </c>
      <c r="B877" s="3" t="str">
        <f>HYPERLINK("http://www.ncbi.nlm.nih.gov/gene/215445","Rab11fip3")</f>
        <v>Rab11fip3</v>
      </c>
      <c r="C877">
        <v>215445</v>
      </c>
      <c r="D877" t="s">
        <v>1768</v>
      </c>
      <c r="E877" s="3" t="str">
        <f>HYPERLINK("http://genome.ucsc.edu/cgi-bin/hgTracks?db=mm10&amp;lastVirtModeType=default&amp;lastVirtModeExtraState=&amp;virtModeType=default&amp;virtMode=0&amp;nonVirtPosition=&amp;position=chr17:25989035-26069177","chr17:25989035-26069177")</f>
        <v>chr17:25989035-26069177</v>
      </c>
      <c r="F877" t="s">
        <v>25</v>
      </c>
      <c r="G877">
        <v>0.66083519810922398</v>
      </c>
      <c r="H877">
        <v>0.150295524630952</v>
      </c>
      <c r="I877">
        <v>4.3969053618322604</v>
      </c>
      <c r="J877" s="1">
        <v>1.09805192226998E-5</v>
      </c>
      <c r="K877">
        <v>1.6829140865188999E-4</v>
      </c>
      <c r="L877" t="s">
        <v>26</v>
      </c>
      <c r="M877" t="s">
        <v>27</v>
      </c>
      <c r="N877">
        <v>322.182781694185</v>
      </c>
      <c r="O877">
        <v>238.571370746106</v>
      </c>
      <c r="P877">
        <v>384.89133990524402</v>
      </c>
      <c r="Q877">
        <v>242.20475751249</v>
      </c>
      <c r="R877">
        <v>198.72957605911299</v>
      </c>
      <c r="S877">
        <v>274.77977866671603</v>
      </c>
      <c r="T877">
        <v>380.385241393245</v>
      </c>
      <c r="U877">
        <v>426.11009243122197</v>
      </c>
      <c r="V877">
        <v>334.72239886732501</v>
      </c>
      <c r="W877">
        <v>398.347626929184</v>
      </c>
    </row>
    <row r="878" spans="1:23" x14ac:dyDescent="0.2">
      <c r="A878" t="s">
        <v>1769</v>
      </c>
      <c r="B878" s="3" t="str">
        <f>HYPERLINK("http://www.ncbi.nlm.nih.gov/gene/52857","Gramd1a")</f>
        <v>Gramd1a</v>
      </c>
      <c r="C878">
        <v>52857</v>
      </c>
      <c r="D878" t="s">
        <v>1770</v>
      </c>
      <c r="E878" s="3" t="str">
        <f>HYPERLINK("http://genome.ucsc.edu/cgi-bin/hgTracks?db=mm10&amp;lastVirtModeType=default&amp;lastVirtModeExtraState=&amp;virtModeType=default&amp;virtMode=0&amp;nonVirtPosition=&amp;position=chr7:31130126-31151050","chr7:31130126-31151050")</f>
        <v>chr7:31130126-31151050</v>
      </c>
      <c r="F878" t="s">
        <v>25</v>
      </c>
      <c r="G878">
        <v>0.53403756502263799</v>
      </c>
      <c r="H878">
        <v>0.121459497244126</v>
      </c>
      <c r="I878">
        <v>4.3968366174713802</v>
      </c>
      <c r="J878" s="1">
        <v>1.0983996054196999E-5</v>
      </c>
      <c r="K878">
        <v>1.6829140865188999E-4</v>
      </c>
      <c r="L878" t="s">
        <v>26</v>
      </c>
      <c r="M878" t="s">
        <v>27</v>
      </c>
      <c r="N878">
        <v>499.93467983521401</v>
      </c>
      <c r="O878">
        <v>397.39683117119699</v>
      </c>
      <c r="P878">
        <v>576.83806633322604</v>
      </c>
      <c r="Q878">
        <v>418.70799459630501</v>
      </c>
      <c r="R878">
        <v>355.36185642631398</v>
      </c>
      <c r="S878">
        <v>418.12064249097301</v>
      </c>
      <c r="T878">
        <v>554.53752058533303</v>
      </c>
      <c r="U878">
        <v>537.45544321726902</v>
      </c>
      <c r="V878">
        <v>570.13155851027796</v>
      </c>
      <c r="W878">
        <v>645.22774302002597</v>
      </c>
    </row>
    <row r="879" spans="1:23" x14ac:dyDescent="0.2">
      <c r="A879" t="s">
        <v>1771</v>
      </c>
      <c r="B879" s="3" t="str">
        <f>HYPERLINK("http://www.ncbi.nlm.nih.gov/gene/53618","Fut8")</f>
        <v>Fut8</v>
      </c>
      <c r="C879">
        <v>53618</v>
      </c>
      <c r="D879" t="s">
        <v>1772</v>
      </c>
      <c r="E879" s="3" t="str">
        <f>HYPERLINK("http://genome.ucsc.edu/cgi-bin/hgTracks?db=mm10&amp;lastVirtModeType=default&amp;lastVirtModeExtraState=&amp;virtModeType=default&amp;virtMode=0&amp;nonVirtPosition=&amp;position=chr12:77238738-77475996","chr12:77238738-77475996")</f>
        <v>chr12:77238738-77475996</v>
      </c>
      <c r="F879" t="s">
        <v>30</v>
      </c>
      <c r="G879">
        <v>-0.63090292702065598</v>
      </c>
      <c r="H879">
        <v>0.143570810301</v>
      </c>
      <c r="I879">
        <v>-4.3943676691519098</v>
      </c>
      <c r="J879" s="1">
        <v>1.1109565258580501E-5</v>
      </c>
      <c r="K879">
        <v>1.7002078671731499E-4</v>
      </c>
      <c r="L879" t="s">
        <v>26</v>
      </c>
      <c r="M879" t="s">
        <v>27</v>
      </c>
      <c r="N879">
        <v>366.696762650729</v>
      </c>
      <c r="O879">
        <v>461.71279582450501</v>
      </c>
      <c r="P879">
        <v>295.43473777039702</v>
      </c>
      <c r="Q879">
        <v>541.20235471756496</v>
      </c>
      <c r="R879">
        <v>457.38142886887402</v>
      </c>
      <c r="S879">
        <v>386.55460388707502</v>
      </c>
      <c r="T879">
        <v>307.05796594394502</v>
      </c>
      <c r="U879">
        <v>301.91720116986102</v>
      </c>
      <c r="V879">
        <v>281.75533794766</v>
      </c>
      <c r="W879">
        <v>291.00844602012302</v>
      </c>
    </row>
    <row r="880" spans="1:23" x14ac:dyDescent="0.2">
      <c r="A880" t="s">
        <v>1773</v>
      </c>
      <c r="B880" s="3" t="str">
        <f>HYPERLINK("http://www.ncbi.nlm.nih.gov/gene/74094","Tjap1")</f>
        <v>Tjap1</v>
      </c>
      <c r="C880">
        <v>74094</v>
      </c>
      <c r="D880" t="s">
        <v>1774</v>
      </c>
      <c r="E880" s="3" t="str">
        <f>HYPERLINK("http://genome.ucsc.edu/cgi-bin/hgTracks?db=mm10&amp;lastVirtModeType=default&amp;lastVirtModeExtraState=&amp;virtModeType=default&amp;virtMode=0&amp;nonVirtPosition=&amp;position=chr17:46257850-46283026","chr17:46257850-46283026")</f>
        <v>chr17:46257850-46283026</v>
      </c>
      <c r="F880" t="s">
        <v>25</v>
      </c>
      <c r="G880">
        <v>0.99805921687440302</v>
      </c>
      <c r="H880">
        <v>0.22713799911963001</v>
      </c>
      <c r="I880">
        <v>4.39406537322159</v>
      </c>
      <c r="J880" s="1">
        <v>1.11250336861851E-5</v>
      </c>
      <c r="K880">
        <v>1.7006315763893199E-4</v>
      </c>
      <c r="L880" t="s">
        <v>26</v>
      </c>
      <c r="M880" t="s">
        <v>27</v>
      </c>
      <c r="N880">
        <v>196.53597145490599</v>
      </c>
      <c r="O880">
        <v>119.32813419871199</v>
      </c>
      <c r="P880">
        <v>254.44184939705099</v>
      </c>
      <c r="Q880">
        <v>112.472094293156</v>
      </c>
      <c r="R880">
        <v>78.885022557815702</v>
      </c>
      <c r="S880">
        <v>166.62728574516501</v>
      </c>
      <c r="T880">
        <v>265.81137350371301</v>
      </c>
      <c r="U880">
        <v>211.98441784266799</v>
      </c>
      <c r="V880">
        <v>225.110008908574</v>
      </c>
      <c r="W880">
        <v>314.861597333247</v>
      </c>
    </row>
    <row r="881" spans="1:23" x14ac:dyDescent="0.2">
      <c r="A881" t="s">
        <v>1775</v>
      </c>
      <c r="B881" s="3" t="str">
        <f>HYPERLINK("http://www.ncbi.nlm.nih.gov/gene/71722","Cic")</f>
        <v>Cic</v>
      </c>
      <c r="C881">
        <v>71722</v>
      </c>
      <c r="D881" t="s">
        <v>1776</v>
      </c>
      <c r="E881" s="3" t="str">
        <f>HYPERLINK("http://genome.ucsc.edu/cgi-bin/hgTracks?db=mm10&amp;lastVirtModeType=default&amp;lastVirtModeExtraState=&amp;virtModeType=default&amp;virtMode=0&amp;nonVirtPosition=&amp;position=chr7:25282178-25294159","chr7:25282178-25294159")</f>
        <v>chr7:25282178-25294159</v>
      </c>
      <c r="F881" t="s">
        <v>30</v>
      </c>
      <c r="G881">
        <v>0.84552992958135198</v>
      </c>
      <c r="H881">
        <v>0.192487597180099</v>
      </c>
      <c r="I881">
        <v>4.3926462897775203</v>
      </c>
      <c r="J881" s="1">
        <v>1.1197923158155699E-5</v>
      </c>
      <c r="K881">
        <v>1.7098219955628599E-4</v>
      </c>
      <c r="L881" t="s">
        <v>26</v>
      </c>
      <c r="M881" t="s">
        <v>27</v>
      </c>
      <c r="N881">
        <v>959.52968209467099</v>
      </c>
      <c r="O881">
        <v>643.04148124145195</v>
      </c>
      <c r="P881">
        <v>1196.8958327345899</v>
      </c>
      <c r="Q881">
        <v>542.31593980957598</v>
      </c>
      <c r="R881">
        <v>505.54680321907801</v>
      </c>
      <c r="S881">
        <v>881.26170069570196</v>
      </c>
      <c r="T881">
        <v>962.42049027206497</v>
      </c>
      <c r="U881">
        <v>1366.1218038749701</v>
      </c>
      <c r="V881">
        <v>1207.9432504179099</v>
      </c>
      <c r="W881">
        <v>1251.0977863733999</v>
      </c>
    </row>
    <row r="882" spans="1:23" x14ac:dyDescent="0.2">
      <c r="A882" t="s">
        <v>1777</v>
      </c>
      <c r="B882" s="3" t="str">
        <f>HYPERLINK("http://www.ncbi.nlm.nih.gov/gene/67453","Slc25a46")</f>
        <v>Slc25a46</v>
      </c>
      <c r="C882">
        <v>67453</v>
      </c>
      <c r="D882" t="s">
        <v>1778</v>
      </c>
      <c r="E882" s="3" t="str">
        <f>HYPERLINK("http://genome.ucsc.edu/cgi-bin/hgTracks?db=mm10&amp;lastVirtModeType=default&amp;lastVirtModeExtraState=&amp;virtModeType=default&amp;virtMode=0&amp;nonVirtPosition=&amp;position=chr18:31580167-31609902","chr18:31580167-31609902")</f>
        <v>chr18:31580167-31609902</v>
      </c>
      <c r="F882" t="s">
        <v>25</v>
      </c>
      <c r="G882">
        <v>-0.65445813496008498</v>
      </c>
      <c r="H882">
        <v>0.14911521583934001</v>
      </c>
      <c r="I882">
        <v>-4.38894267949967</v>
      </c>
      <c r="J882" s="1">
        <v>1.13903083642471E-5</v>
      </c>
      <c r="K882">
        <v>1.7372166207930899E-4</v>
      </c>
      <c r="L882" t="s">
        <v>26</v>
      </c>
      <c r="M882" t="s">
        <v>27</v>
      </c>
      <c r="N882">
        <v>267.99500852168001</v>
      </c>
      <c r="O882">
        <v>345.97828267209502</v>
      </c>
      <c r="P882">
        <v>209.507552908869</v>
      </c>
      <c r="Q882">
        <v>373.60779836984102</v>
      </c>
      <c r="R882">
        <v>359.53366050389099</v>
      </c>
      <c r="S882">
        <v>304.793389142553</v>
      </c>
      <c r="T882">
        <v>151.237505614182</v>
      </c>
      <c r="U882">
        <v>229.11447180975199</v>
      </c>
      <c r="V882">
        <v>225.110008908574</v>
      </c>
      <c r="W882">
        <v>232.56822530296699</v>
      </c>
    </row>
    <row r="883" spans="1:23" x14ac:dyDescent="0.2">
      <c r="A883" t="s">
        <v>1779</v>
      </c>
      <c r="B883" s="3" t="str">
        <f>HYPERLINK("http://www.ncbi.nlm.nih.gov/gene/218476","Gcnt4")</f>
        <v>Gcnt4</v>
      </c>
      <c r="C883">
        <v>218476</v>
      </c>
      <c r="D883" t="s">
        <v>1780</v>
      </c>
      <c r="E883" s="3" t="str">
        <f>HYPERLINK("http://genome.ucsc.edu/cgi-bin/hgTracks?db=mm10&amp;lastVirtModeType=default&amp;lastVirtModeExtraState=&amp;virtModeType=default&amp;virtMode=0&amp;nonVirtPosition=&amp;position=chr13:96924688-96950914","chr13:96924688-96950914")</f>
        <v>chr13:96924688-96950914</v>
      </c>
      <c r="F883" t="s">
        <v>30</v>
      </c>
      <c r="G883">
        <v>-1.40319976434501</v>
      </c>
      <c r="H883">
        <v>0.31974197646972102</v>
      </c>
      <c r="I883">
        <v>-4.3885378449141097</v>
      </c>
      <c r="J883" s="1">
        <v>1.1411527895847E-5</v>
      </c>
      <c r="K883">
        <v>1.7384729243832399E-4</v>
      </c>
      <c r="L883" t="s">
        <v>26</v>
      </c>
      <c r="M883" t="s">
        <v>27</v>
      </c>
      <c r="N883">
        <v>42.920695774723399</v>
      </c>
      <c r="O883">
        <v>71.066536503450294</v>
      </c>
      <c r="P883">
        <v>21.811315228178199</v>
      </c>
      <c r="Q883">
        <v>51.2249142325267</v>
      </c>
      <c r="R883">
        <v>49.682394014778097</v>
      </c>
      <c r="S883">
        <v>112.292301263046</v>
      </c>
      <c r="T883">
        <v>22.914773577906299</v>
      </c>
      <c r="U883">
        <v>29.9775944423975</v>
      </c>
      <c r="V883">
        <v>17.655686973221499</v>
      </c>
      <c r="W883">
        <v>16.6972059191874</v>
      </c>
    </row>
    <row r="884" spans="1:23" x14ac:dyDescent="0.2">
      <c r="A884" t="s">
        <v>1781</v>
      </c>
      <c r="B884" s="3" t="str">
        <f>HYPERLINK("http://www.ncbi.nlm.nih.gov/gene/15382","Hnrnpa1")</f>
        <v>Hnrnpa1</v>
      </c>
      <c r="C884">
        <v>15382</v>
      </c>
      <c r="D884" t="s">
        <v>1782</v>
      </c>
      <c r="E884" s="3" t="str">
        <f>HYPERLINK("http://genome.ucsc.edu/cgi-bin/hgTracks?db=mm10&amp;lastVirtModeType=default&amp;lastVirtModeExtraState=&amp;virtModeType=default&amp;virtMode=0&amp;nonVirtPosition=&amp;position=chr15:103240396-103244962","chr15:103240396-103244962")</f>
        <v>chr15:103240396-103244962</v>
      </c>
      <c r="F884" t="s">
        <v>30</v>
      </c>
      <c r="G884">
        <v>0.89794205890631196</v>
      </c>
      <c r="H884">
        <v>0.20465389760646499</v>
      </c>
      <c r="I884">
        <v>4.3876127911963403</v>
      </c>
      <c r="J884" s="1">
        <v>1.14601565956656E-5</v>
      </c>
      <c r="K884">
        <v>1.7438972383245201E-4</v>
      </c>
      <c r="L884" t="s">
        <v>26</v>
      </c>
      <c r="M884" t="s">
        <v>27</v>
      </c>
      <c r="N884">
        <v>189.68444665019899</v>
      </c>
      <c r="O884">
        <v>123.323483176911</v>
      </c>
      <c r="P884">
        <v>239.45516925516401</v>
      </c>
      <c r="Q884">
        <v>85.189259538875902</v>
      </c>
      <c r="R884">
        <v>120.22380841744</v>
      </c>
      <c r="S884">
        <v>164.557381574418</v>
      </c>
      <c r="T884">
        <v>210.81591691673799</v>
      </c>
      <c r="U884">
        <v>269.79834998157702</v>
      </c>
      <c r="V884">
        <v>258.950075607249</v>
      </c>
      <c r="W884">
        <v>218.25633451509199</v>
      </c>
    </row>
    <row r="885" spans="1:23" x14ac:dyDescent="0.2">
      <c r="A885" t="s">
        <v>1781</v>
      </c>
      <c r="B885" s="3" t="str">
        <f>HYPERLINK("http://www.ncbi.nlm.nih.gov/gene/545091","Gm5803")</f>
        <v>Gm5803</v>
      </c>
      <c r="C885">
        <v>545091</v>
      </c>
      <c r="D885" t="s">
        <v>1783</v>
      </c>
      <c r="E885" s="3" t="str">
        <f>HYPERLINK("http://genome.ucsc.edu/cgi-bin/hgTracks?db=mm10&amp;lastVirtModeType=default&amp;lastVirtModeExtraState=&amp;virtModeType=default&amp;virtMode=0&amp;nonVirtPosition=&amp;position=chr15:22713819-22714984","chr15:22713819-22714984")</f>
        <v>chr15:22713819-22714984</v>
      </c>
      <c r="F885" t="s">
        <v>25</v>
      </c>
      <c r="G885">
        <v>0.89794205890631196</v>
      </c>
      <c r="H885">
        <v>0.20465389760646499</v>
      </c>
      <c r="I885">
        <v>4.3876127911963403</v>
      </c>
      <c r="J885" s="1">
        <v>1.14601565956656E-5</v>
      </c>
      <c r="K885">
        <v>1.7438972383245201E-4</v>
      </c>
      <c r="L885" t="s">
        <v>26</v>
      </c>
      <c r="M885" t="s">
        <v>27</v>
      </c>
      <c r="N885">
        <v>189.68444665019899</v>
      </c>
      <c r="O885">
        <v>123.323483176911</v>
      </c>
      <c r="P885">
        <v>239.45516925516401</v>
      </c>
      <c r="Q885">
        <v>85.189259538875902</v>
      </c>
      <c r="R885">
        <v>120.22380841744</v>
      </c>
      <c r="S885">
        <v>164.557381574418</v>
      </c>
      <c r="T885">
        <v>210.81591691673799</v>
      </c>
      <c r="U885">
        <v>269.79834998157702</v>
      </c>
      <c r="V885">
        <v>258.950075607249</v>
      </c>
      <c r="W885">
        <v>218.25633451509199</v>
      </c>
    </row>
    <row r="886" spans="1:23" x14ac:dyDescent="0.2">
      <c r="A886" t="s">
        <v>1784</v>
      </c>
      <c r="B886" s="3" t="str">
        <f>HYPERLINK("http://www.ncbi.nlm.nih.gov/gene/12861","Cox6a1")</f>
        <v>Cox6a1</v>
      </c>
      <c r="C886">
        <v>12861</v>
      </c>
      <c r="D886" t="s">
        <v>1785</v>
      </c>
      <c r="E886" s="3" t="str">
        <f>HYPERLINK("http://genome.ucsc.edu/cgi-bin/hgTracks?db=mm10&amp;lastVirtModeType=default&amp;lastVirtModeExtraState=&amp;virtModeType=default&amp;virtMode=0&amp;nonVirtPosition=&amp;position=chr5:115345653-115348955","chr5:115345653-115348955")</f>
        <v>chr5:115345653-115348955</v>
      </c>
      <c r="F886" t="s">
        <v>25</v>
      </c>
      <c r="G886">
        <v>-0.652994379294774</v>
      </c>
      <c r="H886">
        <v>0.14891444711907401</v>
      </c>
      <c r="I886">
        <v>-4.3850304112711704</v>
      </c>
      <c r="J886" s="1">
        <v>1.15969575667989E-5</v>
      </c>
      <c r="K886">
        <v>1.76271122334851E-4</v>
      </c>
      <c r="L886" t="s">
        <v>26</v>
      </c>
      <c r="M886" t="s">
        <v>27</v>
      </c>
      <c r="N886">
        <v>377.63496567443502</v>
      </c>
      <c r="O886">
        <v>481.20430974967002</v>
      </c>
      <c r="P886">
        <v>299.95795761801003</v>
      </c>
      <c r="Q886">
        <v>442.09328152854602</v>
      </c>
      <c r="R886">
        <v>523.371784277816</v>
      </c>
      <c r="S886">
        <v>478.14786344264701</v>
      </c>
      <c r="T886">
        <v>252.062509356969</v>
      </c>
      <c r="U886">
        <v>387.56747100528202</v>
      </c>
      <c r="V886">
        <v>284.69795244319698</v>
      </c>
      <c r="W886">
        <v>275.503897666591</v>
      </c>
    </row>
    <row r="887" spans="1:23" x14ac:dyDescent="0.2">
      <c r="A887" t="s">
        <v>1786</v>
      </c>
      <c r="B887" s="3" t="str">
        <f>HYPERLINK("http://www.ncbi.nlm.nih.gov/gene/108089","Rnf144a")</f>
        <v>Rnf144a</v>
      </c>
      <c r="C887">
        <v>108089</v>
      </c>
      <c r="D887" t="s">
        <v>1787</v>
      </c>
      <c r="E887" s="3" t="str">
        <f>HYPERLINK("http://genome.ucsc.edu/cgi-bin/hgTracks?db=mm10&amp;lastVirtModeType=default&amp;lastVirtModeExtraState=&amp;virtModeType=default&amp;virtMode=0&amp;nonVirtPosition=&amp;position=chr12:26306793-26415262","chr12:26306793-26415262")</f>
        <v>chr12:26306793-26415262</v>
      </c>
      <c r="F887" t="s">
        <v>25</v>
      </c>
      <c r="G887">
        <v>0.83536194735612201</v>
      </c>
      <c r="H887">
        <v>0.19052911898872499</v>
      </c>
      <c r="I887">
        <v>4.3844319009607897</v>
      </c>
      <c r="J887" s="1">
        <v>1.16288852771112E-5</v>
      </c>
      <c r="K887">
        <v>1.76556012183443E-4</v>
      </c>
      <c r="L887" t="s">
        <v>26</v>
      </c>
      <c r="M887" t="s">
        <v>27</v>
      </c>
      <c r="N887">
        <v>487.340188195049</v>
      </c>
      <c r="O887">
        <v>329.35174199321699</v>
      </c>
      <c r="P887">
        <v>605.83152284642301</v>
      </c>
      <c r="Q887">
        <v>448.77479208061402</v>
      </c>
      <c r="R887">
        <v>285.19969693979499</v>
      </c>
      <c r="S887">
        <v>254.08073695924199</v>
      </c>
      <c r="T887">
        <v>549.95456586975195</v>
      </c>
      <c r="U887">
        <v>535.31418647138401</v>
      </c>
      <c r="V887">
        <v>704.75617168109204</v>
      </c>
      <c r="W887">
        <v>633.30116736346304</v>
      </c>
    </row>
    <row r="888" spans="1:23" x14ac:dyDescent="0.2">
      <c r="A888" t="s">
        <v>1788</v>
      </c>
      <c r="B888" s="3" t="str">
        <f>HYPERLINK("http://www.ncbi.nlm.nih.gov/gene/66631","Mfsd14b")</f>
        <v>Mfsd14b</v>
      </c>
      <c r="C888">
        <v>66631</v>
      </c>
      <c r="D888" t="s">
        <v>1789</v>
      </c>
      <c r="E888" s="3" t="str">
        <f>HYPERLINK("http://genome.ucsc.edu/cgi-bin/hgTracks?db=mm10&amp;lastVirtModeType=default&amp;lastVirtModeExtraState=&amp;virtModeType=default&amp;virtMode=0&amp;nonVirtPosition=&amp;position=chr13:65065029-65112982","chr13:65065029-65112982")</f>
        <v>chr13:65065029-65112982</v>
      </c>
      <c r="F888" t="s">
        <v>25</v>
      </c>
      <c r="G888">
        <v>-0.63946228382299597</v>
      </c>
      <c r="H888">
        <v>0.14598573665870701</v>
      </c>
      <c r="I888">
        <v>-4.38030658651238</v>
      </c>
      <c r="J888" s="1">
        <v>1.1851244515953701E-5</v>
      </c>
      <c r="K888">
        <v>1.7972821666266899E-4</v>
      </c>
      <c r="L888" t="s">
        <v>26</v>
      </c>
      <c r="M888" t="s">
        <v>27</v>
      </c>
      <c r="N888">
        <v>281.01740391468701</v>
      </c>
      <c r="O888">
        <v>352.03773293397802</v>
      </c>
      <c r="P888">
        <v>227.75215715021801</v>
      </c>
      <c r="Q888">
        <v>343.54100088553201</v>
      </c>
      <c r="R888">
        <v>332.22730654156999</v>
      </c>
      <c r="S888">
        <v>380.34489137483303</v>
      </c>
      <c r="T888">
        <v>247.47955464138801</v>
      </c>
      <c r="U888">
        <v>267.657093235692</v>
      </c>
      <c r="V888">
        <v>197.89082482485799</v>
      </c>
      <c r="W888">
        <v>197.98115589893601</v>
      </c>
    </row>
    <row r="889" spans="1:23" x14ac:dyDescent="0.2">
      <c r="A889" t="s">
        <v>1790</v>
      </c>
      <c r="B889" s="3" t="str">
        <f>HYPERLINK("http://www.ncbi.nlm.nih.gov/gene/74025","Nphp3")</f>
        <v>Nphp3</v>
      </c>
      <c r="C889">
        <v>74025</v>
      </c>
      <c r="D889" t="s">
        <v>1791</v>
      </c>
      <c r="E889" s="3" t="str">
        <f>HYPERLINK("http://genome.ucsc.edu/cgi-bin/hgTracks?db=mm10&amp;lastVirtModeType=default&amp;lastVirtModeExtraState=&amp;virtModeType=default&amp;virtMode=0&amp;nonVirtPosition=&amp;position=chr9:104002543-104043811","chr9:104002543-104043811")</f>
        <v>chr9:104002543-104043811</v>
      </c>
      <c r="F889" t="s">
        <v>30</v>
      </c>
      <c r="G889">
        <v>0.89928874134761305</v>
      </c>
      <c r="H889">
        <v>0.205390670058446</v>
      </c>
      <c r="I889">
        <v>4.3784303400524998</v>
      </c>
      <c r="J889" s="1">
        <v>1.19537135883511E-5</v>
      </c>
      <c r="K889">
        <v>1.8107712518281699E-4</v>
      </c>
      <c r="L889" t="s">
        <v>26</v>
      </c>
      <c r="M889" t="s">
        <v>27</v>
      </c>
      <c r="N889">
        <v>81.023181068635594</v>
      </c>
      <c r="O889">
        <v>52.416398684286797</v>
      </c>
      <c r="P889">
        <v>102.47826785689701</v>
      </c>
      <c r="Q889">
        <v>52.338499324538098</v>
      </c>
      <c r="R889">
        <v>55.750472673071698</v>
      </c>
      <c r="S889">
        <v>49.160224055250502</v>
      </c>
      <c r="T889">
        <v>119.15682260511301</v>
      </c>
      <c r="U889">
        <v>70.661472614222703</v>
      </c>
      <c r="V889">
        <v>119.91154069312999</v>
      </c>
      <c r="W889">
        <v>100.183235515124</v>
      </c>
    </row>
    <row r="890" spans="1:23" x14ac:dyDescent="0.2">
      <c r="A890" t="s">
        <v>1792</v>
      </c>
      <c r="B890" s="3" t="str">
        <f>HYPERLINK("http://www.ncbi.nlm.nih.gov/gene/69066","1810010H24Rik")</f>
        <v>1810010H24Rik</v>
      </c>
      <c r="C890">
        <v>69066</v>
      </c>
      <c r="D890" t="s">
        <v>1793</v>
      </c>
      <c r="E890" s="3" t="str">
        <f>HYPERLINK("http://genome.ucsc.edu/cgi-bin/hgTracks?db=mm10&amp;lastVirtModeType=default&amp;lastVirtModeExtraState=&amp;virtModeType=default&amp;virtMode=0&amp;nonVirtPosition=&amp;position=chr11:107028222-107030442","chr11:107028222-107030442")</f>
        <v>chr11:107028222-107030442</v>
      </c>
      <c r="F890" t="s">
        <v>30</v>
      </c>
      <c r="G890">
        <v>-1.12514061581681</v>
      </c>
      <c r="H890">
        <v>0.25699575960416099</v>
      </c>
      <c r="I890">
        <v>-4.3780512859426803</v>
      </c>
      <c r="J890" s="1">
        <v>1.19745176178045E-5</v>
      </c>
      <c r="K890">
        <v>1.8112062375714999E-4</v>
      </c>
      <c r="L890" t="s">
        <v>26</v>
      </c>
      <c r="M890" t="s">
        <v>27</v>
      </c>
      <c r="N890">
        <v>61.823278388710598</v>
      </c>
      <c r="O890">
        <v>96.752282159591104</v>
      </c>
      <c r="P890">
        <v>35.62652556055</v>
      </c>
      <c r="Q890">
        <v>108.57454647111599</v>
      </c>
      <c r="R890">
        <v>92.158944622832706</v>
      </c>
      <c r="S890">
        <v>89.523355384824598</v>
      </c>
      <c r="T890">
        <v>13.7488641467438</v>
      </c>
      <c r="U890">
        <v>32.118851188283003</v>
      </c>
      <c r="V890">
        <v>53.702714543548801</v>
      </c>
      <c r="W890">
        <v>42.935672363624597</v>
      </c>
    </row>
    <row r="891" spans="1:23" x14ac:dyDescent="0.2">
      <c r="A891" t="s">
        <v>1794</v>
      </c>
      <c r="B891" s="3" t="str">
        <f>HYPERLINK("http://www.ncbi.nlm.nih.gov/gene/11539","Adora1")</f>
        <v>Adora1</v>
      </c>
      <c r="C891">
        <v>11539</v>
      </c>
      <c r="D891" t="s">
        <v>1795</v>
      </c>
      <c r="E891" s="3" t="str">
        <f>HYPERLINK("http://genome.ucsc.edu/cgi-bin/hgTracks?db=mm10&amp;lastVirtModeType=default&amp;lastVirtModeExtraState=&amp;virtModeType=default&amp;virtMode=0&amp;nonVirtPosition=&amp;position=chr1:134199214-134235457","chr1:134199214-134235457")</f>
        <v>chr1:134199214-134235457</v>
      </c>
      <c r="F891" t="s">
        <v>25</v>
      </c>
      <c r="G891">
        <v>-0.860783930964935</v>
      </c>
      <c r="H891">
        <v>0.19662094000128999</v>
      </c>
      <c r="I891">
        <v>-4.3778853409982004</v>
      </c>
      <c r="J891" s="1">
        <v>1.1983636222002401E-5</v>
      </c>
      <c r="K891">
        <v>1.8112062375714999E-4</v>
      </c>
      <c r="L891" t="s">
        <v>26</v>
      </c>
      <c r="M891" t="s">
        <v>27</v>
      </c>
      <c r="N891">
        <v>425.25112996764898</v>
      </c>
      <c r="O891">
        <v>577.66438325955505</v>
      </c>
      <c r="P891">
        <v>310.94118999872001</v>
      </c>
      <c r="Q891">
        <v>738.30691600359103</v>
      </c>
      <c r="R891">
        <v>527.92284327153595</v>
      </c>
      <c r="S891">
        <v>466.76339050353698</v>
      </c>
      <c r="T891">
        <v>375.80228667766397</v>
      </c>
      <c r="U891">
        <v>368.29616029231198</v>
      </c>
      <c r="V891">
        <v>251.59353936840699</v>
      </c>
      <c r="W891">
        <v>248.07277365649799</v>
      </c>
    </row>
    <row r="892" spans="1:23" x14ac:dyDescent="0.2">
      <c r="A892" t="s">
        <v>1796</v>
      </c>
      <c r="B892" s="3" t="str">
        <f>HYPERLINK("http://www.ncbi.nlm.nih.gov/gene/105732","Fam83h")</f>
        <v>Fam83h</v>
      </c>
      <c r="C892">
        <v>105732</v>
      </c>
      <c r="D892" t="s">
        <v>1797</v>
      </c>
      <c r="E892" s="3" t="str">
        <f>HYPERLINK("http://genome.ucsc.edu/cgi-bin/hgTracks?db=mm10&amp;lastVirtModeType=default&amp;lastVirtModeExtraState=&amp;virtModeType=default&amp;virtMode=0&amp;nonVirtPosition=&amp;position=chr15:76001091-76009498","chr15:76001091-76009498")</f>
        <v>chr15:76001091-76009498</v>
      </c>
      <c r="F892" t="s">
        <v>25</v>
      </c>
      <c r="G892">
        <v>1.59767788870557</v>
      </c>
      <c r="H892">
        <v>0.36497921131681299</v>
      </c>
      <c r="I892">
        <v>4.3774490139898399</v>
      </c>
      <c r="J892" s="1">
        <v>1.2007643837522799E-5</v>
      </c>
      <c r="K892">
        <v>1.8127887105779999E-4</v>
      </c>
      <c r="L892" t="s">
        <v>26</v>
      </c>
      <c r="M892" t="s">
        <v>27</v>
      </c>
      <c r="N892">
        <v>14.5829699673272</v>
      </c>
      <c r="O892">
        <v>4.6446637431160003</v>
      </c>
      <c r="P892">
        <v>22.0366996354857</v>
      </c>
      <c r="Q892">
        <v>7.79509564408015</v>
      </c>
      <c r="R892">
        <v>3.03403932914676</v>
      </c>
      <c r="S892">
        <v>3.10485625612109</v>
      </c>
      <c r="T892">
        <v>13.7488641467438</v>
      </c>
      <c r="U892">
        <v>34.260107934168602</v>
      </c>
      <c r="V892">
        <v>19.8626478448742</v>
      </c>
      <c r="W892">
        <v>20.275178616156101</v>
      </c>
    </row>
    <row r="893" spans="1:23" x14ac:dyDescent="0.2">
      <c r="A893" t="s">
        <v>1798</v>
      </c>
      <c r="B893" s="3" t="str">
        <f>HYPERLINK("http://www.ncbi.nlm.nih.gov/gene/68140","Tigd2")</f>
        <v>Tigd2</v>
      </c>
      <c r="C893">
        <v>68140</v>
      </c>
      <c r="D893" t="s">
        <v>1799</v>
      </c>
      <c r="E893" s="3" t="str">
        <f>HYPERLINK("http://genome.ucsc.edu/cgi-bin/hgTracks?db=mm10&amp;lastVirtModeType=default&amp;lastVirtModeExtraState=&amp;virtModeType=default&amp;virtMode=0&amp;nonVirtPosition=&amp;position=chr6:59208869-59212033","chr6:59208869-59212033")</f>
        <v>chr6:59208869-59212033</v>
      </c>
      <c r="F893" t="s">
        <v>30</v>
      </c>
      <c r="G893">
        <v>-0.85419934248037499</v>
      </c>
      <c r="H893">
        <v>0.195156070614284</v>
      </c>
      <c r="I893">
        <v>-4.3770062585890903</v>
      </c>
      <c r="J893" s="1">
        <v>1.2032052074576601E-5</v>
      </c>
      <c r="K893">
        <v>1.81442803300288E-4</v>
      </c>
      <c r="L893" t="s">
        <v>26</v>
      </c>
      <c r="M893" t="s">
        <v>27</v>
      </c>
      <c r="N893">
        <v>136.709321508561</v>
      </c>
      <c r="O893">
        <v>189.70498550902201</v>
      </c>
      <c r="P893">
        <v>96.962573508215499</v>
      </c>
      <c r="Q893">
        <v>149.77719487554</v>
      </c>
      <c r="R893">
        <v>213.89977270484599</v>
      </c>
      <c r="S893">
        <v>205.43798894667901</v>
      </c>
      <c r="T893">
        <v>73.327275449300203</v>
      </c>
      <c r="U893">
        <v>96.356553564849094</v>
      </c>
      <c r="V893">
        <v>119.17588706924499</v>
      </c>
      <c r="W893">
        <v>98.990577949467905</v>
      </c>
    </row>
    <row r="894" spans="1:23" x14ac:dyDescent="0.2">
      <c r="A894" t="s">
        <v>1800</v>
      </c>
      <c r="B894" s="3" t="str">
        <f>HYPERLINK("http://www.ncbi.nlm.nih.gov/gene/235184","Msantd2")</f>
        <v>Msantd2</v>
      </c>
      <c r="C894">
        <v>235184</v>
      </c>
      <c r="D894" t="s">
        <v>1801</v>
      </c>
      <c r="E894" s="3" t="str">
        <f>HYPERLINK("http://genome.ucsc.edu/cgi-bin/hgTracks?db=mm10&amp;lastVirtModeType=default&amp;lastVirtModeExtraState=&amp;virtModeType=default&amp;virtMode=0&amp;nonVirtPosition=&amp;position=chr9:37489320-37524150","chr9:37489320-37524150")</f>
        <v>chr9:37489320-37524150</v>
      </c>
      <c r="F894" t="s">
        <v>30</v>
      </c>
      <c r="G894">
        <v>0.74949556701201403</v>
      </c>
      <c r="H894">
        <v>0.17127256160055401</v>
      </c>
      <c r="I894">
        <v>4.3760399214440699</v>
      </c>
      <c r="J894" s="1">
        <v>1.2085488906184301E-5</v>
      </c>
      <c r="K894">
        <v>1.8204362423252399E-4</v>
      </c>
      <c r="L894" t="s">
        <v>26</v>
      </c>
      <c r="M894" t="s">
        <v>27</v>
      </c>
      <c r="N894">
        <v>104.449616700029</v>
      </c>
      <c r="O894">
        <v>73.106649088859498</v>
      </c>
      <c r="P894">
        <v>127.956842408407</v>
      </c>
      <c r="Q894">
        <v>66.815105520686998</v>
      </c>
      <c r="R894">
        <v>78.505767641672307</v>
      </c>
      <c r="S894">
        <v>73.999074104219204</v>
      </c>
      <c r="T894">
        <v>132.90568675185699</v>
      </c>
      <c r="U894">
        <v>128.47540475313201</v>
      </c>
      <c r="V894">
        <v>113.29065807817101</v>
      </c>
      <c r="W894">
        <v>137.155620050468</v>
      </c>
    </row>
    <row r="895" spans="1:23" x14ac:dyDescent="0.2">
      <c r="A895" t="s">
        <v>1802</v>
      </c>
      <c r="B895" s="3" t="str">
        <f>HYPERLINK("http://www.ncbi.nlm.nih.gov/gene/13110","Cyp2j6")</f>
        <v>Cyp2j6</v>
      </c>
      <c r="C895">
        <v>13110</v>
      </c>
      <c r="D895" t="s">
        <v>1803</v>
      </c>
      <c r="E895" s="3" t="str">
        <f>HYPERLINK("http://genome.ucsc.edu/cgi-bin/hgTracks?db=mm10&amp;lastVirtModeType=default&amp;lastVirtModeExtraState=&amp;virtModeType=default&amp;virtMode=0&amp;nonVirtPosition=&amp;position=chr4:96516137-96553651","chr4:96516137-96553651")</f>
        <v>chr4:96516137-96553651</v>
      </c>
      <c r="F895" t="s">
        <v>25</v>
      </c>
      <c r="G895">
        <v>-0.748170630181475</v>
      </c>
      <c r="H895">
        <v>0.17106553743950301</v>
      </c>
      <c r="I895">
        <v>-4.3735906213492202</v>
      </c>
      <c r="J895" s="1">
        <v>1.22219475670715E-5</v>
      </c>
      <c r="K895">
        <v>1.8389224704567901E-4</v>
      </c>
      <c r="L895" t="s">
        <v>26</v>
      </c>
      <c r="M895" t="s">
        <v>27</v>
      </c>
      <c r="N895">
        <v>621.05247400255701</v>
      </c>
      <c r="O895">
        <v>820.138396985496</v>
      </c>
      <c r="P895">
        <v>471.73803176535301</v>
      </c>
      <c r="Q895">
        <v>1054.0082895888399</v>
      </c>
      <c r="R895">
        <v>730.06571357593805</v>
      </c>
      <c r="S895">
        <v>676.34118779171001</v>
      </c>
      <c r="T895">
        <v>421.63183383347598</v>
      </c>
      <c r="U895">
        <v>460.37020036539002</v>
      </c>
      <c r="V895">
        <v>551.74021791317296</v>
      </c>
      <c r="W895">
        <v>453.209874949371</v>
      </c>
    </row>
    <row r="896" spans="1:23" x14ac:dyDescent="0.2">
      <c r="A896" t="s">
        <v>1804</v>
      </c>
      <c r="B896" s="3" t="str">
        <f>HYPERLINK("http://www.ncbi.nlm.nih.gov/gene/627214","Fam196a")</f>
        <v>Fam196a</v>
      </c>
      <c r="C896">
        <v>627214</v>
      </c>
      <c r="D896" t="s">
        <v>1805</v>
      </c>
      <c r="E896" s="3" t="str">
        <f>HYPERLINK("http://genome.ucsc.edu/cgi-bin/hgTracks?db=mm10&amp;lastVirtModeType=default&amp;lastVirtModeExtraState=&amp;virtModeType=default&amp;virtMode=0&amp;nonVirtPosition=&amp;position=chr7:134881907-134938430","chr7:134881907-134938430")</f>
        <v>chr7:134881907-134938430</v>
      </c>
      <c r="F896" t="s">
        <v>25</v>
      </c>
      <c r="G896">
        <v>0.95518280754388596</v>
      </c>
      <c r="H896">
        <v>0.218458465110073</v>
      </c>
      <c r="I896">
        <v>4.3723771796281996</v>
      </c>
      <c r="J896" s="1">
        <v>1.2290095916606899E-5</v>
      </c>
      <c r="K896">
        <v>1.8471007229998001E-4</v>
      </c>
      <c r="L896" t="s">
        <v>26</v>
      </c>
      <c r="M896" t="s">
        <v>27</v>
      </c>
      <c r="N896">
        <v>95.423015210738299</v>
      </c>
      <c r="O896">
        <v>59.293446082779496</v>
      </c>
      <c r="P896">
        <v>122.520192056708</v>
      </c>
      <c r="Q896">
        <v>51.781706778532403</v>
      </c>
      <c r="R896">
        <v>45.889844853344698</v>
      </c>
      <c r="S896">
        <v>80.208786616461396</v>
      </c>
      <c r="T896">
        <v>123.739777320694</v>
      </c>
      <c r="U896">
        <v>134.89917499078899</v>
      </c>
      <c r="V896">
        <v>107.405429087098</v>
      </c>
      <c r="W896">
        <v>124.03638682824899</v>
      </c>
    </row>
    <row r="897" spans="1:23" x14ac:dyDescent="0.2">
      <c r="A897" t="s">
        <v>1806</v>
      </c>
      <c r="B897" s="3" t="str">
        <f>HYPERLINK("http://www.ncbi.nlm.nih.gov/gene/12014","Bach2")</f>
        <v>Bach2</v>
      </c>
      <c r="C897">
        <v>12014</v>
      </c>
      <c r="D897" t="s">
        <v>1807</v>
      </c>
      <c r="E897" s="3" t="str">
        <f>HYPERLINK("http://genome.ucsc.edu/cgi-bin/hgTracks?db=mm10&amp;lastVirtModeType=default&amp;lastVirtModeExtraState=&amp;virtModeType=default&amp;virtMode=0&amp;nonVirtPosition=&amp;position=chr4:32417434-32586108","chr4:32417434-32586108")</f>
        <v>chr4:32417434-32586108</v>
      </c>
      <c r="F897" t="s">
        <v>30</v>
      </c>
      <c r="G897">
        <v>0.95319780644887397</v>
      </c>
      <c r="H897">
        <v>0.218063036761138</v>
      </c>
      <c r="I897">
        <v>4.3712030273750004</v>
      </c>
      <c r="J897" s="1">
        <v>1.23563828166625E-5</v>
      </c>
      <c r="K897">
        <v>1.8549811916808101E-4</v>
      </c>
      <c r="L897" t="s">
        <v>26</v>
      </c>
      <c r="M897" t="s">
        <v>27</v>
      </c>
      <c r="N897">
        <v>187.085042281809</v>
      </c>
      <c r="O897">
        <v>116.798475863532</v>
      </c>
      <c r="P897">
        <v>239.799967095516</v>
      </c>
      <c r="Q897">
        <v>105.23379119508201</v>
      </c>
      <c r="R897">
        <v>88.366395461399307</v>
      </c>
      <c r="S897">
        <v>156.79524093411499</v>
      </c>
      <c r="T897">
        <v>219.98182634790101</v>
      </c>
      <c r="U897">
        <v>319.04725513694501</v>
      </c>
      <c r="V897">
        <v>231.73089152353299</v>
      </c>
      <c r="W897">
        <v>188.439895373686</v>
      </c>
    </row>
    <row r="898" spans="1:23" x14ac:dyDescent="0.2">
      <c r="A898" t="s">
        <v>1808</v>
      </c>
      <c r="B898" s="3" t="str">
        <f>HYPERLINK("http://www.ncbi.nlm.nih.gov/gene/11758","Prdx6")</f>
        <v>Prdx6</v>
      </c>
      <c r="C898">
        <v>11758</v>
      </c>
      <c r="D898" t="s">
        <v>1809</v>
      </c>
      <c r="E898" s="3" t="str">
        <f>HYPERLINK("http://genome.ucsc.edu/cgi-bin/hgTracks?db=mm10&amp;lastVirtModeType=default&amp;lastVirtModeExtraState=&amp;virtModeType=default&amp;virtMode=0&amp;nonVirtPosition=&amp;position=chr1:161240111-161251210","chr1:161240111-161251210")</f>
        <v>chr1:161240111-161251210</v>
      </c>
      <c r="F898" t="s">
        <v>25</v>
      </c>
      <c r="G898">
        <v>-0.52667626737152395</v>
      </c>
      <c r="H898">
        <v>0.120494936244935</v>
      </c>
      <c r="I898">
        <v>-4.3709410850338699</v>
      </c>
      <c r="J898" s="1">
        <v>1.23712172777408E-5</v>
      </c>
      <c r="K898">
        <v>1.8551284497897699E-4</v>
      </c>
      <c r="L898" t="s">
        <v>26</v>
      </c>
      <c r="M898" t="s">
        <v>27</v>
      </c>
      <c r="N898">
        <v>399.90602722351798</v>
      </c>
      <c r="O898">
        <v>491.125461300648</v>
      </c>
      <c r="P898">
        <v>331.49145166567098</v>
      </c>
      <c r="Q898">
        <v>492.76140321506699</v>
      </c>
      <c r="R898">
        <v>521.09625478095597</v>
      </c>
      <c r="S898">
        <v>459.51872590592097</v>
      </c>
      <c r="T898">
        <v>284.14319236603802</v>
      </c>
      <c r="U898">
        <v>327.61228212048701</v>
      </c>
      <c r="V898">
        <v>351.64243221666197</v>
      </c>
      <c r="W898">
        <v>362.56789995949703</v>
      </c>
    </row>
    <row r="899" spans="1:23" x14ac:dyDescent="0.2">
      <c r="A899" t="s">
        <v>1810</v>
      </c>
      <c r="B899" s="3" t="str">
        <f>HYPERLINK("http://www.ncbi.nlm.nih.gov/gene/242521","Klhl9")</f>
        <v>Klhl9</v>
      </c>
      <c r="C899">
        <v>242521</v>
      </c>
      <c r="D899" t="s">
        <v>1811</v>
      </c>
      <c r="E899" s="3" t="str">
        <f>HYPERLINK("http://genome.ucsc.edu/cgi-bin/hgTracks?db=mm10&amp;lastVirtModeType=default&amp;lastVirtModeExtraState=&amp;virtModeType=default&amp;virtMode=0&amp;nonVirtPosition=&amp;position=chr4:88718291-88722508","chr4:88718291-88722508")</f>
        <v>chr4:88718291-88722508</v>
      </c>
      <c r="F899" t="s">
        <v>25</v>
      </c>
      <c r="G899">
        <v>-0.61991937363462202</v>
      </c>
      <c r="H899">
        <v>0.14190496164636901</v>
      </c>
      <c r="I899">
        <v>-4.3685531953384196</v>
      </c>
      <c r="J899" s="1">
        <v>1.2507235446824999E-5</v>
      </c>
      <c r="K899">
        <v>1.8734271797363899E-4</v>
      </c>
      <c r="L899" t="s">
        <v>26</v>
      </c>
      <c r="M899" t="s">
        <v>27</v>
      </c>
      <c r="N899">
        <v>999.72975104470004</v>
      </c>
      <c r="O899">
        <v>1260.66855849627</v>
      </c>
      <c r="P899">
        <v>804.02564545602195</v>
      </c>
      <c r="Q899">
        <v>1523.38440587166</v>
      </c>
      <c r="R899">
        <v>1132.0759246878799</v>
      </c>
      <c r="S899">
        <v>1126.54534492927</v>
      </c>
      <c r="T899">
        <v>733.27275449300203</v>
      </c>
      <c r="U899">
        <v>802.97127970707595</v>
      </c>
      <c r="V899">
        <v>887.93392402826601</v>
      </c>
      <c r="W899">
        <v>791.92462359574301</v>
      </c>
    </row>
    <row r="900" spans="1:23" x14ac:dyDescent="0.2">
      <c r="A900" t="s">
        <v>1812</v>
      </c>
      <c r="B900" s="3" t="str">
        <f>HYPERLINK("http://www.ncbi.nlm.nih.gov/gene/114584","Clic1")</f>
        <v>Clic1</v>
      </c>
      <c r="C900">
        <v>114584</v>
      </c>
      <c r="D900" t="s">
        <v>1813</v>
      </c>
      <c r="E900" s="3" t="str">
        <f>HYPERLINK("http://genome.ucsc.edu/cgi-bin/hgTracks?db=mm10&amp;lastVirtModeType=default&amp;lastVirtModeExtraState=&amp;virtModeType=default&amp;virtMode=0&amp;nonVirtPosition=&amp;position=chr17:35050242-35058719","chr17:35050242-35058719")</f>
        <v>chr17:35050242-35058719</v>
      </c>
      <c r="F900" t="s">
        <v>30</v>
      </c>
      <c r="G900">
        <v>-0.765928642409761</v>
      </c>
      <c r="H900">
        <v>0.17534876936615901</v>
      </c>
      <c r="I900">
        <v>-4.3680297568006701</v>
      </c>
      <c r="J900" s="1">
        <v>1.25372414821769E-5</v>
      </c>
      <c r="K900">
        <v>1.8758234713724001E-4</v>
      </c>
      <c r="L900" t="s">
        <v>26</v>
      </c>
      <c r="M900" t="s">
        <v>27</v>
      </c>
      <c r="N900">
        <v>390.576000354906</v>
      </c>
      <c r="O900">
        <v>517.72465312754798</v>
      </c>
      <c r="P900">
        <v>295.21451077542503</v>
      </c>
      <c r="Q900">
        <v>392.538744934036</v>
      </c>
      <c r="R900">
        <v>623.49508213965896</v>
      </c>
      <c r="S900">
        <v>537.14013230894795</v>
      </c>
      <c r="T900">
        <v>261.22841878813199</v>
      </c>
      <c r="U900">
        <v>355.44861981699898</v>
      </c>
      <c r="V900">
        <v>299.41102492088203</v>
      </c>
      <c r="W900">
        <v>264.769979575685</v>
      </c>
    </row>
    <row r="901" spans="1:23" x14ac:dyDescent="0.2">
      <c r="A901" t="s">
        <v>1814</v>
      </c>
      <c r="B901" s="3" t="str">
        <f>HYPERLINK("http://www.ncbi.nlm.nih.gov/gene/240913","Adamts4")</f>
        <v>Adamts4</v>
      </c>
      <c r="C901">
        <v>240913</v>
      </c>
      <c r="D901" t="s">
        <v>1815</v>
      </c>
      <c r="E901" s="3" t="str">
        <f>HYPERLINK("http://genome.ucsc.edu/cgi-bin/hgTracks?db=mm10&amp;lastVirtModeType=default&amp;lastVirtModeExtraState=&amp;virtModeType=default&amp;virtMode=0&amp;nonVirtPosition=&amp;position=chr1:171250128-171262267","chr1:171250128-171262267")</f>
        <v>chr1:171250128-171262267</v>
      </c>
      <c r="F901" t="s">
        <v>30</v>
      </c>
      <c r="G901">
        <v>-1.0690578561367099</v>
      </c>
      <c r="H901">
        <v>0.24479433570550699</v>
      </c>
      <c r="I901">
        <v>-4.3671674553075199</v>
      </c>
      <c r="J901" s="1">
        <v>1.2586822629347501E-5</v>
      </c>
      <c r="K901">
        <v>1.88113997577671E-4</v>
      </c>
      <c r="L901" t="s">
        <v>26</v>
      </c>
      <c r="M901" t="s">
        <v>27</v>
      </c>
      <c r="N901">
        <v>137.01429158761999</v>
      </c>
      <c r="O901">
        <v>205.32901016933599</v>
      </c>
      <c r="P901">
        <v>85.778252651332096</v>
      </c>
      <c r="Q901">
        <v>203.22927929209001</v>
      </c>
      <c r="R901">
        <v>141.082828805324</v>
      </c>
      <c r="S901">
        <v>271.674922410595</v>
      </c>
      <c r="T901">
        <v>59.578411302556397</v>
      </c>
      <c r="U901">
        <v>72.802729360108202</v>
      </c>
      <c r="V901">
        <v>117.704579821477</v>
      </c>
      <c r="W901">
        <v>93.027290121186695</v>
      </c>
    </row>
    <row r="902" spans="1:23" x14ac:dyDescent="0.2">
      <c r="A902" t="s">
        <v>1816</v>
      </c>
      <c r="B902" s="3" t="str">
        <f>HYPERLINK("http://www.ncbi.nlm.nih.gov/gene/232889","Pla2g4c")</f>
        <v>Pla2g4c</v>
      </c>
      <c r="C902">
        <v>232889</v>
      </c>
      <c r="D902" t="s">
        <v>1817</v>
      </c>
      <c r="E902" s="3" t="str">
        <f>HYPERLINK("http://genome.ucsc.edu/cgi-bin/hgTracks?db=mm10&amp;lastVirtModeType=default&amp;lastVirtModeExtraState=&amp;virtModeType=default&amp;virtMode=0&amp;nonVirtPosition=&amp;position=chr7:13329321-13360668","chr7:13329321-13360668")</f>
        <v>chr7:13329321-13360668</v>
      </c>
      <c r="F902" t="s">
        <v>30</v>
      </c>
      <c r="G902">
        <v>1.5433929577258001</v>
      </c>
      <c r="H902">
        <v>0.35350301550083901</v>
      </c>
      <c r="I902">
        <v>4.3659965829121301</v>
      </c>
      <c r="J902" s="1">
        <v>1.26544457590975E-5</v>
      </c>
      <c r="K902">
        <v>1.8891380508369499E-4</v>
      </c>
      <c r="L902" t="s">
        <v>26</v>
      </c>
      <c r="M902" t="s">
        <v>27</v>
      </c>
      <c r="N902">
        <v>20.838604823719798</v>
      </c>
      <c r="O902">
        <v>6.7175821837028202</v>
      </c>
      <c r="P902">
        <v>31.429371803732501</v>
      </c>
      <c r="Q902">
        <v>5.0111329140515304</v>
      </c>
      <c r="R902">
        <v>5.3095688260068199</v>
      </c>
      <c r="S902">
        <v>9.8320448110501104</v>
      </c>
      <c r="T902">
        <v>50.4125018713939</v>
      </c>
      <c r="U902">
        <v>21.412567458855399</v>
      </c>
      <c r="V902">
        <v>16.920033349337299</v>
      </c>
      <c r="W902">
        <v>36.972384535343402</v>
      </c>
    </row>
    <row r="903" spans="1:23" x14ac:dyDescent="0.2">
      <c r="A903" t="s">
        <v>1818</v>
      </c>
      <c r="B903" s="3" t="str">
        <f>HYPERLINK("http://www.ncbi.nlm.nih.gov/gene/18472","Pafah1b1")</f>
        <v>Pafah1b1</v>
      </c>
      <c r="C903">
        <v>18472</v>
      </c>
      <c r="D903" t="s">
        <v>1819</v>
      </c>
      <c r="E903" s="3" t="str">
        <f>HYPERLINK("http://genome.ucsc.edu/cgi-bin/hgTracks?db=mm10&amp;lastVirtModeType=default&amp;lastVirtModeExtraState=&amp;virtModeType=default&amp;virtMode=0&amp;nonVirtPosition=&amp;position=chr11:74673948-74724384","chr11:74673948-74724384")</f>
        <v>chr11:74673948-74724384</v>
      </c>
      <c r="F903" t="s">
        <v>25</v>
      </c>
      <c r="G903">
        <v>-0.46061298024727998</v>
      </c>
      <c r="H903">
        <v>0.105540424096778</v>
      </c>
      <c r="I903">
        <v>-4.36432754737569</v>
      </c>
      <c r="J903" s="1">
        <v>1.27514395834436E-5</v>
      </c>
      <c r="K903">
        <v>1.8982525424858599E-4</v>
      </c>
      <c r="L903" t="s">
        <v>26</v>
      </c>
      <c r="M903" t="s">
        <v>27</v>
      </c>
      <c r="N903">
        <v>1908.9780623285701</v>
      </c>
      <c r="O903">
        <v>2275.9781246488501</v>
      </c>
      <c r="P903">
        <v>1633.72801558835</v>
      </c>
      <c r="Q903">
        <v>2249.9986784091302</v>
      </c>
      <c r="R903">
        <v>2246.7061232331698</v>
      </c>
      <c r="S903">
        <v>2331.2295723042498</v>
      </c>
      <c r="T903">
        <v>1425.29891654577</v>
      </c>
      <c r="U903">
        <v>1644.4851808400899</v>
      </c>
      <c r="V903">
        <v>1775.1321944326501</v>
      </c>
      <c r="W903">
        <v>1689.99577053489</v>
      </c>
    </row>
    <row r="904" spans="1:23" x14ac:dyDescent="0.2">
      <c r="A904" t="s">
        <v>1820</v>
      </c>
      <c r="B904" s="3" t="str">
        <f>HYPERLINK("http://www.ncbi.nlm.nih.gov/gene/12464","Cct4")</f>
        <v>Cct4</v>
      </c>
      <c r="C904">
        <v>12464</v>
      </c>
      <c r="D904" t="s">
        <v>1821</v>
      </c>
      <c r="E904" s="3" t="str">
        <f>HYPERLINK("http://genome.ucsc.edu/cgi-bin/hgTracks?db=mm10&amp;lastVirtModeType=default&amp;lastVirtModeExtraState=&amp;virtModeType=default&amp;virtMode=0&amp;nonVirtPosition=&amp;position=chr11:22990592-23003336","chr11:22990592-23003336")</f>
        <v>chr11:22990592-23003336</v>
      </c>
      <c r="F904" t="s">
        <v>30</v>
      </c>
      <c r="G904">
        <v>-0.44330874455987401</v>
      </c>
      <c r="H904">
        <v>0.101581485174757</v>
      </c>
      <c r="I904">
        <v>-4.3640703204646396</v>
      </c>
      <c r="J904" s="1">
        <v>1.2766450931113101E-5</v>
      </c>
      <c r="K904">
        <v>1.8982525424858599E-4</v>
      </c>
      <c r="L904" t="s">
        <v>26</v>
      </c>
      <c r="M904" t="s">
        <v>27</v>
      </c>
      <c r="N904">
        <v>595.41498302775005</v>
      </c>
      <c r="O904">
        <v>703.17298153241495</v>
      </c>
      <c r="P904">
        <v>514.59648414925198</v>
      </c>
      <c r="Q904">
        <v>668.15105520686996</v>
      </c>
      <c r="R904">
        <v>706.55190877505095</v>
      </c>
      <c r="S904">
        <v>734.81598061532395</v>
      </c>
      <c r="T904">
        <v>504.12501871393903</v>
      </c>
      <c r="U904">
        <v>528.89041623372702</v>
      </c>
      <c r="V904">
        <v>495.83054249797101</v>
      </c>
      <c r="W904">
        <v>529.53995915137</v>
      </c>
    </row>
    <row r="905" spans="1:23" x14ac:dyDescent="0.2">
      <c r="A905" t="s">
        <v>1822</v>
      </c>
      <c r="B905" s="3" t="str">
        <f>HYPERLINK("http://www.ncbi.nlm.nih.gov/gene/12315","Calm3")</f>
        <v>Calm3</v>
      </c>
      <c r="C905">
        <v>12315</v>
      </c>
      <c r="D905" t="s">
        <v>1823</v>
      </c>
      <c r="E905" s="3" t="str">
        <f>HYPERLINK("http://genome.ucsc.edu/cgi-bin/hgTracks?db=mm10&amp;lastVirtModeType=default&amp;lastVirtModeExtraState=&amp;virtModeType=default&amp;virtMode=0&amp;nonVirtPosition=&amp;position=chr7:16915378-16924032","chr7:16915378-16924032")</f>
        <v>chr7:16915378-16924032</v>
      </c>
      <c r="F905" t="s">
        <v>25</v>
      </c>
      <c r="G905">
        <v>-0.60020461342561204</v>
      </c>
      <c r="H905">
        <v>0.137534373766657</v>
      </c>
      <c r="I905">
        <v>-4.3640334920485397</v>
      </c>
      <c r="J905" s="1">
        <v>1.2768601557475299E-5</v>
      </c>
      <c r="K905">
        <v>1.8982525424858599E-4</v>
      </c>
      <c r="L905" t="s">
        <v>26</v>
      </c>
      <c r="M905" t="s">
        <v>27</v>
      </c>
      <c r="N905">
        <v>1685.17384871063</v>
      </c>
      <c r="O905">
        <v>2106.9975437304402</v>
      </c>
      <c r="P905">
        <v>1368.8060774457699</v>
      </c>
      <c r="Q905">
        <v>2222.7158436548498</v>
      </c>
      <c r="R905">
        <v>2350.24271534031</v>
      </c>
      <c r="S905">
        <v>1748.03407219617</v>
      </c>
      <c r="T905">
        <v>1219.06595434462</v>
      </c>
      <c r="U905">
        <v>1511.72726259519</v>
      </c>
      <c r="V905">
        <v>1316.8199867527701</v>
      </c>
      <c r="W905">
        <v>1427.61110609052</v>
      </c>
    </row>
    <row r="906" spans="1:23" x14ac:dyDescent="0.2">
      <c r="A906" t="s">
        <v>1824</v>
      </c>
      <c r="B906" s="3" t="str">
        <f>HYPERLINK("http://www.ncbi.nlm.nih.gov/gene/78908","Igsf3")</f>
        <v>Igsf3</v>
      </c>
      <c r="C906">
        <v>78908</v>
      </c>
      <c r="D906" t="s">
        <v>1825</v>
      </c>
      <c r="E906" s="3" t="str">
        <f>HYPERLINK("http://genome.ucsc.edu/cgi-bin/hgTracks?db=mm10&amp;lastVirtModeType=default&amp;lastVirtModeExtraState=&amp;virtModeType=default&amp;virtMode=0&amp;nonVirtPosition=&amp;position=chr3:101377124-101463060","chr3:101377124-101463060")</f>
        <v>chr3:101377124-101463060</v>
      </c>
      <c r="F906" t="s">
        <v>30</v>
      </c>
      <c r="G906">
        <v>1.0941271617931401</v>
      </c>
      <c r="H906">
        <v>0.250718198603819</v>
      </c>
      <c r="I906">
        <v>4.36397185320424</v>
      </c>
      <c r="J906" s="1">
        <v>1.2772201783136199E-5</v>
      </c>
      <c r="K906">
        <v>1.8982525424858599E-4</v>
      </c>
      <c r="L906" t="s">
        <v>26</v>
      </c>
      <c r="M906" t="s">
        <v>27</v>
      </c>
      <c r="N906">
        <v>117.226037538507</v>
      </c>
      <c r="O906">
        <v>67.026791265753602</v>
      </c>
      <c r="P906">
        <v>154.87547224307201</v>
      </c>
      <c r="Q906">
        <v>36.191515490372097</v>
      </c>
      <c r="R906">
        <v>80.022787306245704</v>
      </c>
      <c r="S906">
        <v>84.866071000643004</v>
      </c>
      <c r="T906">
        <v>114.573867889532</v>
      </c>
      <c r="U906">
        <v>164.87676943318601</v>
      </c>
      <c r="V906">
        <v>180.23513785163601</v>
      </c>
      <c r="W906">
        <v>159.816113797936</v>
      </c>
    </row>
    <row r="907" spans="1:23" x14ac:dyDescent="0.2">
      <c r="A907" t="s">
        <v>1826</v>
      </c>
      <c r="B907" s="3" t="str">
        <f>HYPERLINK("http://www.ncbi.nlm.nih.gov/gene/68097","Dynll2")</f>
        <v>Dynll2</v>
      </c>
      <c r="C907">
        <v>68097</v>
      </c>
      <c r="D907" t="s">
        <v>1827</v>
      </c>
      <c r="E907" s="3" t="str">
        <f>HYPERLINK("http://genome.ucsc.edu/cgi-bin/hgTracks?db=mm10&amp;lastVirtModeType=default&amp;lastVirtModeExtraState=&amp;virtModeType=default&amp;virtMode=0&amp;nonVirtPosition=&amp;position=chr11:87979524-87987533","chr11:87979524-87987533")</f>
        <v>chr11:87979524-87987533</v>
      </c>
      <c r="F907" t="s">
        <v>25</v>
      </c>
      <c r="G907">
        <v>0.57613931330740398</v>
      </c>
      <c r="H907">
        <v>0.13204309291452501</v>
      </c>
      <c r="I907">
        <v>4.3632673287981198</v>
      </c>
      <c r="J907" s="1">
        <v>1.2813420782756001E-5</v>
      </c>
      <c r="K907">
        <v>1.9022673802869701E-4</v>
      </c>
      <c r="L907" t="s">
        <v>26</v>
      </c>
      <c r="M907" t="s">
        <v>27</v>
      </c>
      <c r="N907">
        <v>330.71332178940099</v>
      </c>
      <c r="O907">
        <v>253.885817058062</v>
      </c>
      <c r="P907">
        <v>388.33395033790498</v>
      </c>
      <c r="Q907">
        <v>236.63683205243299</v>
      </c>
      <c r="R907">
        <v>247.65346024160399</v>
      </c>
      <c r="S907">
        <v>277.36715888014999</v>
      </c>
      <c r="T907">
        <v>421.63183383347598</v>
      </c>
      <c r="U907">
        <v>404.69752497236601</v>
      </c>
      <c r="V907">
        <v>331.04413074790398</v>
      </c>
      <c r="W907">
        <v>395.96231179787202</v>
      </c>
    </row>
    <row r="908" spans="1:23" x14ac:dyDescent="0.2">
      <c r="A908" t="s">
        <v>1828</v>
      </c>
      <c r="B908" s="3" t="str">
        <f>HYPERLINK("http://www.ncbi.nlm.nih.gov/gene/241520","Fam171b")</f>
        <v>Fam171b</v>
      </c>
      <c r="C908">
        <v>241520</v>
      </c>
      <c r="D908" t="s">
        <v>1829</v>
      </c>
      <c r="E908" s="3" t="str">
        <f>HYPERLINK("http://genome.ucsc.edu/cgi-bin/hgTracks?db=mm10&amp;lastVirtModeType=default&amp;lastVirtModeExtraState=&amp;virtModeType=default&amp;virtMode=0&amp;nonVirtPosition=&amp;position=chr2:83812727-83881358","chr2:83812727-83881358")</f>
        <v>chr2:83812727-83881358</v>
      </c>
      <c r="F908" t="s">
        <v>30</v>
      </c>
      <c r="G908">
        <v>-0.55210192855587603</v>
      </c>
      <c r="H908">
        <v>0.12657204674545</v>
      </c>
      <c r="I908">
        <v>-4.3619578157427901</v>
      </c>
      <c r="J908" s="1">
        <v>1.2890372765030799E-5</v>
      </c>
      <c r="K908">
        <v>1.9115723332948799E-4</v>
      </c>
      <c r="L908" t="s">
        <v>26</v>
      </c>
      <c r="M908" t="s">
        <v>27</v>
      </c>
      <c r="N908">
        <v>834.86830220781701</v>
      </c>
      <c r="O908">
        <v>1027.1990767700299</v>
      </c>
      <c r="P908">
        <v>690.62022128615502</v>
      </c>
      <c r="Q908">
        <v>1168.7075540660201</v>
      </c>
      <c r="R908">
        <v>940.55219203549495</v>
      </c>
      <c r="S908">
        <v>972.33748420858706</v>
      </c>
      <c r="T908">
        <v>623.28184131905198</v>
      </c>
      <c r="U908">
        <v>779.41745550233497</v>
      </c>
      <c r="V908">
        <v>696.66398181836598</v>
      </c>
      <c r="W908">
        <v>663.11760650486895</v>
      </c>
    </row>
    <row r="909" spans="1:23" x14ac:dyDescent="0.2">
      <c r="A909" t="s">
        <v>1830</v>
      </c>
      <c r="B909" s="3" t="str">
        <f>HYPERLINK("http://www.ncbi.nlm.nih.gov/gene/380753","Atxn7l1")</f>
        <v>Atxn7l1</v>
      </c>
      <c r="C909">
        <v>380753</v>
      </c>
      <c r="D909" t="s">
        <v>1831</v>
      </c>
      <c r="E909" s="3" t="str">
        <f>HYPERLINK("http://genome.ucsc.edu/cgi-bin/hgTracks?db=mm10&amp;lastVirtModeType=default&amp;lastVirtModeExtraState=&amp;virtModeType=default&amp;virtMode=0&amp;nonVirtPosition=&amp;position=chr12:33147685-33251157","chr12:33147685-33251157")</f>
        <v>chr12:33147685-33251157</v>
      </c>
      <c r="F909" t="s">
        <v>30</v>
      </c>
      <c r="G909">
        <v>1.08475960296274</v>
      </c>
      <c r="H909">
        <v>0.248828057243625</v>
      </c>
      <c r="I909">
        <v>4.3594746307112304</v>
      </c>
      <c r="J909" s="1">
        <v>1.30375066372019E-5</v>
      </c>
      <c r="K909">
        <v>1.9312527807386099E-4</v>
      </c>
      <c r="L909" t="s">
        <v>26</v>
      </c>
      <c r="M909" t="s">
        <v>27</v>
      </c>
      <c r="N909">
        <v>38.780886559665298</v>
      </c>
      <c r="O909">
        <v>22.159804526301301</v>
      </c>
      <c r="P909">
        <v>51.246698084688298</v>
      </c>
      <c r="Q909">
        <v>25.6124571162634</v>
      </c>
      <c r="R909">
        <v>22.755294968600701</v>
      </c>
      <c r="S909">
        <v>18.111661494039701</v>
      </c>
      <c r="T909">
        <v>45.829547155812598</v>
      </c>
      <c r="U909">
        <v>59.955188884795</v>
      </c>
      <c r="V909">
        <v>51.495753671896097</v>
      </c>
      <c r="W909">
        <v>47.706302626249602</v>
      </c>
    </row>
    <row r="910" spans="1:23" x14ac:dyDescent="0.2">
      <c r="A910" t="s">
        <v>1832</v>
      </c>
      <c r="B910" s="3" t="str">
        <f>HYPERLINK("http://www.ncbi.nlm.nih.gov/gene/13476","Reep5")</f>
        <v>Reep5</v>
      </c>
      <c r="C910">
        <v>13476</v>
      </c>
      <c r="D910" t="s">
        <v>1833</v>
      </c>
      <c r="E910" s="3" t="str">
        <f>HYPERLINK("http://genome.ucsc.edu/cgi-bin/hgTracks?db=mm10&amp;lastVirtModeType=default&amp;lastVirtModeExtraState=&amp;virtModeType=default&amp;virtMode=0&amp;nonVirtPosition=&amp;position=chr18:34344885-34373415","chr18:34344885-34373415")</f>
        <v>chr18:34344885-34373415</v>
      </c>
      <c r="F910" t="s">
        <v>25</v>
      </c>
      <c r="G910">
        <v>-0.74407971893422198</v>
      </c>
      <c r="H910">
        <v>0.17071416414305299</v>
      </c>
      <c r="I910">
        <v>-4.35862907257484</v>
      </c>
      <c r="J910" s="1">
        <v>1.3087972386058201E-5</v>
      </c>
      <c r="K910">
        <v>1.9365860576984001E-4</v>
      </c>
      <c r="L910" t="s">
        <v>26</v>
      </c>
      <c r="M910" t="s">
        <v>27</v>
      </c>
      <c r="N910">
        <v>598.70079793626803</v>
      </c>
      <c r="O910">
        <v>790.77440559704905</v>
      </c>
      <c r="P910">
        <v>454.64559219068201</v>
      </c>
      <c r="Q910">
        <v>999.44262008027601</v>
      </c>
      <c r="R910">
        <v>719.82583084006797</v>
      </c>
      <c r="S910">
        <v>653.05476587080204</v>
      </c>
      <c r="T910">
        <v>352.88751309975697</v>
      </c>
      <c r="U910">
        <v>492.48905155367299</v>
      </c>
      <c r="V910">
        <v>472.28962653367603</v>
      </c>
      <c r="W910">
        <v>500.91617757562102</v>
      </c>
    </row>
    <row r="911" spans="1:23" x14ac:dyDescent="0.2">
      <c r="A911" t="s">
        <v>1834</v>
      </c>
      <c r="B911" s="3" t="str">
        <f>HYPERLINK("http://www.ncbi.nlm.nih.gov/gene/11981","Atp9a")</f>
        <v>Atp9a</v>
      </c>
      <c r="C911">
        <v>11981</v>
      </c>
      <c r="D911" t="s">
        <v>1835</v>
      </c>
      <c r="E911" s="3" t="str">
        <f>HYPERLINK("http://genome.ucsc.edu/cgi-bin/hgTracks?db=mm10&amp;lastVirtModeType=default&amp;lastVirtModeExtraState=&amp;virtModeType=default&amp;virtMode=0&amp;nonVirtPosition=&amp;position=chr2:168634437-168742136","chr2:168634437-168742136")</f>
        <v>chr2:168634437-168742136</v>
      </c>
      <c r="F911" t="s">
        <v>25</v>
      </c>
      <c r="G911">
        <v>-0.55421016379089705</v>
      </c>
      <c r="H911">
        <v>0.12719298685282099</v>
      </c>
      <c r="I911">
        <v>-4.35723837849795</v>
      </c>
      <c r="J911" s="1">
        <v>1.31713792356577E-5</v>
      </c>
      <c r="K911">
        <v>1.9467763724579699E-4</v>
      </c>
      <c r="L911" t="s">
        <v>26</v>
      </c>
      <c r="M911" t="s">
        <v>27</v>
      </c>
      <c r="N911">
        <v>1108.6882711370499</v>
      </c>
      <c r="O911">
        <v>1365.4602523436599</v>
      </c>
      <c r="P911">
        <v>916.10928523210305</v>
      </c>
      <c r="Q911">
        <v>1478.84100219121</v>
      </c>
      <c r="R911">
        <v>1251.9204781891799</v>
      </c>
      <c r="S911">
        <v>1365.6192766505901</v>
      </c>
      <c r="T911">
        <v>783.68525636439597</v>
      </c>
      <c r="U911">
        <v>1066.345859451</v>
      </c>
      <c r="V911">
        <v>871.01389067892899</v>
      </c>
      <c r="W911">
        <v>943.39213443408596</v>
      </c>
    </row>
    <row r="912" spans="1:23" x14ac:dyDescent="0.2">
      <c r="A912" t="s">
        <v>1836</v>
      </c>
      <c r="B912" s="3" t="str">
        <f>HYPERLINK("http://www.ncbi.nlm.nih.gov/gene/19054","Ppp2r3d")</f>
        <v>Ppp2r3d</v>
      </c>
      <c r="C912">
        <v>19054</v>
      </c>
      <c r="D912" t="s">
        <v>1837</v>
      </c>
      <c r="E912" s="3" t="str">
        <f>HYPERLINK("http://genome.ucsc.edu/cgi-bin/hgTracks?db=mm10&amp;lastVirtModeType=default&amp;lastVirtModeExtraState=&amp;virtModeType=default&amp;virtMode=0&amp;nonVirtPosition=&amp;position=chr9:124474345-124476862","chr9:124474345-124476862")</f>
        <v>chr9:124474345-124476862</v>
      </c>
      <c r="F912" t="s">
        <v>25</v>
      </c>
      <c r="G912">
        <v>0.909619824294711</v>
      </c>
      <c r="H912">
        <v>0.20885468065738499</v>
      </c>
      <c r="I912">
        <v>4.35527622091886</v>
      </c>
      <c r="J912" s="1">
        <v>1.3289922492664799E-5</v>
      </c>
      <c r="K912">
        <v>1.9621317761772301E-4</v>
      </c>
      <c r="L912" t="s">
        <v>26</v>
      </c>
      <c r="M912" t="s">
        <v>27</v>
      </c>
      <c r="N912">
        <v>96.0894909295654</v>
      </c>
      <c r="O912">
        <v>61.288790390863099</v>
      </c>
      <c r="P912">
        <v>122.190016333592</v>
      </c>
      <c r="Q912">
        <v>50.668121686520998</v>
      </c>
      <c r="R912">
        <v>57.646747253788398</v>
      </c>
      <c r="S912">
        <v>75.551502232279802</v>
      </c>
      <c r="T912">
        <v>114.573867889532</v>
      </c>
      <c r="U912">
        <v>152.02922895787299</v>
      </c>
      <c r="V912">
        <v>99.313239224371102</v>
      </c>
      <c r="W912">
        <v>122.843729262593</v>
      </c>
    </row>
    <row r="913" spans="1:23" x14ac:dyDescent="0.2">
      <c r="A913" t="s">
        <v>1838</v>
      </c>
      <c r="B913" s="3" t="str">
        <f>HYPERLINK("http://www.ncbi.nlm.nih.gov/gene/19027","Sypl")</f>
        <v>Sypl</v>
      </c>
      <c r="C913">
        <v>19027</v>
      </c>
      <c r="D913" t="s">
        <v>1839</v>
      </c>
      <c r="E913" s="3" t="str">
        <f>HYPERLINK("http://genome.ucsc.edu/cgi-bin/hgTracks?db=mm10&amp;lastVirtModeType=default&amp;lastVirtModeExtraState=&amp;virtModeType=default&amp;virtMode=0&amp;nonVirtPosition=&amp;position=chr12:32954185-32979502","chr12:32954185-32979502")</f>
        <v>chr12:32954185-32979502</v>
      </c>
      <c r="F913" t="s">
        <v>30</v>
      </c>
      <c r="G913">
        <v>0.78327995634598302</v>
      </c>
      <c r="H913">
        <v>0.17994352367696501</v>
      </c>
      <c r="I913">
        <v>4.3529210740150299</v>
      </c>
      <c r="J913" s="1">
        <v>1.34335522623362E-5</v>
      </c>
      <c r="K913">
        <v>1.9811530654729599E-4</v>
      </c>
      <c r="L913" t="s">
        <v>26</v>
      </c>
      <c r="M913" t="s">
        <v>27</v>
      </c>
      <c r="N913">
        <v>168.197658636922</v>
      </c>
      <c r="O913">
        <v>117.20841063184901</v>
      </c>
      <c r="P913">
        <v>206.439594640726</v>
      </c>
      <c r="Q913">
        <v>128.61907812732201</v>
      </c>
      <c r="R913">
        <v>100.88180769413</v>
      </c>
      <c r="S913">
        <v>122.124346074096</v>
      </c>
      <c r="T913">
        <v>187.90114333883199</v>
      </c>
      <c r="U913">
        <v>244.103269030951</v>
      </c>
      <c r="V913">
        <v>233.93785239518499</v>
      </c>
      <c r="W913">
        <v>159.816113797936</v>
      </c>
    </row>
    <row r="914" spans="1:23" x14ac:dyDescent="0.2">
      <c r="A914" t="s">
        <v>1840</v>
      </c>
      <c r="B914" s="3" t="str">
        <f>HYPERLINK("http://www.ncbi.nlm.nih.gov/gene/214791","Sertad4")</f>
        <v>Sertad4</v>
      </c>
      <c r="C914">
        <v>214791</v>
      </c>
      <c r="D914" t="s">
        <v>1841</v>
      </c>
      <c r="E914" s="3" t="str">
        <f>HYPERLINK("http://genome.ucsc.edu/cgi-bin/hgTracks?db=mm10&amp;lastVirtModeType=default&amp;lastVirtModeExtraState=&amp;virtModeType=default&amp;virtMode=0&amp;nonVirtPosition=&amp;position=chr1:192844487-192855752","chr1:192844487-192855752")</f>
        <v>chr1:192844487-192855752</v>
      </c>
      <c r="F914" t="s">
        <v>25</v>
      </c>
      <c r="G914">
        <v>0.93316376964196501</v>
      </c>
      <c r="H914">
        <v>0.21447949791599399</v>
      </c>
      <c r="I914">
        <v>4.3508297003168996</v>
      </c>
      <c r="J914" s="1">
        <v>1.35623359173744E-5</v>
      </c>
      <c r="K914">
        <v>1.9979454375089101E-4</v>
      </c>
      <c r="L914" t="s">
        <v>26</v>
      </c>
      <c r="M914" t="s">
        <v>27</v>
      </c>
      <c r="N914">
        <v>55.4279013227289</v>
      </c>
      <c r="O914">
        <v>35.375100490686201</v>
      </c>
      <c r="P914">
        <v>70.467501946760905</v>
      </c>
      <c r="Q914">
        <v>35.077930398360699</v>
      </c>
      <c r="R914">
        <v>32.236667872184299</v>
      </c>
      <c r="S914">
        <v>38.810703201513597</v>
      </c>
      <c r="T914">
        <v>59.578411302556397</v>
      </c>
      <c r="U914">
        <v>83.509013089535898</v>
      </c>
      <c r="V914">
        <v>68.415787021233399</v>
      </c>
      <c r="W914">
        <v>70.366796373718103</v>
      </c>
    </row>
    <row r="915" spans="1:23" x14ac:dyDescent="0.2">
      <c r="A915" t="s">
        <v>1842</v>
      </c>
      <c r="B915" s="3" t="str">
        <f>HYPERLINK("http://www.ncbi.nlm.nih.gov/gene/66168","Grina")</f>
        <v>Grina</v>
      </c>
      <c r="C915">
        <v>66168</v>
      </c>
      <c r="D915" t="s">
        <v>1843</v>
      </c>
      <c r="E915" s="3" t="str">
        <f>HYPERLINK("http://genome.ucsc.edu/cgi-bin/hgTracks?db=mm10&amp;lastVirtModeType=default&amp;lastVirtModeExtraState=&amp;virtModeType=default&amp;virtMode=0&amp;nonVirtPosition=&amp;position=chr15:76246806-76249904","chr15:76246806-76249904")</f>
        <v>chr15:76246806-76249904</v>
      </c>
      <c r="F915" t="s">
        <v>30</v>
      </c>
      <c r="G915">
        <v>-0.56156720204775301</v>
      </c>
      <c r="H915">
        <v>0.129119172796996</v>
      </c>
      <c r="I915">
        <v>-4.3492162308897599</v>
      </c>
      <c r="J915" s="1">
        <v>1.36624948281976E-5</v>
      </c>
      <c r="K915">
        <v>2.01048866202631E-4</v>
      </c>
      <c r="L915" t="s">
        <v>26</v>
      </c>
      <c r="M915" t="s">
        <v>27</v>
      </c>
      <c r="N915">
        <v>542.22343956967802</v>
      </c>
      <c r="O915">
        <v>673.45090284386504</v>
      </c>
      <c r="P915">
        <v>443.80284211403898</v>
      </c>
      <c r="Q915">
        <v>734.40936818155103</v>
      </c>
      <c r="R915">
        <v>664.45461308313998</v>
      </c>
      <c r="S915">
        <v>621.48872726690399</v>
      </c>
      <c r="T915">
        <v>348.304558384176</v>
      </c>
      <c r="U915">
        <v>494.63030829955898</v>
      </c>
      <c r="V915">
        <v>467.14005116648599</v>
      </c>
      <c r="W915">
        <v>465.13645060593399</v>
      </c>
    </row>
    <row r="916" spans="1:23" x14ac:dyDescent="0.2">
      <c r="A916" t="s">
        <v>1844</v>
      </c>
      <c r="B916" s="3" t="str">
        <f>HYPERLINK("http://www.ncbi.nlm.nih.gov/gene/18597","Pdha1")</f>
        <v>Pdha1</v>
      </c>
      <c r="C916">
        <v>18597</v>
      </c>
      <c r="D916" t="s">
        <v>1845</v>
      </c>
      <c r="E916" s="3" t="str">
        <f>HYPERLINK("http://genome.ucsc.edu/cgi-bin/hgTracks?db=mm10&amp;lastVirtModeType=default&amp;lastVirtModeExtraState=&amp;virtModeType=default&amp;virtMode=0&amp;nonVirtPosition=&amp;position=chrX:160122218-160138430","chrX:160122218-160138430")</f>
        <v>chrX:160122218-160138430</v>
      </c>
      <c r="F916" t="s">
        <v>25</v>
      </c>
      <c r="G916">
        <v>-0.54525811807620705</v>
      </c>
      <c r="H916">
        <v>0.12551658770733101</v>
      </c>
      <c r="I916">
        <v>-4.3441120256359698</v>
      </c>
      <c r="J916" s="1">
        <v>1.3984014544202701E-5</v>
      </c>
      <c r="K916">
        <v>2.0543449422582899E-4</v>
      </c>
      <c r="L916" t="s">
        <v>26</v>
      </c>
      <c r="M916" t="s">
        <v>27</v>
      </c>
      <c r="N916">
        <v>521.57702942056096</v>
      </c>
      <c r="O916">
        <v>643.31862516672402</v>
      </c>
      <c r="P916">
        <v>430.27083261093799</v>
      </c>
      <c r="Q916">
        <v>580.17783293796504</v>
      </c>
      <c r="R916">
        <v>700.86308503290104</v>
      </c>
      <c r="S916">
        <v>648.914957529307</v>
      </c>
      <c r="T916">
        <v>357.47046781533902</v>
      </c>
      <c r="U916">
        <v>464.65271385716102</v>
      </c>
      <c r="V916">
        <v>461.25482217541202</v>
      </c>
      <c r="W916">
        <v>437.70532659584001</v>
      </c>
    </row>
    <row r="917" spans="1:23" x14ac:dyDescent="0.2">
      <c r="A917" t="s">
        <v>1846</v>
      </c>
      <c r="B917" s="3" t="str">
        <f>HYPERLINK("http://www.ncbi.nlm.nih.gov/gene/20897","Stra6")</f>
        <v>Stra6</v>
      </c>
      <c r="C917">
        <v>20897</v>
      </c>
      <c r="D917" t="s">
        <v>1847</v>
      </c>
      <c r="E917" s="3" t="str">
        <f>HYPERLINK("http://genome.ucsc.edu/cgi-bin/hgTracks?db=mm10&amp;lastVirtModeType=default&amp;lastVirtModeExtraState=&amp;virtModeType=default&amp;virtMode=0&amp;nonVirtPosition=&amp;position=chr9:58129348-58153997","chr9:58129348-58153997")</f>
        <v>chr9:58129348-58153997</v>
      </c>
      <c r="F917" t="s">
        <v>30</v>
      </c>
      <c r="G917">
        <v>-1.4542498099135599</v>
      </c>
      <c r="H917">
        <v>0.334772123384384</v>
      </c>
      <c r="I917">
        <v>-4.34399912158693</v>
      </c>
      <c r="J917" s="1">
        <v>1.39912074328994E-5</v>
      </c>
      <c r="K917">
        <v>2.0543449422582899E-4</v>
      </c>
      <c r="L917" t="s">
        <v>26</v>
      </c>
      <c r="M917" t="s">
        <v>27</v>
      </c>
      <c r="N917">
        <v>21.6410222233898</v>
      </c>
      <c r="O917">
        <v>36.859471703416503</v>
      </c>
      <c r="P917">
        <v>10.227185113369799</v>
      </c>
      <c r="Q917">
        <v>43.429818588446601</v>
      </c>
      <c r="R917">
        <v>32.995177704470997</v>
      </c>
      <c r="S917">
        <v>34.153418817331897</v>
      </c>
      <c r="T917">
        <v>9.1659094311625307</v>
      </c>
      <c r="U917">
        <v>17.130053967084301</v>
      </c>
      <c r="V917">
        <v>11.0348043582635</v>
      </c>
      <c r="W917">
        <v>3.57797269696872</v>
      </c>
    </row>
    <row r="918" spans="1:23" x14ac:dyDescent="0.2">
      <c r="A918" t="s">
        <v>1848</v>
      </c>
      <c r="B918" s="3" t="str">
        <f>HYPERLINK("http://www.ncbi.nlm.nih.gov/gene/26965","Cul1")</f>
        <v>Cul1</v>
      </c>
      <c r="C918">
        <v>26965</v>
      </c>
      <c r="D918" t="s">
        <v>1849</v>
      </c>
      <c r="E918" s="3" t="str">
        <f>HYPERLINK("http://genome.ucsc.edu/cgi-bin/hgTracks?db=mm10&amp;lastVirtModeType=default&amp;lastVirtModeExtraState=&amp;virtModeType=default&amp;virtMode=0&amp;nonVirtPosition=&amp;position=chr6:47454323-47526139","chr6:47454323-47526139")</f>
        <v>chr6:47454323-47526139</v>
      </c>
      <c r="F918" t="s">
        <v>30</v>
      </c>
      <c r="G918">
        <v>-0.62665218364585396</v>
      </c>
      <c r="H918">
        <v>0.144279137485326</v>
      </c>
      <c r="I918">
        <v>-4.3433319228817</v>
      </c>
      <c r="J918" s="1">
        <v>1.40337854071701E-5</v>
      </c>
      <c r="K918">
        <v>2.05833976327946E-4</v>
      </c>
      <c r="L918" t="s">
        <v>26</v>
      </c>
      <c r="M918" t="s">
        <v>27</v>
      </c>
      <c r="N918">
        <v>539.51099899881604</v>
      </c>
      <c r="O918">
        <v>683.23409024626403</v>
      </c>
      <c r="P918">
        <v>431.71868056323001</v>
      </c>
      <c r="Q918">
        <v>680.40049121899597</v>
      </c>
      <c r="R918">
        <v>762.30238144812301</v>
      </c>
      <c r="S918">
        <v>606.99939807167198</v>
      </c>
      <c r="T918">
        <v>417.04887911789501</v>
      </c>
      <c r="U918">
        <v>351.16610632522799</v>
      </c>
      <c r="V918">
        <v>489.94531350689698</v>
      </c>
      <c r="W918">
        <v>468.71442330290199</v>
      </c>
    </row>
    <row r="919" spans="1:23" x14ac:dyDescent="0.2">
      <c r="A919" t="s">
        <v>1850</v>
      </c>
      <c r="B919" s="3" t="str">
        <f>HYPERLINK("http://www.ncbi.nlm.nih.gov/gene/230709","Zmpste24")</f>
        <v>Zmpste24</v>
      </c>
      <c r="C919">
        <v>230709</v>
      </c>
      <c r="D919" t="s">
        <v>1851</v>
      </c>
      <c r="E919" s="3" t="str">
        <f>HYPERLINK("http://genome.ucsc.edu/cgi-bin/hgTracks?db=mm10&amp;lastVirtModeType=default&amp;lastVirtModeExtraState=&amp;virtModeType=default&amp;virtMode=0&amp;nonVirtPosition=&amp;position=chr4:121059237-121098243","chr4:121059237-121098243")</f>
        <v>chr4:121059237-121098243</v>
      </c>
      <c r="F919" t="s">
        <v>25</v>
      </c>
      <c r="G919">
        <v>-0.58616912702712998</v>
      </c>
      <c r="H919">
        <v>0.13497453080802299</v>
      </c>
      <c r="I919">
        <v>-4.3428128515656699</v>
      </c>
      <c r="J919" s="1">
        <v>1.4066995921774E-5</v>
      </c>
      <c r="K919">
        <v>2.0609534178170301E-4</v>
      </c>
      <c r="L919" t="s">
        <v>26</v>
      </c>
      <c r="M919" t="s">
        <v>27</v>
      </c>
      <c r="N919">
        <v>311.44620364325903</v>
      </c>
      <c r="O919">
        <v>389.87825097871502</v>
      </c>
      <c r="P919">
        <v>252.622168141667</v>
      </c>
      <c r="Q919">
        <v>424.83271260236802</v>
      </c>
      <c r="R919">
        <v>375.841621898055</v>
      </c>
      <c r="S919">
        <v>368.96041843572198</v>
      </c>
      <c r="T919">
        <v>242.89659992580701</v>
      </c>
      <c r="U919">
        <v>229.11447180975199</v>
      </c>
      <c r="V919">
        <v>292.79014230592401</v>
      </c>
      <c r="W919">
        <v>245.68745852518501</v>
      </c>
    </row>
    <row r="920" spans="1:23" x14ac:dyDescent="0.2">
      <c r="A920" t="s">
        <v>1852</v>
      </c>
      <c r="B920" s="3" t="str">
        <f>HYPERLINK("http://www.ncbi.nlm.nih.gov/gene/116873","Stim2")</f>
        <v>Stim2</v>
      </c>
      <c r="C920">
        <v>116873</v>
      </c>
      <c r="D920" t="s">
        <v>1853</v>
      </c>
      <c r="E920" s="3" t="str">
        <f>HYPERLINK("http://genome.ucsc.edu/cgi-bin/hgTracks?db=mm10&amp;lastVirtModeType=default&amp;lastVirtModeExtraState=&amp;virtModeType=default&amp;virtMode=0&amp;nonVirtPosition=&amp;position=chr5:53998522-54121057","chr5:53998522-54121057")</f>
        <v>chr5:53998522-54121057</v>
      </c>
      <c r="F920" t="s">
        <v>30</v>
      </c>
      <c r="G920">
        <v>-0.54745668996348196</v>
      </c>
      <c r="H920">
        <v>0.12613794729348901</v>
      </c>
      <c r="I920">
        <v>-4.3401426906821303</v>
      </c>
      <c r="J920" s="1">
        <v>1.42390224356932E-5</v>
      </c>
      <c r="K920">
        <v>2.0838770430204101E-4</v>
      </c>
      <c r="L920" t="s">
        <v>26</v>
      </c>
      <c r="M920" t="s">
        <v>27</v>
      </c>
      <c r="N920">
        <v>389.81873262832602</v>
      </c>
      <c r="O920">
        <v>480.09185948188201</v>
      </c>
      <c r="P920">
        <v>322.11388748815898</v>
      </c>
      <c r="Q920">
        <v>456.01309517868901</v>
      </c>
      <c r="R920">
        <v>536.64570634283302</v>
      </c>
      <c r="S920">
        <v>447.61677692412297</v>
      </c>
      <c r="T920">
        <v>293.30910179720098</v>
      </c>
      <c r="U920">
        <v>336.17730910402901</v>
      </c>
      <c r="V920">
        <v>346.49285684947199</v>
      </c>
      <c r="W920">
        <v>312.47628220193502</v>
      </c>
    </row>
    <row r="921" spans="1:23" x14ac:dyDescent="0.2">
      <c r="A921" t="s">
        <v>1854</v>
      </c>
      <c r="B921" s="3" t="str">
        <f>HYPERLINK("http://www.ncbi.nlm.nih.gov/gene/14545","Gdap1")</f>
        <v>Gdap1</v>
      </c>
      <c r="C921">
        <v>14545</v>
      </c>
      <c r="D921" t="s">
        <v>1855</v>
      </c>
      <c r="E921" s="3" t="str">
        <f>HYPERLINK("http://genome.ucsc.edu/cgi-bin/hgTracks?db=mm10&amp;lastVirtModeType=default&amp;lastVirtModeExtraState=&amp;virtModeType=default&amp;virtMode=0&amp;nonVirtPosition=&amp;position=chr1:17145372-17164270","chr1:17145372-17164270")</f>
        <v>chr1:17145372-17164270</v>
      </c>
      <c r="F921" t="s">
        <v>30</v>
      </c>
      <c r="G921">
        <v>-0.81918352647512005</v>
      </c>
      <c r="H921">
        <v>0.18877762095113801</v>
      </c>
      <c r="I921">
        <v>-4.3394101607369802</v>
      </c>
      <c r="J921" s="1">
        <v>1.42865656386363E-5</v>
      </c>
      <c r="K921">
        <v>2.0885524068447499E-4</v>
      </c>
      <c r="L921" t="s">
        <v>26</v>
      </c>
      <c r="M921" t="s">
        <v>27</v>
      </c>
      <c r="N921">
        <v>169.172039260747</v>
      </c>
      <c r="O921">
        <v>226.00793435805301</v>
      </c>
      <c r="P921">
        <v>126.54511793776901</v>
      </c>
      <c r="Q921">
        <v>277.83948045685702</v>
      </c>
      <c r="R921">
        <v>225.27742018914699</v>
      </c>
      <c r="S921">
        <v>174.90690242815401</v>
      </c>
      <c r="T921">
        <v>146.65455089860001</v>
      </c>
      <c r="U921">
        <v>126.33414800724699</v>
      </c>
      <c r="V921">
        <v>110.348043582635</v>
      </c>
      <c r="W921">
        <v>122.843729262593</v>
      </c>
    </row>
    <row r="922" spans="1:23" x14ac:dyDescent="0.2">
      <c r="A922" t="s">
        <v>1856</v>
      </c>
      <c r="B922" s="3" t="str">
        <f>HYPERLINK("http://www.ncbi.nlm.nih.gov/gene/11430","Acox1")</f>
        <v>Acox1</v>
      </c>
      <c r="C922">
        <v>11430</v>
      </c>
      <c r="D922" t="s">
        <v>1857</v>
      </c>
      <c r="E922" s="3" t="str">
        <f>HYPERLINK("http://genome.ucsc.edu/cgi-bin/hgTracks?db=mm10&amp;lastVirtModeType=default&amp;lastVirtModeExtraState=&amp;virtModeType=default&amp;virtMode=0&amp;nonVirtPosition=&amp;position=chr11:116171882-116199045","chr11:116171882-116199045")</f>
        <v>chr11:116171882-116199045</v>
      </c>
      <c r="F922" t="s">
        <v>25</v>
      </c>
      <c r="G922">
        <v>-0.59267795913329502</v>
      </c>
      <c r="H922">
        <v>0.13666001124233099</v>
      </c>
      <c r="I922">
        <v>-4.3368791919849503</v>
      </c>
      <c r="J922" s="1">
        <v>1.4452000326284099E-5</v>
      </c>
      <c r="K922">
        <v>2.1104333300902E-4</v>
      </c>
      <c r="L922" t="s">
        <v>26</v>
      </c>
      <c r="M922" t="s">
        <v>27</v>
      </c>
      <c r="N922">
        <v>1258.3522239700501</v>
      </c>
      <c r="O922">
        <v>1572.0657745354299</v>
      </c>
      <c r="P922">
        <v>1023.0670610460101</v>
      </c>
      <c r="Q922">
        <v>1802.3374714205299</v>
      </c>
      <c r="R922">
        <v>1459.7521722357301</v>
      </c>
      <c r="S922">
        <v>1454.1076799500399</v>
      </c>
      <c r="T922">
        <v>866.17844124485896</v>
      </c>
      <c r="U922">
        <v>1134.8660753193301</v>
      </c>
      <c r="V922">
        <v>1120.40046917568</v>
      </c>
      <c r="W922">
        <v>970.82325844417903</v>
      </c>
    </row>
    <row r="923" spans="1:23" x14ac:dyDescent="0.2">
      <c r="A923" t="s">
        <v>1858</v>
      </c>
      <c r="B923" s="3" t="str">
        <f>HYPERLINK("http://www.ncbi.nlm.nih.gov/gene/381148","Prob1")</f>
        <v>Prob1</v>
      </c>
      <c r="C923">
        <v>381148</v>
      </c>
      <c r="D923" t="s">
        <v>1859</v>
      </c>
      <c r="E923" s="3" t="str">
        <f>HYPERLINK("http://genome.ucsc.edu/cgi-bin/hgTracks?db=mm10&amp;lastVirtModeType=default&amp;lastVirtModeExtraState=&amp;virtModeType=default&amp;virtMode=0&amp;nonVirtPosition=&amp;position=chr18:35650350-35655199","chr18:35650350-35655199")</f>
        <v>chr18:35650350-35655199</v>
      </c>
      <c r="F923" t="s">
        <v>25</v>
      </c>
      <c r="G923">
        <v>1.27660973640722</v>
      </c>
      <c r="H923">
        <v>0.29457835459196102</v>
      </c>
      <c r="I923">
        <v>4.33368479559718</v>
      </c>
      <c r="J923" s="1">
        <v>1.4663408330211799E-5</v>
      </c>
      <c r="K923">
        <v>2.13795456365503E-4</v>
      </c>
      <c r="L923" t="s">
        <v>26</v>
      </c>
      <c r="M923" t="s">
        <v>27</v>
      </c>
      <c r="N923">
        <v>26.6269715059546</v>
      </c>
      <c r="O923">
        <v>12.7460900804821</v>
      </c>
      <c r="P923">
        <v>37.0376325750589</v>
      </c>
      <c r="Q923">
        <v>14.4766061961489</v>
      </c>
      <c r="R923">
        <v>12.894667148873699</v>
      </c>
      <c r="S923">
        <v>10.8669968964238</v>
      </c>
      <c r="T923">
        <v>32.0806830090688</v>
      </c>
      <c r="U923">
        <v>47.107648409481797</v>
      </c>
      <c r="V923">
        <v>27.219184083716499</v>
      </c>
      <c r="W923">
        <v>41.743014797968399</v>
      </c>
    </row>
    <row r="924" spans="1:23" x14ac:dyDescent="0.2">
      <c r="A924" t="s">
        <v>1860</v>
      </c>
      <c r="B924" s="3" t="str">
        <f>HYPERLINK("http://www.ncbi.nlm.nih.gov/gene/26401","Map3k1")</f>
        <v>Map3k1</v>
      </c>
      <c r="C924">
        <v>26401</v>
      </c>
      <c r="D924" t="s">
        <v>1861</v>
      </c>
      <c r="E924" s="3" t="str">
        <f>HYPERLINK("http://genome.ucsc.edu/cgi-bin/hgTracks?db=mm10&amp;lastVirtModeType=default&amp;lastVirtModeExtraState=&amp;virtModeType=default&amp;virtMode=0&amp;nonVirtPosition=&amp;position=chr13:111746434-111808983","chr13:111746434-111808983")</f>
        <v>chr13:111746434-111808983</v>
      </c>
      <c r="F924" t="s">
        <v>25</v>
      </c>
      <c r="G924">
        <v>0.53967829428005498</v>
      </c>
      <c r="H924">
        <v>0.124534918076699</v>
      </c>
      <c r="I924">
        <v>4.3335500003916696</v>
      </c>
      <c r="J924" s="1">
        <v>1.4672393727122501E-5</v>
      </c>
      <c r="K924">
        <v>2.13795456365503E-4</v>
      </c>
      <c r="L924" t="s">
        <v>26</v>
      </c>
      <c r="M924" t="s">
        <v>27</v>
      </c>
      <c r="N924">
        <v>961.295498355787</v>
      </c>
      <c r="O924">
        <v>760.54760131705802</v>
      </c>
      <c r="P924">
        <v>1111.85642113484</v>
      </c>
      <c r="Q924">
        <v>697.104267599168</v>
      </c>
      <c r="R924">
        <v>702.75935961361802</v>
      </c>
      <c r="S924">
        <v>881.77917673838795</v>
      </c>
      <c r="T924">
        <v>1021.99890157462</v>
      </c>
      <c r="U924">
        <v>1169.1261832534999</v>
      </c>
      <c r="V924">
        <v>1173.36753009535</v>
      </c>
      <c r="W924">
        <v>1082.93306961587</v>
      </c>
    </row>
    <row r="925" spans="1:23" x14ac:dyDescent="0.2">
      <c r="A925" t="s">
        <v>1862</v>
      </c>
      <c r="B925" s="3" t="str">
        <f>HYPERLINK("http://www.ncbi.nlm.nih.gov/gene/54003","Nell2")</f>
        <v>Nell2</v>
      </c>
      <c r="C925">
        <v>54003</v>
      </c>
      <c r="D925" t="s">
        <v>1863</v>
      </c>
      <c r="E925" s="3" t="str">
        <f>HYPERLINK("http://genome.ucsc.edu/cgi-bin/hgTracks?db=mm10&amp;lastVirtModeType=default&amp;lastVirtModeExtraState=&amp;virtModeType=default&amp;virtMode=0&amp;nonVirtPosition=&amp;position=chr15:95219439-95528252","chr15:95219439-95528252")</f>
        <v>chr15:95219439-95528252</v>
      </c>
      <c r="F925" t="s">
        <v>25</v>
      </c>
      <c r="G925">
        <v>-0.77612566874462297</v>
      </c>
      <c r="H925">
        <v>0.179196116799577</v>
      </c>
      <c r="I925">
        <v>-4.3311522738669996</v>
      </c>
      <c r="J925" s="1">
        <v>1.48331052992951E-5</v>
      </c>
      <c r="K925">
        <v>2.15902296807457E-4</v>
      </c>
      <c r="L925" t="s">
        <v>26</v>
      </c>
      <c r="M925" t="s">
        <v>27</v>
      </c>
      <c r="N925">
        <v>1301.0783785409101</v>
      </c>
      <c r="O925">
        <v>1732.17178981402</v>
      </c>
      <c r="P925">
        <v>977.75832008607995</v>
      </c>
      <c r="Q925">
        <v>1844.0969123709599</v>
      </c>
      <c r="R925">
        <v>1664.92908186928</v>
      </c>
      <c r="S925">
        <v>1687.4893752018099</v>
      </c>
      <c r="T925">
        <v>728.68979977742094</v>
      </c>
      <c r="U925">
        <v>1344.7092364161199</v>
      </c>
      <c r="V925">
        <v>996.810660363132</v>
      </c>
      <c r="W925">
        <v>840.823583787649</v>
      </c>
    </row>
    <row r="926" spans="1:23" x14ac:dyDescent="0.2">
      <c r="A926" t="s">
        <v>1864</v>
      </c>
      <c r="B926" s="3" t="str">
        <f>HYPERLINK("http://www.ncbi.nlm.nih.gov/gene/268566","Gphn")</f>
        <v>Gphn</v>
      </c>
      <c r="C926">
        <v>268566</v>
      </c>
      <c r="D926" t="s">
        <v>1865</v>
      </c>
      <c r="E926" s="3" t="str">
        <f>HYPERLINK("http://genome.ucsc.edu/cgi-bin/hgTracks?db=mm10&amp;lastVirtModeType=default&amp;lastVirtModeExtraState=&amp;virtModeType=default&amp;virtMode=0&amp;nonVirtPosition=&amp;position=chr12:78226654-78684769","chr12:78226654-78684769")</f>
        <v>chr12:78226654-78684769</v>
      </c>
      <c r="F926" t="s">
        <v>30</v>
      </c>
      <c r="G926">
        <v>-0.61370785347316903</v>
      </c>
      <c r="H926">
        <v>0.141756570294094</v>
      </c>
      <c r="I926">
        <v>-4.3293079975054898</v>
      </c>
      <c r="J926" s="1">
        <v>1.49578615939611E-5</v>
      </c>
      <c r="K926">
        <v>2.17481785672891E-4</v>
      </c>
      <c r="L926" t="s">
        <v>26</v>
      </c>
      <c r="M926" t="s">
        <v>27</v>
      </c>
      <c r="N926">
        <v>446.51394468715</v>
      </c>
      <c r="O926">
        <v>563.90185154641995</v>
      </c>
      <c r="P926">
        <v>358.47301454269802</v>
      </c>
      <c r="Q926">
        <v>585.74575839802299</v>
      </c>
      <c r="R926">
        <v>615.90998381679196</v>
      </c>
      <c r="S926">
        <v>490.04981242444501</v>
      </c>
      <c r="T926">
        <v>329.972739521851</v>
      </c>
      <c r="U926">
        <v>308.34097140751697</v>
      </c>
      <c r="V926">
        <v>387.689459786989</v>
      </c>
      <c r="W926">
        <v>407.88888745443398</v>
      </c>
    </row>
    <row r="927" spans="1:23" x14ac:dyDescent="0.2">
      <c r="A927" t="s">
        <v>1866</v>
      </c>
      <c r="B927" s="3" t="str">
        <f>HYPERLINK("http://www.ncbi.nlm.nih.gov/gene/73469","Rnf38")</f>
        <v>Rnf38</v>
      </c>
      <c r="C927">
        <v>73469</v>
      </c>
      <c r="D927" t="s">
        <v>1867</v>
      </c>
      <c r="E927" s="3" t="str">
        <f>HYPERLINK("http://genome.ucsc.edu/cgi-bin/hgTracks?db=mm10&amp;lastVirtModeType=default&amp;lastVirtModeExtraState=&amp;virtModeType=default&amp;virtMode=0&amp;nonVirtPosition=&amp;position=chr4:44126211-44167538","chr4:44126211-44167538")</f>
        <v>chr4:44126211-44167538</v>
      </c>
      <c r="F927" t="s">
        <v>25</v>
      </c>
      <c r="G927">
        <v>0.548757707347858</v>
      </c>
      <c r="H927">
        <v>0.12681687939055999</v>
      </c>
      <c r="I927">
        <v>4.32716614684895</v>
      </c>
      <c r="J927" s="1">
        <v>1.51040030115682E-5</v>
      </c>
      <c r="K927">
        <v>2.1936844287192E-4</v>
      </c>
      <c r="L927" t="s">
        <v>26</v>
      </c>
      <c r="M927" t="s">
        <v>27</v>
      </c>
      <c r="N927">
        <v>371.915541232046</v>
      </c>
      <c r="O927">
        <v>291.784138434299</v>
      </c>
      <c r="P927">
        <v>432.01409333035701</v>
      </c>
      <c r="Q927">
        <v>288.41853883096599</v>
      </c>
      <c r="R927">
        <v>266.61620604877101</v>
      </c>
      <c r="S927">
        <v>320.31767042315897</v>
      </c>
      <c r="T927">
        <v>472.04433570486998</v>
      </c>
      <c r="U927">
        <v>372.57867378408298</v>
      </c>
      <c r="V927">
        <v>451.69132506491701</v>
      </c>
      <c r="W927">
        <v>431.742038767559</v>
      </c>
    </row>
    <row r="928" spans="1:23" x14ac:dyDescent="0.2">
      <c r="A928" t="s">
        <v>1868</v>
      </c>
      <c r="B928" s="3" t="str">
        <f>HYPERLINK("http://www.ncbi.nlm.nih.gov/gene/103135","Pan2")</f>
        <v>Pan2</v>
      </c>
      <c r="C928">
        <v>103135</v>
      </c>
      <c r="D928" t="s">
        <v>1869</v>
      </c>
      <c r="E928" s="3" t="str">
        <f>HYPERLINK("http://genome.ucsc.edu/cgi-bin/hgTracks?db=mm10&amp;lastVirtModeType=default&amp;lastVirtModeExtraState=&amp;virtModeType=default&amp;virtMode=0&amp;nonVirtPosition=&amp;position=chr10:128303334-128321358","chr10:128303334-128321358")</f>
        <v>chr10:128303334-128321358</v>
      </c>
      <c r="F928" t="s">
        <v>30</v>
      </c>
      <c r="G928">
        <v>0.59253407799968505</v>
      </c>
      <c r="H928">
        <v>0.13695579321408499</v>
      </c>
      <c r="I928">
        <v>4.32646231381724</v>
      </c>
      <c r="J928" s="1">
        <v>1.5152322973093101E-5</v>
      </c>
      <c r="K928">
        <v>2.1983180599424699E-4</v>
      </c>
      <c r="L928" t="s">
        <v>26</v>
      </c>
      <c r="M928" t="s">
        <v>27</v>
      </c>
      <c r="N928">
        <v>256.44670063613398</v>
      </c>
      <c r="O928">
        <v>198.53338714628299</v>
      </c>
      <c r="P928">
        <v>299.88168575352199</v>
      </c>
      <c r="Q928">
        <v>195.434183648009</v>
      </c>
      <c r="R928">
        <v>198.35032114296899</v>
      </c>
      <c r="S928">
        <v>201.81565664787101</v>
      </c>
      <c r="T928">
        <v>297.89205651278201</v>
      </c>
      <c r="U928">
        <v>244.103269030951</v>
      </c>
      <c r="V928">
        <v>320.00932638964002</v>
      </c>
      <c r="W928">
        <v>337.522091080716</v>
      </c>
    </row>
    <row r="929" spans="1:23" x14ac:dyDescent="0.2">
      <c r="A929" t="s">
        <v>1870</v>
      </c>
      <c r="B929" s="3" t="str">
        <f>HYPERLINK("http://www.ncbi.nlm.nih.gov/gene/214685","Chadl")</f>
        <v>Chadl</v>
      </c>
      <c r="C929">
        <v>214685</v>
      </c>
      <c r="D929" t="s">
        <v>1871</v>
      </c>
      <c r="E929" s="3" t="str">
        <f>HYPERLINK("http://genome.ucsc.edu/cgi-bin/hgTracks?db=mm10&amp;lastVirtModeType=default&amp;lastVirtModeExtraState=&amp;virtModeType=default&amp;virtMode=0&amp;nonVirtPosition=&amp;position=chr15:81686166-81697287","chr15:81686166-81697287")</f>
        <v>chr15:81686166-81697287</v>
      </c>
      <c r="F929" t="s">
        <v>25</v>
      </c>
      <c r="G929">
        <v>0.99638917120966197</v>
      </c>
      <c r="H929">
        <v>0.23033609942382299</v>
      </c>
      <c r="I929">
        <v>4.3258055237632904</v>
      </c>
      <c r="J929" s="1">
        <v>1.51975462223158E-5</v>
      </c>
      <c r="K929">
        <v>2.20249287297652E-4</v>
      </c>
      <c r="L929" t="s">
        <v>26</v>
      </c>
      <c r="M929" t="s">
        <v>27</v>
      </c>
      <c r="N929">
        <v>272.80848343828802</v>
      </c>
      <c r="O929">
        <v>165.08739848045801</v>
      </c>
      <c r="P929">
        <v>353.59929715666101</v>
      </c>
      <c r="Q929">
        <v>198.218146378038</v>
      </c>
      <c r="R929">
        <v>93.675964287406103</v>
      </c>
      <c r="S929">
        <v>203.36808477593101</v>
      </c>
      <c r="T929">
        <v>352.88751309975697</v>
      </c>
      <c r="U929">
        <v>434.67511941476403</v>
      </c>
      <c r="V929">
        <v>296.46841042534498</v>
      </c>
      <c r="W929">
        <v>330.366145686778</v>
      </c>
    </row>
    <row r="930" spans="1:23" x14ac:dyDescent="0.2">
      <c r="A930" t="s">
        <v>1872</v>
      </c>
      <c r="B930" s="3" t="str">
        <f>HYPERLINK("http://www.ncbi.nlm.nih.gov/gene/81535","Sgpp1")</f>
        <v>Sgpp1</v>
      </c>
      <c r="C930">
        <v>81535</v>
      </c>
      <c r="D930" t="s">
        <v>1873</v>
      </c>
      <c r="E930" s="3" t="str">
        <f>HYPERLINK("http://genome.ucsc.edu/cgi-bin/hgTracks?db=mm10&amp;lastVirtModeType=default&amp;lastVirtModeExtraState=&amp;virtModeType=default&amp;virtMode=0&amp;nonVirtPosition=&amp;position=chr12:75714247-75735729","chr12:75714247-75735729")</f>
        <v>chr12:75714247-75735729</v>
      </c>
      <c r="F930" t="s">
        <v>25</v>
      </c>
      <c r="G930">
        <v>-0.73165187367827</v>
      </c>
      <c r="H930">
        <v>0.169160036544245</v>
      </c>
      <c r="I930">
        <v>-4.3252052235570604</v>
      </c>
      <c r="J930" s="1">
        <v>1.52389924014519E-5</v>
      </c>
      <c r="K930">
        <v>2.20611186213884E-4</v>
      </c>
      <c r="L930" t="s">
        <v>26</v>
      </c>
      <c r="M930" t="s">
        <v>27</v>
      </c>
      <c r="N930">
        <v>278.62660730191999</v>
      </c>
      <c r="O930">
        <v>367.64453380235398</v>
      </c>
      <c r="P930">
        <v>211.86316242659501</v>
      </c>
      <c r="Q930">
        <v>424.275920056362</v>
      </c>
      <c r="R930">
        <v>394.04585787293502</v>
      </c>
      <c r="S930">
        <v>284.61182347776599</v>
      </c>
      <c r="T930">
        <v>169.56932447650701</v>
      </c>
      <c r="U930">
        <v>222.690701572096</v>
      </c>
      <c r="V930">
        <v>221.431740789153</v>
      </c>
      <c r="W930">
        <v>233.76088286862301</v>
      </c>
    </row>
    <row r="931" spans="1:23" x14ac:dyDescent="0.2">
      <c r="A931" t="s">
        <v>1874</v>
      </c>
      <c r="B931" s="3" t="str">
        <f>HYPERLINK("http://www.ncbi.nlm.nih.gov/gene/72289","Malat1")</f>
        <v>Malat1</v>
      </c>
      <c r="C931">
        <v>72289</v>
      </c>
      <c r="D931" t="s">
        <v>1875</v>
      </c>
      <c r="E931" s="3" t="str">
        <f>HYPERLINK("http://genome.ucsc.edu/cgi-bin/hgTracks?db=mm10&amp;lastVirtModeType=default&amp;lastVirtModeExtraState=&amp;virtModeType=default&amp;virtMode=0&amp;nonVirtPosition=&amp;position=chr19:5795689-5802671","chr19:5795689-5802671")</f>
        <v>chr19:5795689-5802671</v>
      </c>
      <c r="F931" t="s">
        <v>25</v>
      </c>
      <c r="G931">
        <v>1.1471437946005401</v>
      </c>
      <c r="H931">
        <v>0.26533905237459898</v>
      </c>
      <c r="I931">
        <v>4.3233130756079996</v>
      </c>
      <c r="J931" s="1">
        <v>1.5370337199813899E-5</v>
      </c>
      <c r="K931">
        <v>2.2227233849104601E-4</v>
      </c>
      <c r="L931" t="s">
        <v>26</v>
      </c>
      <c r="M931" t="s">
        <v>27</v>
      </c>
      <c r="N931">
        <v>44590.305962216597</v>
      </c>
      <c r="O931">
        <v>24117.053842892899</v>
      </c>
      <c r="P931">
        <v>59945.245051709397</v>
      </c>
      <c r="Q931">
        <v>31039.514062181199</v>
      </c>
      <c r="R931">
        <v>19006.3601225237</v>
      </c>
      <c r="S931">
        <v>22305.287343973901</v>
      </c>
      <c r="T931">
        <v>53964.291775969403</v>
      </c>
      <c r="U931">
        <v>61261.355499785197</v>
      </c>
      <c r="V931">
        <v>61652.1876032418</v>
      </c>
      <c r="W931">
        <v>62903.145327841397</v>
      </c>
    </row>
    <row r="932" spans="1:23" x14ac:dyDescent="0.2">
      <c r="A932" t="s">
        <v>1876</v>
      </c>
      <c r="B932" s="3" t="str">
        <f>HYPERLINK("http://www.ncbi.nlm.nih.gov/gene/18749","Prkacb")</f>
        <v>Prkacb</v>
      </c>
      <c r="C932">
        <v>18749</v>
      </c>
      <c r="D932" t="s">
        <v>1877</v>
      </c>
      <c r="E932" s="3" t="str">
        <f>HYPERLINK("http://genome.ucsc.edu/cgi-bin/hgTracks?db=mm10&amp;lastVirtModeType=default&amp;lastVirtModeExtraState=&amp;virtModeType=default&amp;virtMode=0&amp;nonVirtPosition=&amp;position=chr3:146729578-146770693","chr3:146729578-146770693")</f>
        <v>chr3:146729578-146770693</v>
      </c>
      <c r="F932" t="s">
        <v>25</v>
      </c>
      <c r="G932">
        <v>-0.52703043225199098</v>
      </c>
      <c r="H932">
        <v>0.12192055239765</v>
      </c>
      <c r="I932">
        <v>-4.3227365845018104</v>
      </c>
      <c r="J932" s="1">
        <v>1.5410568779155E-5</v>
      </c>
      <c r="K932">
        <v>2.2261372871808401E-4</v>
      </c>
      <c r="L932" t="s">
        <v>26</v>
      </c>
      <c r="M932" t="s">
        <v>27</v>
      </c>
      <c r="N932">
        <v>1004.26017953703</v>
      </c>
      <c r="O932">
        <v>1221.9233910232199</v>
      </c>
      <c r="P932">
        <v>841.01277092238797</v>
      </c>
      <c r="Q932">
        <v>1398.1060830203801</v>
      </c>
      <c r="R932">
        <v>1182.51682853495</v>
      </c>
      <c r="S932">
        <v>1085.14726151432</v>
      </c>
      <c r="T932">
        <v>838.68071295137099</v>
      </c>
      <c r="U932">
        <v>854.36144160832896</v>
      </c>
      <c r="V932">
        <v>790.82764567554796</v>
      </c>
      <c r="W932">
        <v>880.181283454305</v>
      </c>
    </row>
    <row r="933" spans="1:23" x14ac:dyDescent="0.2">
      <c r="A933" t="s">
        <v>1878</v>
      </c>
      <c r="B933" s="3" t="str">
        <f>HYPERLINK("http://www.ncbi.nlm.nih.gov/gene/381062","Ermard")</f>
        <v>Ermard</v>
      </c>
      <c r="C933">
        <v>381062</v>
      </c>
      <c r="D933" t="s">
        <v>1879</v>
      </c>
      <c r="E933" s="3" t="str">
        <f>HYPERLINK("http://genome.ucsc.edu/cgi-bin/hgTracks?db=mm10&amp;lastVirtModeType=default&amp;lastVirtModeExtraState=&amp;virtModeType=default&amp;virtMode=0&amp;nonVirtPosition=&amp;position=chr17:15041611-15064232","chr17:15041611-15064232")</f>
        <v>chr17:15041611-15064232</v>
      </c>
      <c r="F933" t="s">
        <v>30</v>
      </c>
      <c r="G933">
        <v>-1.56284314759216</v>
      </c>
      <c r="H933">
        <v>0.36165267177632199</v>
      </c>
      <c r="I933">
        <v>-4.3213925115386802</v>
      </c>
      <c r="J933" s="1">
        <v>1.55047578436041E-5</v>
      </c>
      <c r="K933">
        <v>2.2373298737467999E-4</v>
      </c>
      <c r="L933" t="s">
        <v>26</v>
      </c>
      <c r="M933" t="s">
        <v>27</v>
      </c>
      <c r="N933">
        <v>170.621841317296</v>
      </c>
      <c r="O933">
        <v>309.03229369671499</v>
      </c>
      <c r="P933">
        <v>66.814002032731807</v>
      </c>
      <c r="Q933">
        <v>474.38724919687797</v>
      </c>
      <c r="R933">
        <v>136.53176981160399</v>
      </c>
      <c r="S933">
        <v>316.17786208166399</v>
      </c>
      <c r="T933">
        <v>50.4125018713939</v>
      </c>
      <c r="U933">
        <v>47.107648409481797</v>
      </c>
      <c r="V933">
        <v>83.864513122802194</v>
      </c>
      <c r="W933">
        <v>85.871344727249294</v>
      </c>
    </row>
    <row r="934" spans="1:23" x14ac:dyDescent="0.2">
      <c r="A934" t="s">
        <v>1878</v>
      </c>
      <c r="B934" s="3" t="str">
        <f>HYPERLINK("http://www.ncbi.nlm.nih.gov/gene/100041621","Gm3435")</f>
        <v>Gm3435</v>
      </c>
      <c r="C934">
        <v>100041621</v>
      </c>
      <c r="D934" t="s">
        <v>1880</v>
      </c>
      <c r="E934" s="3" t="str">
        <f>HYPERLINK("http://genome.ucsc.edu/cgi-bin/hgTracks?db=mm10&amp;lastVirtModeType=default&amp;lastVirtModeExtraState=&amp;virtModeType=default&amp;virtMode=0&amp;nonVirtPosition=&amp;position=chr17:15009839-15022449","chr17:15009839-15022449")</f>
        <v>chr17:15009839-15022449</v>
      </c>
      <c r="F934" t="s">
        <v>30</v>
      </c>
      <c r="G934">
        <v>-1.56284314759216</v>
      </c>
      <c r="H934">
        <v>0.36165267177632199</v>
      </c>
      <c r="I934">
        <v>-4.3213925115386802</v>
      </c>
      <c r="J934" s="1">
        <v>1.55047578436041E-5</v>
      </c>
      <c r="K934">
        <v>2.2373298737467999E-4</v>
      </c>
      <c r="L934" t="s">
        <v>26</v>
      </c>
      <c r="M934" t="s">
        <v>27</v>
      </c>
      <c r="N934">
        <v>170.621841317296</v>
      </c>
      <c r="O934">
        <v>309.03229369671499</v>
      </c>
      <c r="P934">
        <v>66.814002032731807</v>
      </c>
      <c r="Q934">
        <v>474.38724919687797</v>
      </c>
      <c r="R934">
        <v>136.53176981160399</v>
      </c>
      <c r="S934">
        <v>316.17786208166399</v>
      </c>
      <c r="T934">
        <v>50.4125018713939</v>
      </c>
      <c r="U934">
        <v>47.107648409481797</v>
      </c>
      <c r="V934">
        <v>83.864513122802194</v>
      </c>
      <c r="W934">
        <v>85.871344727249294</v>
      </c>
    </row>
    <row r="935" spans="1:23" x14ac:dyDescent="0.2">
      <c r="A935" t="s">
        <v>1878</v>
      </c>
      <c r="B935" s="3" t="str">
        <f>HYPERLINK("http://www.ncbi.nlm.nih.gov/gene/100041574","9030025P20Rik")</f>
        <v>9030025P20Rik</v>
      </c>
      <c r="C935">
        <v>100041574</v>
      </c>
      <c r="D935" t="s">
        <v>1881</v>
      </c>
      <c r="E935" s="3" t="str">
        <f>HYPERLINK("http://genome.ucsc.edu/cgi-bin/hgTracks?db=mm10&amp;lastVirtModeType=default&amp;lastVirtModeExtraState=&amp;virtModeType=default&amp;virtMode=0&amp;nonVirtPosition=&amp;position=chr17:14978863-14991577","chr17:14978863-14991577")</f>
        <v>chr17:14978863-14991577</v>
      </c>
      <c r="F935" t="s">
        <v>30</v>
      </c>
      <c r="G935">
        <v>-1.56284314759216</v>
      </c>
      <c r="H935">
        <v>0.36165267177632199</v>
      </c>
      <c r="I935">
        <v>-4.3213925115386802</v>
      </c>
      <c r="J935" s="1">
        <v>1.55047578436041E-5</v>
      </c>
      <c r="K935">
        <v>2.2373298737467999E-4</v>
      </c>
      <c r="L935" t="s">
        <v>26</v>
      </c>
      <c r="M935" t="s">
        <v>27</v>
      </c>
      <c r="N935">
        <v>170.621841317296</v>
      </c>
      <c r="O935">
        <v>309.03229369671499</v>
      </c>
      <c r="P935">
        <v>66.814002032731807</v>
      </c>
      <c r="Q935">
        <v>474.38724919687797</v>
      </c>
      <c r="R935">
        <v>136.53176981160399</v>
      </c>
      <c r="S935">
        <v>316.17786208166399</v>
      </c>
      <c r="T935">
        <v>50.4125018713939</v>
      </c>
      <c r="U935">
        <v>47.107648409481797</v>
      </c>
      <c r="V935">
        <v>83.864513122802194</v>
      </c>
      <c r="W935">
        <v>85.871344727249294</v>
      </c>
    </row>
    <row r="936" spans="1:23" x14ac:dyDescent="0.2">
      <c r="A936" t="s">
        <v>1882</v>
      </c>
      <c r="B936" s="3" t="str">
        <f>HYPERLINK("http://www.ncbi.nlm.nih.gov/gene/320078","Olfml2b")</f>
        <v>Olfml2b</v>
      </c>
      <c r="C936">
        <v>320078</v>
      </c>
      <c r="D936" t="s">
        <v>1883</v>
      </c>
      <c r="E936" s="3" t="str">
        <f>HYPERLINK("http://genome.ucsc.edu/cgi-bin/hgTracks?db=mm10&amp;lastVirtModeType=default&amp;lastVirtModeExtraState=&amp;virtModeType=default&amp;virtMode=0&amp;nonVirtPosition=&amp;position=chr1:170644531-170682789","chr1:170644531-170682789")</f>
        <v>chr1:170644531-170682789</v>
      </c>
      <c r="F936" t="s">
        <v>30</v>
      </c>
      <c r="G936">
        <v>-1.12325394457204</v>
      </c>
      <c r="H936">
        <v>0.26004352029025202</v>
      </c>
      <c r="I936">
        <v>-4.3194844590563104</v>
      </c>
      <c r="J936" s="1">
        <v>1.56394121245233E-5</v>
      </c>
      <c r="K936">
        <v>2.2543311922442599E-4</v>
      </c>
      <c r="L936" t="s">
        <v>26</v>
      </c>
      <c r="M936" t="s">
        <v>27</v>
      </c>
      <c r="N936">
        <v>91.198525652741495</v>
      </c>
      <c r="O936">
        <v>140.91578918264801</v>
      </c>
      <c r="P936">
        <v>53.9105780053115</v>
      </c>
      <c r="Q936">
        <v>105.23379119508201</v>
      </c>
      <c r="R936">
        <v>131.222200985597</v>
      </c>
      <c r="S936">
        <v>186.291375367265</v>
      </c>
      <c r="T936">
        <v>22.914773577906299</v>
      </c>
      <c r="U936">
        <v>55.672675393023901</v>
      </c>
      <c r="V936">
        <v>75.036669636191505</v>
      </c>
      <c r="W936">
        <v>62.018193414124497</v>
      </c>
    </row>
    <row r="937" spans="1:23" x14ac:dyDescent="0.2">
      <c r="A937" t="s">
        <v>1884</v>
      </c>
      <c r="B937" s="3" t="str">
        <f>HYPERLINK("http://www.ncbi.nlm.nih.gov/gene/67300","Cltc")</f>
        <v>Cltc</v>
      </c>
      <c r="C937">
        <v>67300</v>
      </c>
      <c r="D937" t="s">
        <v>1885</v>
      </c>
      <c r="E937" s="3" t="str">
        <f>HYPERLINK("http://genome.ucsc.edu/cgi-bin/hgTracks?db=mm10&amp;lastVirtModeType=default&amp;lastVirtModeExtraState=&amp;virtModeType=default&amp;virtMode=0&amp;nonVirtPosition=&amp;position=chr11:86694652-86757492","chr11:86694652-86757492")</f>
        <v>chr11:86694652-86757492</v>
      </c>
      <c r="F937" t="s">
        <v>25</v>
      </c>
      <c r="G937">
        <v>-0.50925163926405603</v>
      </c>
      <c r="H937">
        <v>0.117910887962343</v>
      </c>
      <c r="I937">
        <v>-4.3189534746502201</v>
      </c>
      <c r="J937" s="1">
        <v>1.5677082370282499E-5</v>
      </c>
      <c r="K937">
        <v>2.25733129054251E-4</v>
      </c>
      <c r="L937" t="s">
        <v>26</v>
      </c>
      <c r="M937" t="s">
        <v>27</v>
      </c>
      <c r="N937">
        <v>4153.21976014554</v>
      </c>
      <c r="O937">
        <v>5029.1349381145301</v>
      </c>
      <c r="P937">
        <v>3496.28337666879</v>
      </c>
      <c r="Q937">
        <v>5295.6539050604497</v>
      </c>
      <c r="R937">
        <v>4830.1906120016401</v>
      </c>
      <c r="S937">
        <v>4961.5602972814904</v>
      </c>
      <c r="T937">
        <v>3120.9921613108399</v>
      </c>
      <c r="U937">
        <v>3415.3045096874298</v>
      </c>
      <c r="V937">
        <v>3926.9190442940198</v>
      </c>
      <c r="W937">
        <v>3521.9177913828798</v>
      </c>
    </row>
    <row r="938" spans="1:23" x14ac:dyDescent="0.2">
      <c r="A938" t="s">
        <v>1886</v>
      </c>
      <c r="B938" s="3" t="str">
        <f>HYPERLINK("http://www.ncbi.nlm.nih.gov/gene/20334","Sec23a")</f>
        <v>Sec23a</v>
      </c>
      <c r="C938">
        <v>20334</v>
      </c>
      <c r="D938" t="s">
        <v>1887</v>
      </c>
      <c r="E938" s="3" t="str">
        <f>HYPERLINK("http://genome.ucsc.edu/cgi-bin/hgTracks?db=mm10&amp;lastVirtModeType=default&amp;lastVirtModeExtraState=&amp;virtModeType=default&amp;virtMode=0&amp;nonVirtPosition=&amp;position=chr12:58958383-59012017","chr12:58958383-59012017")</f>
        <v>chr12:58958383-59012017</v>
      </c>
      <c r="F938" t="s">
        <v>25</v>
      </c>
      <c r="G938">
        <v>-0.59709115403606405</v>
      </c>
      <c r="H938">
        <v>0.13837673558482999</v>
      </c>
      <c r="I938">
        <v>-4.3149677690584598</v>
      </c>
      <c r="J938" s="1">
        <v>1.5962619117327599E-5</v>
      </c>
      <c r="K938">
        <v>2.2959767196577101E-4</v>
      </c>
      <c r="L938" t="s">
        <v>26</v>
      </c>
      <c r="M938" t="s">
        <v>27</v>
      </c>
      <c r="N938">
        <v>517.435107761626</v>
      </c>
      <c r="O938">
        <v>648.180983997157</v>
      </c>
      <c r="P938">
        <v>419.37570058497801</v>
      </c>
      <c r="Q938">
        <v>691.53634213911005</v>
      </c>
      <c r="R938">
        <v>706.55190877505095</v>
      </c>
      <c r="S938">
        <v>546.45470107731103</v>
      </c>
      <c r="T938">
        <v>403.30001497115097</v>
      </c>
      <c r="U938">
        <v>372.57867378408298</v>
      </c>
      <c r="V938">
        <v>462.72612942318102</v>
      </c>
      <c r="W938">
        <v>438.89798416149603</v>
      </c>
    </row>
    <row r="939" spans="1:23" x14ac:dyDescent="0.2">
      <c r="A939" t="s">
        <v>1888</v>
      </c>
      <c r="B939" s="3" t="str">
        <f>HYPERLINK("http://www.ncbi.nlm.nih.gov/gene/53378","Sdcbp")</f>
        <v>Sdcbp</v>
      </c>
      <c r="C939">
        <v>53378</v>
      </c>
      <c r="D939" t="s">
        <v>1889</v>
      </c>
      <c r="E939" s="3" t="str">
        <f>HYPERLINK("http://genome.ucsc.edu/cgi-bin/hgTracks?db=mm10&amp;lastVirtModeType=default&amp;lastVirtModeExtraState=&amp;virtModeType=default&amp;virtMode=0&amp;nonVirtPosition=&amp;position=chr4:6365679-6396122","chr4:6365679-6396122")</f>
        <v>chr4:6365679-6396122</v>
      </c>
      <c r="F939" t="s">
        <v>30</v>
      </c>
      <c r="G939">
        <v>-0.56668539857408995</v>
      </c>
      <c r="H939">
        <v>0.13134631533947999</v>
      </c>
      <c r="I939">
        <v>-4.3144369684785202</v>
      </c>
      <c r="J939" s="1">
        <v>1.6001017765788299E-5</v>
      </c>
      <c r="K939">
        <v>2.29903035302222E-4</v>
      </c>
      <c r="L939" t="s">
        <v>26</v>
      </c>
      <c r="M939" t="s">
        <v>27</v>
      </c>
      <c r="N939">
        <v>992.66433452970102</v>
      </c>
      <c r="O939">
        <v>1222.5550895957099</v>
      </c>
      <c r="P939">
        <v>820.246268230194</v>
      </c>
      <c r="Q939">
        <v>1360.8009824379899</v>
      </c>
      <c r="R939">
        <v>1165.82961222464</v>
      </c>
      <c r="S939">
        <v>1141.0346741245</v>
      </c>
      <c r="T939">
        <v>944.08867140973996</v>
      </c>
      <c r="U939">
        <v>689.48467217514201</v>
      </c>
      <c r="V939">
        <v>861.45039356843404</v>
      </c>
      <c r="W939">
        <v>785.96133576746195</v>
      </c>
    </row>
    <row r="940" spans="1:23" x14ac:dyDescent="0.2">
      <c r="A940" t="s">
        <v>1890</v>
      </c>
      <c r="B940" s="3" t="str">
        <f>HYPERLINK("http://www.ncbi.nlm.nih.gov/gene/72080","Sapcd2")</f>
        <v>Sapcd2</v>
      </c>
      <c r="C940">
        <v>72080</v>
      </c>
      <c r="D940" t="s">
        <v>1891</v>
      </c>
      <c r="E940" s="3" t="str">
        <f>HYPERLINK("http://genome.ucsc.edu/cgi-bin/hgTracks?db=mm10&amp;lastVirtModeType=default&amp;lastVirtModeExtraState=&amp;virtModeType=default&amp;virtMode=0&amp;nonVirtPosition=&amp;position=chr2:25372034-25378213","chr2:25372034-25378213")</f>
        <v>chr2:25372034-25378213</v>
      </c>
      <c r="F940" t="s">
        <v>30</v>
      </c>
      <c r="G940">
        <v>0.63314878226689797</v>
      </c>
      <c r="H940">
        <v>0.146764719444234</v>
      </c>
      <c r="I940">
        <v>4.3140394003715201</v>
      </c>
      <c r="J940" s="1">
        <v>1.6029835896975198E-5</v>
      </c>
      <c r="K940">
        <v>2.2994661085885601E-4</v>
      </c>
      <c r="L940" t="s">
        <v>26</v>
      </c>
      <c r="M940" t="s">
        <v>27</v>
      </c>
      <c r="N940">
        <v>447.41466184673499</v>
      </c>
      <c r="O940">
        <v>332.57706448724701</v>
      </c>
      <c r="P940">
        <v>533.54285986635205</v>
      </c>
      <c r="Q940">
        <v>327.95080959737197</v>
      </c>
      <c r="R940">
        <v>297.71510917252601</v>
      </c>
      <c r="S940">
        <v>372.065274691843</v>
      </c>
      <c r="T940">
        <v>669.11138847486404</v>
      </c>
      <c r="U940">
        <v>513.90161901252804</v>
      </c>
      <c r="V940">
        <v>459.78351492764398</v>
      </c>
      <c r="W940">
        <v>491.37491705037098</v>
      </c>
    </row>
    <row r="941" spans="1:23" x14ac:dyDescent="0.2">
      <c r="A941" t="s">
        <v>1892</v>
      </c>
      <c r="B941" s="3" t="str">
        <f>HYPERLINK("http://www.ncbi.nlm.nih.gov/gene/20266","Scn1b")</f>
        <v>Scn1b</v>
      </c>
      <c r="C941">
        <v>20266</v>
      </c>
      <c r="D941" t="s">
        <v>1893</v>
      </c>
      <c r="E941" s="3" t="str">
        <f>HYPERLINK("http://genome.ucsc.edu/cgi-bin/hgTracks?db=mm10&amp;lastVirtModeType=default&amp;lastVirtModeExtraState=&amp;virtModeType=default&amp;virtMode=0&amp;nonVirtPosition=&amp;position=chr7:31116523-31127023","chr7:31116523-31127023")</f>
        <v>chr7:31116523-31127023</v>
      </c>
      <c r="F941" t="s">
        <v>25</v>
      </c>
      <c r="G941">
        <v>-1.1199467721983201</v>
      </c>
      <c r="H941">
        <v>0.25961223011425799</v>
      </c>
      <c r="I941">
        <v>-4.31392146550807</v>
      </c>
      <c r="J941" s="1">
        <v>1.6038394036455199E-5</v>
      </c>
      <c r="K941">
        <v>2.2994661085885601E-4</v>
      </c>
      <c r="L941" t="s">
        <v>26</v>
      </c>
      <c r="M941" t="s">
        <v>27</v>
      </c>
      <c r="N941">
        <v>105.047029157868</v>
      </c>
      <c r="O941">
        <v>159.36423281795399</v>
      </c>
      <c r="P941">
        <v>64.309126412803195</v>
      </c>
      <c r="Q941">
        <v>137.52775886341399</v>
      </c>
      <c r="R941">
        <v>235.51730292501699</v>
      </c>
      <c r="S941">
        <v>105.04763666543001</v>
      </c>
      <c r="T941">
        <v>45.829547155812598</v>
      </c>
      <c r="U941">
        <v>72.802729360108202</v>
      </c>
      <c r="V941">
        <v>70.622747892886096</v>
      </c>
      <c r="W941">
        <v>67.981481242405707</v>
      </c>
    </row>
    <row r="942" spans="1:23" x14ac:dyDescent="0.2">
      <c r="A942" t="s">
        <v>1894</v>
      </c>
      <c r="B942" s="3" t="str">
        <f>HYPERLINK("http://www.ncbi.nlm.nih.gov/gene/76982","3110035E14Rik")</f>
        <v>3110035E14Rik</v>
      </c>
      <c r="C942">
        <v>76982</v>
      </c>
      <c r="D942" t="s">
        <v>1895</v>
      </c>
      <c r="E942" s="3" t="str">
        <f>HYPERLINK("http://genome.ucsc.edu/cgi-bin/hgTracks?db=mm10&amp;lastVirtModeType=default&amp;lastVirtModeExtraState=&amp;virtModeType=default&amp;virtMode=0&amp;nonVirtPosition=&amp;position=chr1:9601266-9627142","chr1:9601266-9627142")</f>
        <v>chr1:9601266-9627142</v>
      </c>
      <c r="F942" t="s">
        <v>30</v>
      </c>
      <c r="G942">
        <v>-0.81582749556872503</v>
      </c>
      <c r="H942">
        <v>0.189324915481628</v>
      </c>
      <c r="I942">
        <v>-4.3091396264106203</v>
      </c>
      <c r="J942" s="1">
        <v>1.6389087795048299E-5</v>
      </c>
      <c r="K942">
        <v>2.3472328841015201E-4</v>
      </c>
      <c r="L942" t="s">
        <v>26</v>
      </c>
      <c r="M942" t="s">
        <v>27</v>
      </c>
      <c r="N942">
        <v>1725.5279727521799</v>
      </c>
      <c r="O942">
        <v>2324.5684112179001</v>
      </c>
      <c r="P942">
        <v>1276.2476439028801</v>
      </c>
      <c r="Q942">
        <v>3071.8244763135799</v>
      </c>
      <c r="R942">
        <v>2057.0786651614999</v>
      </c>
      <c r="S942">
        <v>1844.8020921786101</v>
      </c>
      <c r="T942">
        <v>1484.87732784833</v>
      </c>
      <c r="U942">
        <v>1036.3682650086</v>
      </c>
      <c r="V942">
        <v>1416.13322597714</v>
      </c>
      <c r="W942">
        <v>1167.61175677746</v>
      </c>
    </row>
    <row r="943" spans="1:23" x14ac:dyDescent="0.2">
      <c r="A943" t="s">
        <v>1896</v>
      </c>
      <c r="B943" s="3" t="str">
        <f>HYPERLINK("http://www.ncbi.nlm.nih.gov/gene/380969","Nckap5l")</f>
        <v>Nckap5l</v>
      </c>
      <c r="C943">
        <v>380969</v>
      </c>
      <c r="D943" t="s">
        <v>1897</v>
      </c>
      <c r="E943" s="3" t="str">
        <f>HYPERLINK("http://genome.ucsc.edu/cgi-bin/hgTracks?db=mm10&amp;lastVirtModeType=default&amp;lastVirtModeExtraState=&amp;virtModeType=default&amp;virtMode=0&amp;nonVirtPosition=&amp;position=chr15:99422033-99457748","chr15:99422033-99457748")</f>
        <v>chr15:99422033-99457748</v>
      </c>
      <c r="F943" t="s">
        <v>25</v>
      </c>
      <c r="G943">
        <v>0.93557261394313995</v>
      </c>
      <c r="H943">
        <v>0.217421815916959</v>
      </c>
      <c r="I943">
        <v>4.3030300800195098</v>
      </c>
      <c r="J943" s="1">
        <v>1.6847796618302902E-5</v>
      </c>
      <c r="K943">
        <v>2.4103509029454499E-4</v>
      </c>
      <c r="L943" t="s">
        <v>26</v>
      </c>
      <c r="M943" t="s">
        <v>27</v>
      </c>
      <c r="N943">
        <v>216.19901336992899</v>
      </c>
      <c r="O943">
        <v>137.00916444235401</v>
      </c>
      <c r="P943">
        <v>275.59140006561103</v>
      </c>
      <c r="Q943">
        <v>139.19813650143101</v>
      </c>
      <c r="R943">
        <v>87.607885629112602</v>
      </c>
      <c r="S943">
        <v>184.221471196518</v>
      </c>
      <c r="T943">
        <v>242.89659992580701</v>
      </c>
      <c r="U943">
        <v>327.61228212048701</v>
      </c>
      <c r="V943">
        <v>286.16925969096599</v>
      </c>
      <c r="W943">
        <v>245.68745852518501</v>
      </c>
    </row>
    <row r="944" spans="1:23" x14ac:dyDescent="0.2">
      <c r="A944" t="s">
        <v>1898</v>
      </c>
      <c r="B944" s="3" t="str">
        <f>HYPERLINK("http://www.ncbi.nlm.nih.gov/gene/232035","Ccser1")</f>
        <v>Ccser1</v>
      </c>
      <c r="C944">
        <v>232035</v>
      </c>
      <c r="D944" t="s">
        <v>1899</v>
      </c>
      <c r="E944" s="3" t="str">
        <f>HYPERLINK("http://genome.ucsc.edu/cgi-bin/hgTracks?db=mm10&amp;lastVirtModeType=default&amp;lastVirtModeExtraState=&amp;virtModeType=default&amp;virtMode=0&amp;nonVirtPosition=&amp;position=chr6:61180324-62382863","chr6:61180324-62382863")</f>
        <v>chr6:61180324-62382863</v>
      </c>
      <c r="F944" t="s">
        <v>30</v>
      </c>
      <c r="G944">
        <v>0.67091753969490497</v>
      </c>
      <c r="H944">
        <v>0.15609977380524001</v>
      </c>
      <c r="I944">
        <v>4.2980045604164996</v>
      </c>
      <c r="J944" s="1">
        <v>1.72342618304303E-5</v>
      </c>
      <c r="K944">
        <v>2.4630096069508303E-4</v>
      </c>
      <c r="L944" t="s">
        <v>26</v>
      </c>
      <c r="M944" t="s">
        <v>27</v>
      </c>
      <c r="N944">
        <v>157.760137183192</v>
      </c>
      <c r="O944">
        <v>113.41856643674301</v>
      </c>
      <c r="P944">
        <v>191.016315243028</v>
      </c>
      <c r="Q944">
        <v>111.358509201145</v>
      </c>
      <c r="R944">
        <v>114.53498467529</v>
      </c>
      <c r="S944">
        <v>114.36220543379299</v>
      </c>
      <c r="T944">
        <v>233.73069049464399</v>
      </c>
      <c r="U944">
        <v>192.71310712969799</v>
      </c>
      <c r="V944">
        <v>161.108143630646</v>
      </c>
      <c r="W944">
        <v>176.51331971712301</v>
      </c>
    </row>
    <row r="945" spans="1:23" x14ac:dyDescent="0.2">
      <c r="A945" t="s">
        <v>1900</v>
      </c>
      <c r="B945" s="3" t="str">
        <f>HYPERLINK("http://www.ncbi.nlm.nih.gov/gene/57740","Stk32c")</f>
        <v>Stk32c</v>
      </c>
      <c r="C945">
        <v>57740</v>
      </c>
      <c r="D945" t="s">
        <v>1901</v>
      </c>
      <c r="E945" s="3" t="str">
        <f>HYPERLINK("http://genome.ucsc.edu/cgi-bin/hgTracks?db=mm10&amp;lastVirtModeType=default&amp;lastVirtModeExtraState=&amp;virtModeType=default&amp;virtMode=0&amp;nonVirtPosition=&amp;position=chr7:139103637-139213307","chr7:139103637-139213307")</f>
        <v>chr7:139103637-139213307</v>
      </c>
      <c r="F945" t="s">
        <v>25</v>
      </c>
      <c r="G945">
        <v>1.3194026901171401</v>
      </c>
      <c r="H945">
        <v>0.30717220564930298</v>
      </c>
      <c r="I945">
        <v>4.2953192569235696</v>
      </c>
      <c r="J945" s="1">
        <v>1.7444211204797999E-5</v>
      </c>
      <c r="K945">
        <v>2.4903564205058603E-4</v>
      </c>
      <c r="L945" t="s">
        <v>26</v>
      </c>
      <c r="M945" t="s">
        <v>27</v>
      </c>
      <c r="N945">
        <v>24.048399326159998</v>
      </c>
      <c r="O945">
        <v>11.1903279266837</v>
      </c>
      <c r="P945">
        <v>33.691952875767299</v>
      </c>
      <c r="Q945">
        <v>9.4654732820973209</v>
      </c>
      <c r="R945">
        <v>14.790941729590401</v>
      </c>
      <c r="S945">
        <v>9.3145687683632605</v>
      </c>
      <c r="T945">
        <v>22.914773577906299</v>
      </c>
      <c r="U945">
        <v>40.683878171825199</v>
      </c>
      <c r="V945">
        <v>29.4261449553692</v>
      </c>
      <c r="W945">
        <v>41.743014797968399</v>
      </c>
    </row>
    <row r="946" spans="1:23" x14ac:dyDescent="0.2">
      <c r="A946" t="s">
        <v>1902</v>
      </c>
      <c r="B946" s="3" t="str">
        <f>HYPERLINK("http://www.ncbi.nlm.nih.gov/gene/70693","Adgra3")</f>
        <v>Adgra3</v>
      </c>
      <c r="C946">
        <v>70693</v>
      </c>
      <c r="D946" t="s">
        <v>1903</v>
      </c>
      <c r="E946" s="3" t="str">
        <f>HYPERLINK("http://genome.ucsc.edu/cgi-bin/hgTracks?db=mm10&amp;lastVirtModeType=default&amp;lastVirtModeExtraState=&amp;virtModeType=default&amp;virtMode=0&amp;nonVirtPosition=&amp;position=chr5:49959950-50058996","chr5:49959950-50058996")</f>
        <v>chr5:49959950-50058996</v>
      </c>
      <c r="F946" t="s">
        <v>25</v>
      </c>
      <c r="G946">
        <v>0.93591452549254495</v>
      </c>
      <c r="H946">
        <v>0.21793018617792501</v>
      </c>
      <c r="I946">
        <v>4.29456121662942</v>
      </c>
      <c r="J946" s="1">
        <v>1.7503917954124099E-5</v>
      </c>
      <c r="K946">
        <v>2.4962190130316898E-4</v>
      </c>
      <c r="L946" t="s">
        <v>26</v>
      </c>
      <c r="M946" t="s">
        <v>27</v>
      </c>
      <c r="N946">
        <v>489.70842224451002</v>
      </c>
      <c r="O946">
        <v>310.56539125907199</v>
      </c>
      <c r="P946">
        <v>624.065695483588</v>
      </c>
      <c r="Q946">
        <v>346.32496361556099</v>
      </c>
      <c r="R946">
        <v>283.68267727522198</v>
      </c>
      <c r="S946">
        <v>301.68853288643197</v>
      </c>
      <c r="T946">
        <v>403.30001497115097</v>
      </c>
      <c r="U946">
        <v>713.03849637988299</v>
      </c>
      <c r="V946">
        <v>481.85312364417098</v>
      </c>
      <c r="W946">
        <v>898.071146939149</v>
      </c>
    </row>
    <row r="947" spans="1:23" x14ac:dyDescent="0.2">
      <c r="A947" t="s">
        <v>1904</v>
      </c>
      <c r="B947" s="3" t="str">
        <f>HYPERLINK("http://www.ncbi.nlm.nih.gov/gene/20663","Sos2")</f>
        <v>Sos2</v>
      </c>
      <c r="C947">
        <v>20663</v>
      </c>
      <c r="D947" t="s">
        <v>1905</v>
      </c>
      <c r="E947" s="3" t="str">
        <f>HYPERLINK("http://genome.ucsc.edu/cgi-bin/hgTracks?db=mm10&amp;lastVirtModeType=default&amp;lastVirtModeExtraState=&amp;virtModeType=default&amp;virtMode=0&amp;nonVirtPosition=&amp;position=chr12:69583760-69681852","chr12:69583760-69681852")</f>
        <v>chr12:69583760-69681852</v>
      </c>
      <c r="F947" t="s">
        <v>25</v>
      </c>
      <c r="G947">
        <v>-0.50736520163527798</v>
      </c>
      <c r="H947">
        <v>0.118155336918324</v>
      </c>
      <c r="I947">
        <v>-4.2940523455660697</v>
      </c>
      <c r="J947" s="1">
        <v>1.7544108163585802E-5</v>
      </c>
      <c r="K947">
        <v>2.49928885551678E-4</v>
      </c>
      <c r="L947" t="s">
        <v>26</v>
      </c>
      <c r="M947" t="s">
        <v>27</v>
      </c>
      <c r="N947">
        <v>259.141132409661</v>
      </c>
      <c r="O947">
        <v>313.91708969501201</v>
      </c>
      <c r="P947">
        <v>218.05916444564801</v>
      </c>
      <c r="Q947">
        <v>314.587788493235</v>
      </c>
      <c r="R947">
        <v>316.677854979693</v>
      </c>
      <c r="S947">
        <v>310.485625612109</v>
      </c>
      <c r="T947">
        <v>206.23296220115699</v>
      </c>
      <c r="U947">
        <v>226.973215063867</v>
      </c>
      <c r="V947">
        <v>214.810858174195</v>
      </c>
      <c r="W947">
        <v>224.219622343373</v>
      </c>
    </row>
    <row r="948" spans="1:23" x14ac:dyDescent="0.2">
      <c r="A948" t="s">
        <v>1906</v>
      </c>
      <c r="B948" s="3" t="str">
        <f>HYPERLINK("http://www.ncbi.nlm.nih.gov/gene/12747","Clk1")</f>
        <v>Clk1</v>
      </c>
      <c r="C948">
        <v>12747</v>
      </c>
      <c r="D948" t="s">
        <v>1907</v>
      </c>
      <c r="E948" s="3" t="str">
        <f>HYPERLINK("http://genome.ucsc.edu/cgi-bin/hgTracks?db=mm10&amp;lastVirtModeType=default&amp;lastVirtModeExtraState=&amp;virtModeType=default&amp;virtMode=0&amp;nonVirtPosition=&amp;position=chr1:58411987-58424088","chr1:58411987-58424088")</f>
        <v>chr1:58411987-58424088</v>
      </c>
      <c r="F948" t="s">
        <v>25</v>
      </c>
      <c r="G948">
        <v>0.49560815583901702</v>
      </c>
      <c r="H948">
        <v>0.11544091813382799</v>
      </c>
      <c r="I948">
        <v>4.2931757980690204</v>
      </c>
      <c r="J948" s="1">
        <v>1.7613543400696099E-5</v>
      </c>
      <c r="K948">
        <v>2.5046608336690401E-4</v>
      </c>
      <c r="L948" t="s">
        <v>26</v>
      </c>
      <c r="M948" t="s">
        <v>27</v>
      </c>
      <c r="N948">
        <v>491.74228441496803</v>
      </c>
      <c r="O948">
        <v>396.13354958818599</v>
      </c>
      <c r="P948">
        <v>563.44883553505395</v>
      </c>
      <c r="Q948">
        <v>433.74139333846</v>
      </c>
      <c r="R948">
        <v>391.39107345993199</v>
      </c>
      <c r="S948">
        <v>363.26818196616699</v>
      </c>
      <c r="T948">
        <v>595.78411302556401</v>
      </c>
      <c r="U948">
        <v>509.61910552075699</v>
      </c>
      <c r="V948">
        <v>572.33851938193095</v>
      </c>
      <c r="W948">
        <v>576.05360421196394</v>
      </c>
    </row>
    <row r="949" spans="1:23" x14ac:dyDescent="0.2">
      <c r="A949" t="s">
        <v>1908</v>
      </c>
      <c r="B949" s="3" t="str">
        <f>HYPERLINK("http://www.ncbi.nlm.nih.gov/gene/16800","Arhgef2")</f>
        <v>Arhgef2</v>
      </c>
      <c r="C949">
        <v>16800</v>
      </c>
      <c r="D949" t="s">
        <v>1909</v>
      </c>
      <c r="E949" s="3" t="str">
        <f>HYPERLINK("http://genome.ucsc.edu/cgi-bin/hgTracks?db=mm10&amp;lastVirtModeType=default&amp;lastVirtModeExtraState=&amp;virtModeType=default&amp;virtMode=0&amp;nonVirtPosition=&amp;position=chr3:88616206-88648052","chr3:88616206-88648052")</f>
        <v>chr3:88616206-88648052</v>
      </c>
      <c r="F949" t="s">
        <v>30</v>
      </c>
      <c r="G949">
        <v>0.80125815920805699</v>
      </c>
      <c r="H949">
        <v>0.18663841354078101</v>
      </c>
      <c r="I949">
        <v>4.2931042115452902</v>
      </c>
      <c r="J949" s="1">
        <v>1.7619225638983201E-5</v>
      </c>
      <c r="K949">
        <v>2.5046608336690401E-4</v>
      </c>
      <c r="L949" t="s">
        <v>26</v>
      </c>
      <c r="M949" t="s">
        <v>27</v>
      </c>
      <c r="N949">
        <v>734.33850535716294</v>
      </c>
      <c r="O949">
        <v>505.01144488414201</v>
      </c>
      <c r="P949">
        <v>906.33380071193005</v>
      </c>
      <c r="Q949">
        <v>448.21799953460902</v>
      </c>
      <c r="R949">
        <v>480.51597875361801</v>
      </c>
      <c r="S949">
        <v>586.30035636419802</v>
      </c>
      <c r="T949">
        <v>760.77048278648999</v>
      </c>
      <c r="U949">
        <v>813.67756343650296</v>
      </c>
      <c r="V949">
        <v>778.32153406951602</v>
      </c>
      <c r="W949">
        <v>1272.56562255521</v>
      </c>
    </row>
    <row r="950" spans="1:23" x14ac:dyDescent="0.2">
      <c r="A950" t="s">
        <v>1910</v>
      </c>
      <c r="B950" s="3" t="str">
        <f>HYPERLINK("http://www.ncbi.nlm.nih.gov/gene/217826","Kcnk13")</f>
        <v>Kcnk13</v>
      </c>
      <c r="C950">
        <v>217826</v>
      </c>
      <c r="D950" t="s">
        <v>1911</v>
      </c>
      <c r="E950" s="3" t="str">
        <f>HYPERLINK("http://genome.ucsc.edu/cgi-bin/hgTracks?db=mm10&amp;lastVirtModeType=default&amp;lastVirtModeExtraState=&amp;virtModeType=default&amp;virtMode=0&amp;nonVirtPosition=&amp;position=chr12:99964498-100062682","chr12:99964498-100062682")</f>
        <v>chr12:99964498-100062682</v>
      </c>
      <c r="F950" t="s">
        <v>30</v>
      </c>
      <c r="G950">
        <v>-1.0556098375376399</v>
      </c>
      <c r="H950">
        <v>0.24603117297840901</v>
      </c>
      <c r="I950">
        <v>-4.2905532041269998</v>
      </c>
      <c r="J950" s="1">
        <v>1.7822857843412401E-5</v>
      </c>
      <c r="K950">
        <v>2.5309214144340902E-4</v>
      </c>
      <c r="L950" t="s">
        <v>26</v>
      </c>
      <c r="M950" t="s">
        <v>27</v>
      </c>
      <c r="N950">
        <v>91.376921911120206</v>
      </c>
      <c r="O950">
        <v>133.96896282654399</v>
      </c>
      <c r="P950">
        <v>59.432891224552598</v>
      </c>
      <c r="Q950">
        <v>124.164737759277</v>
      </c>
      <c r="R950">
        <v>122.4993379143</v>
      </c>
      <c r="S950">
        <v>155.24281280605399</v>
      </c>
      <c r="T950">
        <v>41.246592440231403</v>
      </c>
      <c r="U950">
        <v>98.497810310734593</v>
      </c>
      <c r="V950">
        <v>41.932256561401097</v>
      </c>
      <c r="W950">
        <v>56.054905585843301</v>
      </c>
    </row>
    <row r="951" spans="1:23" x14ac:dyDescent="0.2">
      <c r="A951" t="s">
        <v>1912</v>
      </c>
      <c r="B951" s="3" t="str">
        <f>HYPERLINK("http://www.ncbi.nlm.nih.gov/gene/97884","B3galnt2")</f>
        <v>B3galnt2</v>
      </c>
      <c r="C951">
        <v>97884</v>
      </c>
      <c r="D951" t="s">
        <v>1913</v>
      </c>
      <c r="E951" s="3" t="str">
        <f>HYPERLINK("http://genome.ucsc.edu/cgi-bin/hgTracks?db=mm10&amp;lastVirtModeType=default&amp;lastVirtModeExtraState=&amp;virtModeType=default&amp;virtMode=0&amp;nonVirtPosition=&amp;position=chr13:13954673-13999068","chr13:13954673-13999068")</f>
        <v>chr13:13954673-13999068</v>
      </c>
      <c r="F951" t="s">
        <v>30</v>
      </c>
      <c r="G951">
        <v>0.72166176727539799</v>
      </c>
      <c r="H951">
        <v>0.16822875959445799</v>
      </c>
      <c r="I951">
        <v>4.2897645385668799</v>
      </c>
      <c r="J951" s="1">
        <v>1.78862649001044E-5</v>
      </c>
      <c r="K951">
        <v>2.53723488641205E-4</v>
      </c>
      <c r="L951" t="s">
        <v>26</v>
      </c>
      <c r="M951" t="s">
        <v>27</v>
      </c>
      <c r="N951">
        <v>110.53787845560601</v>
      </c>
      <c r="O951">
        <v>77.366029376153307</v>
      </c>
      <c r="P951">
        <v>135.41676526519501</v>
      </c>
      <c r="Q951">
        <v>80.178126624824401</v>
      </c>
      <c r="R951">
        <v>75.850983228668895</v>
      </c>
      <c r="S951">
        <v>76.068978274966597</v>
      </c>
      <c r="T951">
        <v>169.56932447650701</v>
      </c>
      <c r="U951">
        <v>124.192891261361</v>
      </c>
      <c r="V951">
        <v>125.06111606031899</v>
      </c>
      <c r="W951">
        <v>122.843729262593</v>
      </c>
    </row>
    <row r="952" spans="1:23" x14ac:dyDescent="0.2">
      <c r="A952" t="s">
        <v>1914</v>
      </c>
      <c r="B952" s="3" t="str">
        <f>HYPERLINK("http://www.ncbi.nlm.nih.gov/gene/110876","Scn2a")</f>
        <v>Scn2a</v>
      </c>
      <c r="C952">
        <v>110876</v>
      </c>
      <c r="D952" t="s">
        <v>1915</v>
      </c>
      <c r="E952" s="3" t="str">
        <f>HYPERLINK("http://genome.ucsc.edu/cgi-bin/hgTracks?db=mm10&amp;lastVirtModeType=default&amp;lastVirtModeExtraState=&amp;virtModeType=default&amp;virtMode=0&amp;nonVirtPosition=&amp;position=chr2:65670444-65767447","chr2:65670444-65767447")</f>
        <v>chr2:65670444-65767447</v>
      </c>
      <c r="F952" t="s">
        <v>30</v>
      </c>
      <c r="G952">
        <v>-0.98680944808200199</v>
      </c>
      <c r="H952">
        <v>0.23009686425654499</v>
      </c>
      <c r="I952">
        <v>-4.2886696925246399</v>
      </c>
      <c r="J952" s="1">
        <v>1.7974644581501799E-5</v>
      </c>
      <c r="K952">
        <v>2.5470737099565099E-4</v>
      </c>
      <c r="L952" t="s">
        <v>26</v>
      </c>
      <c r="M952" t="s">
        <v>27</v>
      </c>
      <c r="N952">
        <v>423.75272945657298</v>
      </c>
      <c r="O952">
        <v>607.69290712732698</v>
      </c>
      <c r="P952">
        <v>285.79759620350802</v>
      </c>
      <c r="Q952">
        <v>796.770133334192</v>
      </c>
      <c r="R952">
        <v>664.07535816699601</v>
      </c>
      <c r="S952">
        <v>362.23322988079298</v>
      </c>
      <c r="T952">
        <v>274.97728293487597</v>
      </c>
      <c r="U952">
        <v>254.80955276037901</v>
      </c>
      <c r="V952">
        <v>241.294388634028</v>
      </c>
      <c r="W952">
        <v>372.10916048474701</v>
      </c>
    </row>
    <row r="953" spans="1:23" x14ac:dyDescent="0.2">
      <c r="A953" t="s">
        <v>1916</v>
      </c>
      <c r="B953" s="3" t="str">
        <f>HYPERLINK("http://www.ncbi.nlm.nih.gov/gene/27967","Cherp")</f>
        <v>Cherp</v>
      </c>
      <c r="C953">
        <v>27967</v>
      </c>
      <c r="D953" t="s">
        <v>1917</v>
      </c>
      <c r="E953" s="3" t="str">
        <f>HYPERLINK("http://genome.ucsc.edu/cgi-bin/hgTracks?db=mm10&amp;lastVirtModeType=default&amp;lastVirtModeExtraState=&amp;virtModeType=default&amp;virtMode=0&amp;nonVirtPosition=&amp;position=chr8:72460482-72475233","chr8:72460482-72475233")</f>
        <v>chr8:72460482-72475233</v>
      </c>
      <c r="F953" t="s">
        <v>25</v>
      </c>
      <c r="G953">
        <v>0.878693536831472</v>
      </c>
      <c r="H953">
        <v>0.204934175722946</v>
      </c>
      <c r="I953">
        <v>4.2876866863796801</v>
      </c>
      <c r="J953" s="1">
        <v>1.8054350505006201E-5</v>
      </c>
      <c r="K953">
        <v>2.5556639282509302E-4</v>
      </c>
      <c r="L953" t="s">
        <v>26</v>
      </c>
      <c r="M953" t="s">
        <v>27</v>
      </c>
      <c r="N953">
        <v>171.707059942884</v>
      </c>
      <c r="O953">
        <v>111.10559988218</v>
      </c>
      <c r="P953">
        <v>217.158154988413</v>
      </c>
      <c r="Q953">
        <v>89.643599906921693</v>
      </c>
      <c r="R953">
        <v>96.710003616552896</v>
      </c>
      <c r="S953">
        <v>146.96319612306499</v>
      </c>
      <c r="T953">
        <v>242.89659992580701</v>
      </c>
      <c r="U953">
        <v>254.80955276037901</v>
      </c>
      <c r="V953">
        <v>201.56909294427899</v>
      </c>
      <c r="W953">
        <v>169.35737432318601</v>
      </c>
    </row>
    <row r="954" spans="1:23" x14ac:dyDescent="0.2">
      <c r="A954" t="s">
        <v>1918</v>
      </c>
      <c r="B954" s="3" t="str">
        <f>HYPERLINK("http://www.ncbi.nlm.nih.gov/gene/338371","Endov")</f>
        <v>Endov</v>
      </c>
      <c r="C954">
        <v>338371</v>
      </c>
      <c r="D954" t="s">
        <v>1919</v>
      </c>
      <c r="E954" s="3" t="str">
        <f>HYPERLINK("http://genome.ucsc.edu/cgi-bin/hgTracks?db=mm10&amp;lastVirtModeType=default&amp;lastVirtModeExtraState=&amp;virtModeType=default&amp;virtMode=0&amp;nonVirtPosition=&amp;position=chr11:119491619-119511465","chr11:119491619-119511465")</f>
        <v>chr11:119491619-119511465</v>
      </c>
      <c r="F954" t="s">
        <v>30</v>
      </c>
      <c r="G954">
        <v>0.73142452684110204</v>
      </c>
      <c r="H954">
        <v>0.17063077862898601</v>
      </c>
      <c r="I954">
        <v>4.2865919778253296</v>
      </c>
      <c r="J954" s="1">
        <v>1.8143509961632502E-5</v>
      </c>
      <c r="K954">
        <v>2.5655727760952503E-4</v>
      </c>
      <c r="L954" t="s">
        <v>26</v>
      </c>
      <c r="M954" t="s">
        <v>27</v>
      </c>
      <c r="N954">
        <v>112.35280912845199</v>
      </c>
      <c r="O954">
        <v>80.836052123266001</v>
      </c>
      <c r="P954">
        <v>135.990376882341</v>
      </c>
      <c r="Q954">
        <v>86.859637176893102</v>
      </c>
      <c r="R954">
        <v>71.299924234948804</v>
      </c>
      <c r="S954">
        <v>84.348594957956195</v>
      </c>
      <c r="T954">
        <v>137.48864146743799</v>
      </c>
      <c r="U954">
        <v>124.192891261361</v>
      </c>
      <c r="V954">
        <v>152.280300144036</v>
      </c>
      <c r="W954">
        <v>129.99967465653</v>
      </c>
    </row>
    <row r="955" spans="1:23" x14ac:dyDescent="0.2">
      <c r="A955" t="s">
        <v>1920</v>
      </c>
      <c r="B955" s="3" t="str">
        <f>HYPERLINK("http://www.ncbi.nlm.nih.gov/gene/234839","Piezo1")</f>
        <v>Piezo1</v>
      </c>
      <c r="C955">
        <v>234839</v>
      </c>
      <c r="D955" t="s">
        <v>1921</v>
      </c>
      <c r="E955" s="3" t="str">
        <f>HYPERLINK("http://genome.ucsc.edu/cgi-bin/hgTracks?db=mm10&amp;lastVirtModeType=default&amp;lastVirtModeExtraState=&amp;virtModeType=default&amp;virtMode=0&amp;nonVirtPosition=&amp;position=chr8:122481697-122551329","chr8:122481697-122551329")</f>
        <v>chr8:122481697-122551329</v>
      </c>
      <c r="F955" t="s">
        <v>25</v>
      </c>
      <c r="G955">
        <v>0.73175821649533201</v>
      </c>
      <c r="H955">
        <v>0.17076484327189101</v>
      </c>
      <c r="I955">
        <v>4.2851807343636299</v>
      </c>
      <c r="J955" s="1">
        <v>1.8259068926896199E-5</v>
      </c>
      <c r="K955">
        <v>2.5791897890302401E-4</v>
      </c>
      <c r="L955" t="s">
        <v>26</v>
      </c>
      <c r="M955" t="s">
        <v>27</v>
      </c>
      <c r="N955">
        <v>292.26717794843199</v>
      </c>
      <c r="O955">
        <v>209.89946791442301</v>
      </c>
      <c r="P955">
        <v>354.04296047393899</v>
      </c>
      <c r="Q955">
        <v>180.40078490585501</v>
      </c>
      <c r="R955">
        <v>188.48969332324199</v>
      </c>
      <c r="S955">
        <v>260.80792551417102</v>
      </c>
      <c r="T955">
        <v>284.14319236603802</v>
      </c>
      <c r="U955">
        <v>428.25134917710699</v>
      </c>
      <c r="V955">
        <v>362.67723657492502</v>
      </c>
      <c r="W955">
        <v>341.10006377768502</v>
      </c>
    </row>
    <row r="956" spans="1:23" x14ac:dyDescent="0.2">
      <c r="A956" t="s">
        <v>1922</v>
      </c>
      <c r="B956" s="3" t="str">
        <f>HYPERLINK("http://www.ncbi.nlm.nih.gov/gene/319601","Zfp653")</f>
        <v>Zfp653</v>
      </c>
      <c r="C956">
        <v>319601</v>
      </c>
      <c r="D956" t="s">
        <v>1923</v>
      </c>
      <c r="E956" s="3" t="str">
        <f>HYPERLINK("http://genome.ucsc.edu/cgi-bin/hgTracks?db=mm10&amp;lastVirtModeType=default&amp;lastVirtModeExtraState=&amp;virtModeType=default&amp;virtMode=0&amp;nonVirtPosition=&amp;position=chr9:22055410-22071376","chr9:22055410-22071376")</f>
        <v>chr9:22055410-22071376</v>
      </c>
      <c r="F956" t="s">
        <v>25</v>
      </c>
      <c r="G956">
        <v>0.88023828294641904</v>
      </c>
      <c r="H956">
        <v>0.205511086695914</v>
      </c>
      <c r="I956">
        <v>4.2831668942944701</v>
      </c>
      <c r="J956" s="1">
        <v>1.8425186014004602E-5</v>
      </c>
      <c r="K956">
        <v>2.5999121803323101E-4</v>
      </c>
      <c r="L956" t="s">
        <v>26</v>
      </c>
      <c r="M956" t="s">
        <v>27</v>
      </c>
      <c r="N956">
        <v>59.408507670088802</v>
      </c>
      <c r="O956">
        <v>38.437791077791097</v>
      </c>
      <c r="P956">
        <v>75.136545114312099</v>
      </c>
      <c r="Q956">
        <v>36.7483080363778</v>
      </c>
      <c r="R956">
        <v>37.166981782047799</v>
      </c>
      <c r="S956">
        <v>41.398083414947799</v>
      </c>
      <c r="T956">
        <v>77.910230164881497</v>
      </c>
      <c r="U956">
        <v>81.367756343650299</v>
      </c>
      <c r="V956">
        <v>72.094055140654604</v>
      </c>
      <c r="W956">
        <v>69.174138808061898</v>
      </c>
    </row>
    <row r="957" spans="1:23" x14ac:dyDescent="0.2">
      <c r="A957" t="s">
        <v>1924</v>
      </c>
      <c r="B957" s="3" t="str">
        <f>HYPERLINK("http://www.ncbi.nlm.nih.gov/gene/320360","Ric3")</f>
        <v>Ric3</v>
      </c>
      <c r="C957">
        <v>320360</v>
      </c>
      <c r="D957" t="s">
        <v>1925</v>
      </c>
      <c r="E957" s="3" t="str">
        <f>HYPERLINK("http://genome.ucsc.edu/cgi-bin/hgTracks?db=mm10&amp;lastVirtModeType=default&amp;lastVirtModeExtraState=&amp;virtModeType=default&amp;virtMode=0&amp;nonVirtPosition=&amp;position=chr7:109034318-109083331","chr7:109034318-109083331")</f>
        <v>chr7:109034318-109083331</v>
      </c>
      <c r="F957" t="s">
        <v>25</v>
      </c>
      <c r="G957">
        <v>-0.64665118233487495</v>
      </c>
      <c r="H957">
        <v>0.15107399805743299</v>
      </c>
      <c r="I957">
        <v>-4.2803605560835303</v>
      </c>
      <c r="J957" s="1">
        <v>1.8659076991777098E-5</v>
      </c>
      <c r="K957">
        <v>2.6292352728805998E-4</v>
      </c>
      <c r="L957" t="s">
        <v>26</v>
      </c>
      <c r="M957" t="s">
        <v>27</v>
      </c>
      <c r="N957">
        <v>247.22465426568101</v>
      </c>
      <c r="O957">
        <v>312.608043706665</v>
      </c>
      <c r="P957">
        <v>198.18711218494201</v>
      </c>
      <c r="Q957">
        <v>344.09779343153798</v>
      </c>
      <c r="R957">
        <v>330.33103196085301</v>
      </c>
      <c r="S957">
        <v>263.39530572760498</v>
      </c>
      <c r="T957">
        <v>206.23296220115699</v>
      </c>
      <c r="U957">
        <v>199.136877367355</v>
      </c>
      <c r="V957">
        <v>175.085562484447</v>
      </c>
      <c r="W957">
        <v>212.29304668681101</v>
      </c>
    </row>
    <row r="958" spans="1:23" x14ac:dyDescent="0.2">
      <c r="A958" t="s">
        <v>1926</v>
      </c>
      <c r="B958" s="3" t="str">
        <f>HYPERLINK("http://www.ncbi.nlm.nih.gov/gene/73174","Tbkbp1")</f>
        <v>Tbkbp1</v>
      </c>
      <c r="C958">
        <v>73174</v>
      </c>
      <c r="D958" t="s">
        <v>1927</v>
      </c>
      <c r="E958" s="3" t="str">
        <f>HYPERLINK("http://genome.ucsc.edu/cgi-bin/hgTracks?db=mm10&amp;lastVirtModeType=default&amp;lastVirtModeExtraState=&amp;virtModeType=default&amp;virtMode=0&amp;nonVirtPosition=&amp;position=chr11:97136170-97149712","chr11:97136170-97149712")</f>
        <v>chr11:97136170-97149712</v>
      </c>
      <c r="F958" t="s">
        <v>25</v>
      </c>
      <c r="G958">
        <v>0.74745791959545604</v>
      </c>
      <c r="H958">
        <v>0.174631404097215</v>
      </c>
      <c r="I958">
        <v>4.2802033429185196</v>
      </c>
      <c r="J958" s="1">
        <v>1.86722630461463E-5</v>
      </c>
      <c r="K958">
        <v>2.6292352728805998E-4</v>
      </c>
      <c r="L958" t="s">
        <v>26</v>
      </c>
      <c r="M958" t="s">
        <v>27</v>
      </c>
      <c r="N958">
        <v>173.32286277681999</v>
      </c>
      <c r="O958">
        <v>122.079558535723</v>
      </c>
      <c r="P958">
        <v>211.755340957643</v>
      </c>
      <c r="Q958">
        <v>104.120206103071</v>
      </c>
      <c r="R958">
        <v>115.67274942372001</v>
      </c>
      <c r="S958">
        <v>146.44572008037801</v>
      </c>
      <c r="T958">
        <v>201.650007485576</v>
      </c>
      <c r="U958">
        <v>246.24452577683701</v>
      </c>
      <c r="V958">
        <v>177.292523356099</v>
      </c>
      <c r="W958">
        <v>221.83430721206099</v>
      </c>
    </row>
    <row r="959" spans="1:23" x14ac:dyDescent="0.2">
      <c r="A959" t="s">
        <v>1928</v>
      </c>
      <c r="B959" s="3" t="str">
        <f>HYPERLINK("http://www.ncbi.nlm.nih.gov/gene/70252","Jpx")</f>
        <v>Jpx</v>
      </c>
      <c r="C959">
        <v>70252</v>
      </c>
      <c r="D959" t="s">
        <v>1929</v>
      </c>
      <c r="E959" s="3" t="str">
        <f>HYPERLINK("http://genome.ucsc.edu/cgi-bin/hgTracks?db=mm10&amp;lastVirtModeType=default&amp;lastVirtModeExtraState=&amp;virtModeType=default&amp;virtMode=0&amp;nonVirtPosition=&amp;position=chrX:103493557-103506425","chrX:103493557-103506425")</f>
        <v>chrX:103493557-103506425</v>
      </c>
      <c r="F959" t="s">
        <v>30</v>
      </c>
      <c r="G959">
        <v>1.12068954863597</v>
      </c>
      <c r="H959">
        <v>0.26192102353821101</v>
      </c>
      <c r="I959">
        <v>4.2787307925759999</v>
      </c>
      <c r="J959" s="1">
        <v>1.8796203024402301E-5</v>
      </c>
      <c r="K959">
        <v>2.6439070871824802E-4</v>
      </c>
      <c r="L959" t="s">
        <v>26</v>
      </c>
      <c r="M959" t="s">
        <v>27</v>
      </c>
      <c r="N959">
        <v>45.962598914508199</v>
      </c>
      <c r="O959">
        <v>24.935631420767901</v>
      </c>
      <c r="P959">
        <v>61.732824534813403</v>
      </c>
      <c r="Q959">
        <v>22.828494386234699</v>
      </c>
      <c r="R959">
        <v>17.824981058737201</v>
      </c>
      <c r="S959">
        <v>34.153418817331897</v>
      </c>
      <c r="T959">
        <v>73.327275449300203</v>
      </c>
      <c r="U959">
        <v>62.096445630680499</v>
      </c>
      <c r="V959">
        <v>56.645329039085702</v>
      </c>
      <c r="W959">
        <v>54.862248020187003</v>
      </c>
    </row>
    <row r="960" spans="1:23" x14ac:dyDescent="0.2">
      <c r="A960" t="s">
        <v>1930</v>
      </c>
      <c r="B960" s="3" t="str">
        <f>HYPERLINK("http://www.ncbi.nlm.nih.gov/gene/65086","Lpar3")</f>
        <v>Lpar3</v>
      </c>
      <c r="C960">
        <v>65086</v>
      </c>
      <c r="D960" t="s">
        <v>1931</v>
      </c>
      <c r="E960" s="3" t="str">
        <f>HYPERLINK("http://genome.ucsc.edu/cgi-bin/hgTracks?db=mm10&amp;lastVirtModeType=default&amp;lastVirtModeExtraState=&amp;virtModeType=default&amp;virtMode=0&amp;nonVirtPosition=&amp;position=chr3:146220960-146286214","chr3:146220960-146286214")</f>
        <v>chr3:146220960-146286214</v>
      </c>
      <c r="F960" t="s">
        <v>30</v>
      </c>
      <c r="G960">
        <v>-1.6690455636375601</v>
      </c>
      <c r="H960">
        <v>0.39018202030633398</v>
      </c>
      <c r="I960">
        <v>-4.2776075697367704</v>
      </c>
      <c r="J960" s="1">
        <v>1.88912676026552E-5</v>
      </c>
      <c r="K960">
        <v>2.6544907079449799E-4</v>
      </c>
      <c r="L960" t="s">
        <v>26</v>
      </c>
      <c r="M960" t="s">
        <v>27</v>
      </c>
      <c r="N960">
        <v>19.842348013894402</v>
      </c>
      <c r="O960">
        <v>37.646289381412899</v>
      </c>
      <c r="P960">
        <v>6.48939198825546</v>
      </c>
      <c r="Q960">
        <v>67.928690612698404</v>
      </c>
      <c r="R960">
        <v>17.066471226450499</v>
      </c>
      <c r="S960">
        <v>27.943706305089801</v>
      </c>
      <c r="T960">
        <v>13.7488641467438</v>
      </c>
      <c r="U960">
        <v>6.4237702376566101</v>
      </c>
      <c r="V960">
        <v>2.2069608716526901</v>
      </c>
      <c r="W960">
        <v>3.57797269696872</v>
      </c>
    </row>
    <row r="961" spans="1:23" x14ac:dyDescent="0.2">
      <c r="A961" t="s">
        <v>1932</v>
      </c>
      <c r="B961" s="3" t="str">
        <f>HYPERLINK("http://www.ncbi.nlm.nih.gov/gene/11732","Ank")</f>
        <v>Ank</v>
      </c>
      <c r="C961">
        <v>11732</v>
      </c>
      <c r="D961" t="s">
        <v>1933</v>
      </c>
      <c r="E961" s="3" t="str">
        <f>HYPERLINK("http://genome.ucsc.edu/cgi-bin/hgTracks?db=mm10&amp;lastVirtModeType=default&amp;lastVirtModeExtraState=&amp;virtModeType=default&amp;virtMode=0&amp;nonVirtPosition=&amp;position=chr15:27466676-27594907","chr15:27466676-27594907")</f>
        <v>chr15:27466676-27594907</v>
      </c>
      <c r="F961" t="s">
        <v>30</v>
      </c>
      <c r="G961">
        <v>-0.723805302972506</v>
      </c>
      <c r="H961">
        <v>0.16923537492285601</v>
      </c>
      <c r="I961">
        <v>-4.2769149375681303</v>
      </c>
      <c r="J961" s="1">
        <v>1.89501169905853E-5</v>
      </c>
      <c r="K961">
        <v>2.6599687276826901E-4</v>
      </c>
      <c r="L961" t="s">
        <v>26</v>
      </c>
      <c r="M961" t="s">
        <v>27</v>
      </c>
      <c r="N961">
        <v>409.552010404199</v>
      </c>
      <c r="O961">
        <v>538.63383311371899</v>
      </c>
      <c r="P961">
        <v>312.74064337205903</v>
      </c>
      <c r="Q961">
        <v>662.02633720080701</v>
      </c>
      <c r="R961">
        <v>469.51758618546103</v>
      </c>
      <c r="S961">
        <v>484.357575954889</v>
      </c>
      <c r="T961">
        <v>229.147735779063</v>
      </c>
      <c r="U961">
        <v>368.29616029231198</v>
      </c>
      <c r="V961">
        <v>330.30847712401902</v>
      </c>
      <c r="W961">
        <v>323.21020029284102</v>
      </c>
    </row>
    <row r="962" spans="1:23" x14ac:dyDescent="0.2">
      <c r="A962" t="s">
        <v>1934</v>
      </c>
      <c r="B962" s="3" t="str">
        <f>HYPERLINK("http://www.ncbi.nlm.nih.gov/gene/56068","Ammecr1")</f>
        <v>Ammecr1</v>
      </c>
      <c r="C962">
        <v>56068</v>
      </c>
      <c r="D962" t="s">
        <v>1935</v>
      </c>
      <c r="E962" s="3" t="str">
        <f>HYPERLINK("http://genome.ucsc.edu/cgi-bin/hgTracks?db=mm10&amp;lastVirtModeType=default&amp;lastVirtModeExtraState=&amp;virtModeType=default&amp;virtMode=0&amp;nonVirtPosition=&amp;position=chrX:142853473-142966728","chrX:142853473-142966728")</f>
        <v>chrX:142853473-142966728</v>
      </c>
      <c r="F962" t="s">
        <v>25</v>
      </c>
      <c r="G962">
        <v>0.72955077093813403</v>
      </c>
      <c r="H962">
        <v>0.170625824961218</v>
      </c>
      <c r="I962">
        <v>4.2757347611591499</v>
      </c>
      <c r="J962" s="1">
        <v>1.9050792948976499E-5</v>
      </c>
      <c r="K962">
        <v>2.6698949927433501E-4</v>
      </c>
      <c r="L962" t="s">
        <v>26</v>
      </c>
      <c r="M962" t="s">
        <v>27</v>
      </c>
      <c r="N962">
        <v>143.35539799454801</v>
      </c>
      <c r="O962">
        <v>100.29705352985999</v>
      </c>
      <c r="P962">
        <v>175.649156343063</v>
      </c>
      <c r="Q962">
        <v>86.302844630887407</v>
      </c>
      <c r="R962">
        <v>101.261062610273</v>
      </c>
      <c r="S962">
        <v>113.32725334842</v>
      </c>
      <c r="T962">
        <v>215.39887163231899</v>
      </c>
      <c r="U962">
        <v>171.30053967084299</v>
      </c>
      <c r="V962">
        <v>169.20033349337299</v>
      </c>
      <c r="W962">
        <v>146.69688057571801</v>
      </c>
    </row>
    <row r="963" spans="1:23" x14ac:dyDescent="0.2">
      <c r="A963" t="s">
        <v>1936</v>
      </c>
      <c r="B963" s="3" t="str">
        <f>HYPERLINK("http://www.ncbi.nlm.nih.gov/gene/19696","Rel")</f>
        <v>Rel</v>
      </c>
      <c r="C963">
        <v>19696</v>
      </c>
      <c r="D963" t="s">
        <v>1937</v>
      </c>
      <c r="E963" s="3" t="str">
        <f>HYPERLINK("http://genome.ucsc.edu/cgi-bin/hgTracks?db=mm10&amp;lastVirtModeType=default&amp;lastVirtModeExtraState=&amp;virtModeType=default&amp;virtMode=0&amp;nonVirtPosition=&amp;position=chr11:23741728-23770970","chr11:23741728-23770970")</f>
        <v>chr11:23741728-23770970</v>
      </c>
      <c r="F963" t="s">
        <v>25</v>
      </c>
      <c r="G963">
        <v>0.87243940830033595</v>
      </c>
      <c r="H963">
        <v>0.204049856147861</v>
      </c>
      <c r="I963">
        <v>4.2756188353700102</v>
      </c>
      <c r="J963" s="1">
        <v>1.9060709529255801E-5</v>
      </c>
      <c r="K963">
        <v>2.6698949927433501E-4</v>
      </c>
      <c r="L963" t="s">
        <v>26</v>
      </c>
      <c r="M963" t="s">
        <v>27</v>
      </c>
      <c r="N963">
        <v>86.565083830347703</v>
      </c>
      <c r="O963">
        <v>57.895843712248798</v>
      </c>
      <c r="P963">
        <v>108.067013918922</v>
      </c>
      <c r="Q963">
        <v>57.906424784595401</v>
      </c>
      <c r="R963">
        <v>50.0616489309215</v>
      </c>
      <c r="S963">
        <v>65.719457421229606</v>
      </c>
      <c r="T963">
        <v>100.825003742788</v>
      </c>
      <c r="U963">
        <v>96.356553564849094</v>
      </c>
      <c r="V963">
        <v>136.09592041858301</v>
      </c>
      <c r="W963">
        <v>98.990577949467905</v>
      </c>
    </row>
    <row r="964" spans="1:23" x14ac:dyDescent="0.2">
      <c r="A964" t="s">
        <v>1938</v>
      </c>
      <c r="B964" s="3" t="str">
        <f>HYPERLINK("http://www.ncbi.nlm.nih.gov/gene/20112","Rps6ka2")</f>
        <v>Rps6ka2</v>
      </c>
      <c r="C964">
        <v>20112</v>
      </c>
      <c r="D964" t="s">
        <v>1939</v>
      </c>
      <c r="E964" s="3" t="str">
        <f>HYPERLINK("http://genome.ucsc.edu/cgi-bin/hgTracks?db=mm10&amp;lastVirtModeType=default&amp;lastVirtModeExtraState=&amp;virtModeType=default&amp;virtMode=0&amp;nonVirtPosition=&amp;position=chr17:7170114-7303316","chr17:7170114-7303316")</f>
        <v>chr17:7170114-7303316</v>
      </c>
      <c r="F964" t="s">
        <v>30</v>
      </c>
      <c r="G964">
        <v>0.93986774635908399</v>
      </c>
      <c r="H964">
        <v>0.219907756651298</v>
      </c>
      <c r="I964">
        <v>4.2739181221761404</v>
      </c>
      <c r="J964" s="1">
        <v>1.9206759116461299E-5</v>
      </c>
      <c r="K964">
        <v>2.6864707136144801E-4</v>
      </c>
      <c r="L964" t="s">
        <v>26</v>
      </c>
      <c r="M964" t="s">
        <v>27</v>
      </c>
      <c r="N964">
        <v>115.828541978281</v>
      </c>
      <c r="O964">
        <v>73.852053420039894</v>
      </c>
      <c r="P964">
        <v>147.310908396961</v>
      </c>
      <c r="Q964">
        <v>66.258312974681303</v>
      </c>
      <c r="R964">
        <v>80.781297138532395</v>
      </c>
      <c r="S964">
        <v>74.516550146906098</v>
      </c>
      <c r="T964">
        <v>114.573867889532</v>
      </c>
      <c r="U964">
        <v>130.61666149901799</v>
      </c>
      <c r="V964">
        <v>125.796769684203</v>
      </c>
      <c r="W964">
        <v>218.25633451509199</v>
      </c>
    </row>
    <row r="965" spans="1:23" x14ac:dyDescent="0.2">
      <c r="A965" t="s">
        <v>1940</v>
      </c>
      <c r="B965" s="3" t="str">
        <f>HYPERLINK("http://www.ncbi.nlm.nih.gov/gene/27226","Pla2g7")</f>
        <v>Pla2g7</v>
      </c>
      <c r="C965">
        <v>27226</v>
      </c>
      <c r="D965" t="s">
        <v>1941</v>
      </c>
      <c r="E965" s="3" t="str">
        <f>HYPERLINK("http://genome.ucsc.edu/cgi-bin/hgTracks?db=mm10&amp;lastVirtModeType=default&amp;lastVirtModeExtraState=&amp;virtModeType=default&amp;virtMode=0&amp;nonVirtPosition=&amp;position=chr17:43568450-43612201","chr17:43568450-43612201")</f>
        <v>chr17:43568450-43612201</v>
      </c>
      <c r="F965" t="s">
        <v>30</v>
      </c>
      <c r="G965">
        <v>-1.1732635395941899</v>
      </c>
      <c r="H965">
        <v>0.27452632980744301</v>
      </c>
      <c r="I965">
        <v>-4.2737741782987797</v>
      </c>
      <c r="J965" s="1">
        <v>1.9219169170656901E-5</v>
      </c>
      <c r="K965">
        <v>2.6864707136144801E-4</v>
      </c>
      <c r="L965" t="s">
        <v>26</v>
      </c>
      <c r="M965" t="s">
        <v>27</v>
      </c>
      <c r="N965">
        <v>189.58317500512101</v>
      </c>
      <c r="O965">
        <v>290.90290536569302</v>
      </c>
      <c r="P965">
        <v>113.593377234692</v>
      </c>
      <c r="Q965">
        <v>413.14006913624797</v>
      </c>
      <c r="R965">
        <v>319.33263939269602</v>
      </c>
      <c r="S965">
        <v>140.23600756813599</v>
      </c>
      <c r="T965">
        <v>123.739777320694</v>
      </c>
      <c r="U965">
        <v>83.509013089535898</v>
      </c>
      <c r="V965">
        <v>105.198468215445</v>
      </c>
      <c r="W965">
        <v>141.92625031309299</v>
      </c>
    </row>
    <row r="966" spans="1:23" x14ac:dyDescent="0.2">
      <c r="A966" t="s">
        <v>1942</v>
      </c>
      <c r="B966" s="3" t="str">
        <f>HYPERLINK("http://www.ncbi.nlm.nih.gov/gene/17261","Mef2d")</f>
        <v>Mef2d</v>
      </c>
      <c r="C966">
        <v>17261</v>
      </c>
      <c r="D966" t="s">
        <v>1943</v>
      </c>
      <c r="E966" s="3" t="str">
        <f>HYPERLINK("http://genome.ucsc.edu/cgi-bin/hgTracks?db=mm10&amp;lastVirtModeType=default&amp;lastVirtModeExtraState=&amp;virtModeType=default&amp;virtMode=0&amp;nonVirtPosition=&amp;position=chr3:88142371-88172091","chr3:88142371-88172091")</f>
        <v>chr3:88142371-88172091</v>
      </c>
      <c r="F966" t="s">
        <v>30</v>
      </c>
      <c r="G966">
        <v>0.70581376436212895</v>
      </c>
      <c r="H966">
        <v>0.16520090961068201</v>
      </c>
      <c r="I966">
        <v>4.2724568891628696</v>
      </c>
      <c r="J966" s="1">
        <v>1.93330939284231E-5</v>
      </c>
      <c r="K966">
        <v>2.6995772762827299E-4</v>
      </c>
      <c r="L966" t="s">
        <v>26</v>
      </c>
      <c r="M966" t="s">
        <v>27</v>
      </c>
      <c r="N966">
        <v>345.644601714072</v>
      </c>
      <c r="O966">
        <v>251.08281219288</v>
      </c>
      <c r="P966">
        <v>416.56594385496697</v>
      </c>
      <c r="Q966">
        <v>204.34286438410101</v>
      </c>
      <c r="R966">
        <v>227.552949686007</v>
      </c>
      <c r="S966">
        <v>321.35262250853202</v>
      </c>
      <c r="T966">
        <v>375.80228667766397</v>
      </c>
      <c r="U966">
        <v>447.52265989007702</v>
      </c>
      <c r="V966">
        <v>436.24259896334797</v>
      </c>
      <c r="W966">
        <v>406.69622988877802</v>
      </c>
    </row>
    <row r="967" spans="1:23" x14ac:dyDescent="0.2">
      <c r="A967" t="s">
        <v>1944</v>
      </c>
      <c r="B967" s="3" t="str">
        <f>HYPERLINK("http://www.ncbi.nlm.nih.gov/gene/75974","Dock11")</f>
        <v>Dock11</v>
      </c>
      <c r="C967">
        <v>75974</v>
      </c>
      <c r="D967" t="s">
        <v>1945</v>
      </c>
      <c r="E967" s="3" t="str">
        <f>HYPERLINK("http://genome.ucsc.edu/cgi-bin/hgTracks?db=mm10&amp;lastVirtModeType=default&amp;lastVirtModeExtraState=&amp;virtModeType=default&amp;virtMode=0&amp;nonVirtPosition=&amp;position=chrX:35888831-36076562","chrX:35888831-36076562")</f>
        <v>chrX:35888831-36076562</v>
      </c>
      <c r="F967" t="s">
        <v>30</v>
      </c>
      <c r="G967">
        <v>-0.631335645648195</v>
      </c>
      <c r="H967">
        <v>0.14778288437078499</v>
      </c>
      <c r="I967">
        <v>-4.2720484739232898</v>
      </c>
      <c r="J967" s="1">
        <v>1.9368545832377399E-5</v>
      </c>
      <c r="K967">
        <v>2.7017103879308901E-4</v>
      </c>
      <c r="L967" t="s">
        <v>26</v>
      </c>
      <c r="M967" t="s">
        <v>27</v>
      </c>
      <c r="N967">
        <v>261.01714414117902</v>
      </c>
      <c r="O967">
        <v>330.15913561027401</v>
      </c>
      <c r="P967">
        <v>209.16065053935699</v>
      </c>
      <c r="Q967">
        <v>378.61893128389301</v>
      </c>
      <c r="R967">
        <v>296.19808950795198</v>
      </c>
      <c r="S967">
        <v>315.66038603897698</v>
      </c>
      <c r="T967">
        <v>206.23296220115699</v>
      </c>
      <c r="U967">
        <v>199.136877367355</v>
      </c>
      <c r="V967">
        <v>192.741249457668</v>
      </c>
      <c r="W967">
        <v>238.531513131248</v>
      </c>
    </row>
    <row r="968" spans="1:23" x14ac:dyDescent="0.2">
      <c r="A968" t="s">
        <v>1946</v>
      </c>
      <c r="B968" s="3" t="str">
        <f>HYPERLINK("http://www.ncbi.nlm.nih.gov/gene/210106","Papd7")</f>
        <v>Papd7</v>
      </c>
      <c r="C968">
        <v>210106</v>
      </c>
      <c r="D968" t="s">
        <v>1947</v>
      </c>
      <c r="E968" s="3" t="str">
        <f>HYPERLINK("http://genome.ucsc.edu/cgi-bin/hgTracks?db=mm10&amp;lastVirtModeType=default&amp;lastVirtModeExtraState=&amp;virtModeType=default&amp;virtMode=0&amp;nonVirtPosition=&amp;position=chr13:69497958-69533864","chr13:69497958-69533864")</f>
        <v>chr13:69497958-69533864</v>
      </c>
      <c r="F968" t="s">
        <v>25</v>
      </c>
      <c r="G968">
        <v>0.56726189821829398</v>
      </c>
      <c r="H968">
        <v>0.132792110196017</v>
      </c>
      <c r="I968">
        <v>4.2718042312976801</v>
      </c>
      <c r="J968" s="1">
        <v>1.93897765417034E-5</v>
      </c>
      <c r="K968">
        <v>2.7018574159203901E-4</v>
      </c>
      <c r="L968" t="s">
        <v>26</v>
      </c>
      <c r="M968" t="s">
        <v>27</v>
      </c>
      <c r="N968">
        <v>274.41849790350602</v>
      </c>
      <c r="O968">
        <v>212.97045944123201</v>
      </c>
      <c r="P968">
        <v>320.50452675021199</v>
      </c>
      <c r="Q968">
        <v>193.76380600999201</v>
      </c>
      <c r="R968">
        <v>205.55616454969299</v>
      </c>
      <c r="S968">
        <v>239.59140776401</v>
      </c>
      <c r="T968">
        <v>348.304558384176</v>
      </c>
      <c r="U968">
        <v>284.787147202776</v>
      </c>
      <c r="V968">
        <v>328.10151625236699</v>
      </c>
      <c r="W968">
        <v>320.82488516152898</v>
      </c>
    </row>
    <row r="969" spans="1:23" x14ac:dyDescent="0.2">
      <c r="A969" t="s">
        <v>1948</v>
      </c>
      <c r="B969" s="3" t="str">
        <f>HYPERLINK("http://www.ncbi.nlm.nih.gov/gene/27981","Rsrp1")</f>
        <v>Rsrp1</v>
      </c>
      <c r="C969">
        <v>27981</v>
      </c>
      <c r="D969" t="s">
        <v>1949</v>
      </c>
      <c r="E969" s="3" t="str">
        <f>HYPERLINK("http://genome.ucsc.edu/cgi-bin/hgTracks?db=mm10&amp;lastVirtModeType=default&amp;lastVirtModeExtraState=&amp;virtModeType=default&amp;virtMode=0&amp;nonVirtPosition=&amp;position=chr4:134923624-134927370","chr4:134923624-134927370")</f>
        <v>chr4:134923624-134927370</v>
      </c>
      <c r="F969" t="s">
        <v>30</v>
      </c>
      <c r="G969">
        <v>0.67137247244378895</v>
      </c>
      <c r="H969">
        <v>0.15733819888959699</v>
      </c>
      <c r="I969">
        <v>4.26706595843826</v>
      </c>
      <c r="J969" s="1">
        <v>1.98060614912194E-5</v>
      </c>
      <c r="K969">
        <v>2.7540852033472701E-4</v>
      </c>
      <c r="L969" t="s">
        <v>26</v>
      </c>
      <c r="M969" t="s">
        <v>27</v>
      </c>
      <c r="N969">
        <v>518.80618423734597</v>
      </c>
      <c r="O969">
        <v>383.46790151302503</v>
      </c>
      <c r="P969">
        <v>620.30989628058705</v>
      </c>
      <c r="Q969">
        <v>355.79043689765803</v>
      </c>
      <c r="R969">
        <v>325.77997296713301</v>
      </c>
      <c r="S969">
        <v>468.83329467428399</v>
      </c>
      <c r="T969">
        <v>618.69888660347101</v>
      </c>
      <c r="U969">
        <v>520.32538925018503</v>
      </c>
      <c r="V969">
        <v>638.54734553151195</v>
      </c>
      <c r="W969">
        <v>703.66796373718103</v>
      </c>
    </row>
    <row r="970" spans="1:23" x14ac:dyDescent="0.2">
      <c r="A970" t="s">
        <v>1950</v>
      </c>
      <c r="B970" s="3" t="str">
        <f>HYPERLINK("http://www.ncbi.nlm.nih.gov/gene/15481","Hspa8")</f>
        <v>Hspa8</v>
      </c>
      <c r="C970">
        <v>15481</v>
      </c>
      <c r="D970" t="s">
        <v>1951</v>
      </c>
      <c r="E970" s="3" t="str">
        <f>HYPERLINK("http://genome.ucsc.edu/cgi-bin/hgTracks?db=mm10&amp;lastVirtModeType=default&amp;lastVirtModeExtraState=&amp;virtModeType=default&amp;virtMode=0&amp;nonVirtPosition=&amp;position=chr9:40801272-40805199","chr9:40801272-40805199")</f>
        <v>chr9:40801272-40805199</v>
      </c>
      <c r="F970" t="s">
        <v>30</v>
      </c>
      <c r="G970">
        <v>-0.55407221886632396</v>
      </c>
      <c r="H970">
        <v>0.12984917773236401</v>
      </c>
      <c r="I970">
        <v>-4.2670444937921603</v>
      </c>
      <c r="J970" s="1">
        <v>1.9807966508328701E-5</v>
      </c>
      <c r="K970">
        <v>2.7540852033472701E-4</v>
      </c>
      <c r="L970" t="s">
        <v>26</v>
      </c>
      <c r="M970" t="s">
        <v>27</v>
      </c>
      <c r="N970">
        <v>1208.7364264507</v>
      </c>
      <c r="O970">
        <v>1489.40061589421</v>
      </c>
      <c r="P970">
        <v>998.23828436807003</v>
      </c>
      <c r="Q970">
        <v>1654.2306541830101</v>
      </c>
      <c r="R970">
        <v>1543.5675087034101</v>
      </c>
      <c r="S970">
        <v>1270.40368479621</v>
      </c>
      <c r="T970">
        <v>893.67616953834602</v>
      </c>
      <c r="U970">
        <v>1029.9444947709401</v>
      </c>
      <c r="V970">
        <v>1096.1238995875001</v>
      </c>
      <c r="W970">
        <v>973.20857357549198</v>
      </c>
    </row>
    <row r="971" spans="1:23" x14ac:dyDescent="0.2">
      <c r="A971" t="s">
        <v>1952</v>
      </c>
      <c r="B971" s="3" t="str">
        <f>HYPERLINK("http://www.ncbi.nlm.nih.gov/gene/71816","Rnf180")</f>
        <v>Rnf180</v>
      </c>
      <c r="C971">
        <v>71816</v>
      </c>
      <c r="D971" t="s">
        <v>1953</v>
      </c>
      <c r="E971" s="3" t="str">
        <f>HYPERLINK("http://genome.ucsc.edu/cgi-bin/hgTracks?db=mm10&amp;lastVirtModeType=default&amp;lastVirtModeExtraState=&amp;virtModeType=default&amp;virtMode=0&amp;nonVirtPosition=&amp;position=chr13:105147493-105293014","chr13:105147493-105293014")</f>
        <v>chr13:105147493-105293014</v>
      </c>
      <c r="F971" t="s">
        <v>25</v>
      </c>
      <c r="G971">
        <v>-0.75810461067031598</v>
      </c>
      <c r="H971">
        <v>0.177673626525094</v>
      </c>
      <c r="I971">
        <v>-4.2668381655576901</v>
      </c>
      <c r="J971" s="1">
        <v>1.9826287327509299E-5</v>
      </c>
      <c r="K971">
        <v>2.7540852033472701E-4</v>
      </c>
      <c r="L971" t="s">
        <v>26</v>
      </c>
      <c r="M971" t="s">
        <v>27</v>
      </c>
      <c r="N971">
        <v>560.17475143101103</v>
      </c>
      <c r="O971">
        <v>742.08560258275804</v>
      </c>
      <c r="P971">
        <v>423.74161306720202</v>
      </c>
      <c r="Q971">
        <v>940.97940274967505</v>
      </c>
      <c r="R971">
        <v>681.900339225734</v>
      </c>
      <c r="S971">
        <v>603.37706577286394</v>
      </c>
      <c r="T971">
        <v>421.63183383347598</v>
      </c>
      <c r="U971">
        <v>334.03605235814302</v>
      </c>
      <c r="V971">
        <v>488.474006259129</v>
      </c>
      <c r="W971">
        <v>450.82455981805902</v>
      </c>
    </row>
    <row r="972" spans="1:23" x14ac:dyDescent="0.2">
      <c r="A972" t="s">
        <v>1954</v>
      </c>
      <c r="B972" s="3" t="str">
        <f>HYPERLINK("http://www.ncbi.nlm.nih.gov/gene/13528","Dtnb")</f>
        <v>Dtnb</v>
      </c>
      <c r="C972">
        <v>13528</v>
      </c>
      <c r="D972" t="s">
        <v>1955</v>
      </c>
      <c r="E972" s="3" t="str">
        <f>HYPERLINK("http://genome.ucsc.edu/cgi-bin/hgTracks?db=mm10&amp;lastVirtModeType=default&amp;lastVirtModeExtraState=&amp;virtModeType=default&amp;virtMode=0&amp;nonVirtPosition=&amp;position=chr12:3572390-3781398","chr12:3572390-3781398")</f>
        <v>chr12:3572390-3781398</v>
      </c>
      <c r="F972" t="s">
        <v>30</v>
      </c>
      <c r="G972">
        <v>0.58876366517758505</v>
      </c>
      <c r="H972">
        <v>0.13802813465914801</v>
      </c>
      <c r="I972">
        <v>4.2655337379694496</v>
      </c>
      <c r="J972" s="1">
        <v>1.99424873981232E-5</v>
      </c>
      <c r="K972">
        <v>2.7635456113762099E-4</v>
      </c>
      <c r="L972" t="s">
        <v>26</v>
      </c>
      <c r="M972" t="s">
        <v>27</v>
      </c>
      <c r="N972">
        <v>188.55973034079099</v>
      </c>
      <c r="O972">
        <v>143.72977904909001</v>
      </c>
      <c r="P972">
        <v>222.182193809567</v>
      </c>
      <c r="Q972">
        <v>145.32285450749399</v>
      </c>
      <c r="R972">
        <v>151.32271154119499</v>
      </c>
      <c r="S972">
        <v>134.54377109858001</v>
      </c>
      <c r="T972">
        <v>233.73069049464399</v>
      </c>
      <c r="U972">
        <v>239.82075553918</v>
      </c>
      <c r="V972">
        <v>214.810858174195</v>
      </c>
      <c r="W972">
        <v>200.36647103024799</v>
      </c>
    </row>
    <row r="973" spans="1:23" x14ac:dyDescent="0.2">
      <c r="A973" t="s">
        <v>1956</v>
      </c>
      <c r="B973" s="3" t="str">
        <f>HYPERLINK("http://www.ncbi.nlm.nih.gov/gene/207740","Ubald1")</f>
        <v>Ubald1</v>
      </c>
      <c r="C973">
        <v>207740</v>
      </c>
      <c r="D973" t="s">
        <v>1957</v>
      </c>
      <c r="E973" s="3" t="str">
        <f>HYPERLINK("http://genome.ucsc.edu/cgi-bin/hgTracks?db=mm10&amp;lastVirtModeType=default&amp;lastVirtModeExtraState=&amp;virtModeType=default&amp;virtMode=0&amp;nonVirtPosition=&amp;position=chr16:4874778-4879851","chr16:4874778-4879851")</f>
        <v>chr16:4874778-4879851</v>
      </c>
      <c r="F973" t="s">
        <v>25</v>
      </c>
      <c r="G973">
        <v>1.03599306489365</v>
      </c>
      <c r="H973">
        <v>0.24288132897144099</v>
      </c>
      <c r="I973">
        <v>4.2654290030480899</v>
      </c>
      <c r="J973" s="1">
        <v>1.9951845391387502E-5</v>
      </c>
      <c r="K973">
        <v>2.7635456113762099E-4</v>
      </c>
      <c r="L973" t="s">
        <v>26</v>
      </c>
      <c r="M973" t="s">
        <v>27</v>
      </c>
      <c r="N973">
        <v>87.625999877498799</v>
      </c>
      <c r="O973">
        <v>52.325632648202202</v>
      </c>
      <c r="P973">
        <v>114.101275299471</v>
      </c>
      <c r="Q973">
        <v>47.8841589564923</v>
      </c>
      <c r="R973">
        <v>42.855805524197898</v>
      </c>
      <c r="S973">
        <v>66.2369334639165</v>
      </c>
      <c r="T973">
        <v>73.327275449300203</v>
      </c>
      <c r="U973">
        <v>167.018026179072</v>
      </c>
      <c r="V973">
        <v>120.647194317014</v>
      </c>
      <c r="W973">
        <v>95.412605252499205</v>
      </c>
    </row>
    <row r="974" spans="1:23" x14ac:dyDescent="0.2">
      <c r="A974" t="s">
        <v>1958</v>
      </c>
      <c r="B974" s="3" t="str">
        <f>HYPERLINK("http://www.ncbi.nlm.nih.gov/gene/227485","Cdh19")</f>
        <v>Cdh19</v>
      </c>
      <c r="C974">
        <v>227485</v>
      </c>
      <c r="D974" t="s">
        <v>1959</v>
      </c>
      <c r="E974" s="3" t="str">
        <f>HYPERLINK("http://genome.ucsc.edu/cgi-bin/hgTracks?db=mm10&amp;lastVirtModeType=default&amp;lastVirtModeExtraState=&amp;virtModeType=default&amp;virtMode=0&amp;nonVirtPosition=&amp;position=chr1:110889194-110977372","chr1:110889194-110977372")</f>
        <v>chr1:110889194-110977372</v>
      </c>
      <c r="F974" t="s">
        <v>25</v>
      </c>
      <c r="G974">
        <v>-0.79871748471702397</v>
      </c>
      <c r="H974">
        <v>0.187257901691958</v>
      </c>
      <c r="I974">
        <v>-4.2653339458589299</v>
      </c>
      <c r="J974" s="1">
        <v>1.9960342305679999E-5</v>
      </c>
      <c r="K974">
        <v>2.7635456113762099E-4</v>
      </c>
      <c r="L974" t="s">
        <v>26</v>
      </c>
      <c r="M974" t="s">
        <v>27</v>
      </c>
      <c r="N974">
        <v>462.12762027960702</v>
      </c>
      <c r="O974">
        <v>624.28320395535798</v>
      </c>
      <c r="P974">
        <v>340.51093252279401</v>
      </c>
      <c r="Q974">
        <v>739.42050109560296</v>
      </c>
      <c r="R974">
        <v>486.58405741191098</v>
      </c>
      <c r="S974">
        <v>646.84505335855999</v>
      </c>
      <c r="T974">
        <v>274.97728293487597</v>
      </c>
      <c r="U974">
        <v>289.069660694547</v>
      </c>
      <c r="V974">
        <v>441.39217433053801</v>
      </c>
      <c r="W974">
        <v>356.60461213121602</v>
      </c>
    </row>
    <row r="975" spans="1:23" x14ac:dyDescent="0.2">
      <c r="A975" t="s">
        <v>1960</v>
      </c>
      <c r="B975" s="3" t="str">
        <f>HYPERLINK("http://www.ncbi.nlm.nih.gov/gene/12531","Cdc25b")</f>
        <v>Cdc25b</v>
      </c>
      <c r="C975">
        <v>12531</v>
      </c>
      <c r="D975" t="s">
        <v>1961</v>
      </c>
      <c r="E975" s="3" t="str">
        <f>HYPERLINK("http://genome.ucsc.edu/cgi-bin/hgTracks?db=mm10&amp;lastVirtModeType=default&amp;lastVirtModeExtraState=&amp;virtModeType=default&amp;virtMode=0&amp;nonVirtPosition=&amp;position=chr2:131186947-131198511","chr2:131186947-131198511")</f>
        <v>chr2:131186947-131198511</v>
      </c>
      <c r="F975" t="s">
        <v>30</v>
      </c>
      <c r="G975">
        <v>0.98573077334518899</v>
      </c>
      <c r="H975">
        <v>0.23111289200277799</v>
      </c>
      <c r="I975">
        <v>4.2651483645202202</v>
      </c>
      <c r="J975" s="1">
        <v>1.9976940869331399E-5</v>
      </c>
      <c r="K975">
        <v>2.7635456113762099E-4</v>
      </c>
      <c r="L975" t="s">
        <v>26</v>
      </c>
      <c r="M975" t="s">
        <v>27</v>
      </c>
      <c r="N975">
        <v>186.04881641723901</v>
      </c>
      <c r="O975">
        <v>112.466590715718</v>
      </c>
      <c r="P975">
        <v>241.23548569337899</v>
      </c>
      <c r="Q975">
        <v>64.587935336664103</v>
      </c>
      <c r="R975">
        <v>117.569024004437</v>
      </c>
      <c r="S975">
        <v>155.24281280605399</v>
      </c>
      <c r="T975">
        <v>279.560237650457</v>
      </c>
      <c r="U975">
        <v>237.67949879329399</v>
      </c>
      <c r="V975">
        <v>235.40915964295399</v>
      </c>
      <c r="W975">
        <v>212.29304668681101</v>
      </c>
    </row>
    <row r="976" spans="1:23" x14ac:dyDescent="0.2">
      <c r="A976" t="s">
        <v>1962</v>
      </c>
      <c r="B976" s="3" t="str">
        <f>HYPERLINK("http://www.ncbi.nlm.nih.gov/gene/237459","Cdk17")</f>
        <v>Cdk17</v>
      </c>
      <c r="C976">
        <v>237459</v>
      </c>
      <c r="D976" t="s">
        <v>1963</v>
      </c>
      <c r="E976" s="3" t="str">
        <f>HYPERLINK("http://genome.ucsc.edu/cgi-bin/hgTracks?db=mm10&amp;lastVirtModeType=default&amp;lastVirtModeExtraState=&amp;virtModeType=default&amp;virtMode=0&amp;nonVirtPosition=&amp;position=chr10:93160875-93241342","chr10:93160875-93241342")</f>
        <v>chr10:93160875-93241342</v>
      </c>
      <c r="F976" t="s">
        <v>30</v>
      </c>
      <c r="G976">
        <v>-0.52406127550105297</v>
      </c>
      <c r="H976">
        <v>0.122881234914128</v>
      </c>
      <c r="I976">
        <v>-4.26477871798145</v>
      </c>
      <c r="J976" s="1">
        <v>2.00100415639806E-5</v>
      </c>
      <c r="K976">
        <v>2.7652679729954998E-4</v>
      </c>
      <c r="L976" t="s">
        <v>26</v>
      </c>
      <c r="M976" t="s">
        <v>27</v>
      </c>
      <c r="N976">
        <v>602.00935125987201</v>
      </c>
      <c r="O976">
        <v>731.76357001567396</v>
      </c>
      <c r="P976">
        <v>504.69368719302099</v>
      </c>
      <c r="Q976">
        <v>636.97067263054896</v>
      </c>
      <c r="R976">
        <v>817.29434428890795</v>
      </c>
      <c r="S976">
        <v>741.025693127566</v>
      </c>
      <c r="T976">
        <v>504.12501871393903</v>
      </c>
      <c r="U976">
        <v>513.90161901252804</v>
      </c>
      <c r="V976">
        <v>520.10711208615101</v>
      </c>
      <c r="W976">
        <v>480.64099895946498</v>
      </c>
    </row>
    <row r="977" spans="1:23" x14ac:dyDescent="0.2">
      <c r="A977" t="s">
        <v>1964</v>
      </c>
      <c r="B977" s="3" t="str">
        <f>HYPERLINK("http://www.ncbi.nlm.nih.gov/gene/74126","Syvn1")</f>
        <v>Syvn1</v>
      </c>
      <c r="C977">
        <v>74126</v>
      </c>
      <c r="D977" t="s">
        <v>1965</v>
      </c>
      <c r="E977" s="3" t="str">
        <f>HYPERLINK("http://genome.ucsc.edu/cgi-bin/hgTracks?db=mm10&amp;lastVirtModeType=default&amp;lastVirtModeExtraState=&amp;virtModeType=default&amp;virtMode=0&amp;nonVirtPosition=&amp;position=chr19:6046575-6053718","chr19:6046575-6053718")</f>
        <v>chr19:6046575-6053718</v>
      </c>
      <c r="F977" t="s">
        <v>30</v>
      </c>
      <c r="G977">
        <v>0.83560967896779603</v>
      </c>
      <c r="H977">
        <v>0.19594509306896499</v>
      </c>
      <c r="I977">
        <v>4.2645093371830098</v>
      </c>
      <c r="J977" s="1">
        <v>2.0034196666046199E-5</v>
      </c>
      <c r="K977">
        <v>2.7657518304641699E-4</v>
      </c>
      <c r="L977" t="s">
        <v>26</v>
      </c>
      <c r="M977" t="s">
        <v>27</v>
      </c>
      <c r="N977">
        <v>193.70974292989601</v>
      </c>
      <c r="O977">
        <v>131.95367986173599</v>
      </c>
      <c r="P977">
        <v>240.026790231017</v>
      </c>
      <c r="Q977">
        <v>114.142471931174</v>
      </c>
      <c r="R977">
        <v>107.329141268567</v>
      </c>
      <c r="S977">
        <v>174.389426385468</v>
      </c>
      <c r="T977">
        <v>178.735233907669</v>
      </c>
      <c r="U977">
        <v>254.80955276037901</v>
      </c>
      <c r="V977">
        <v>258.21442198336501</v>
      </c>
      <c r="W977">
        <v>268.34795227265403</v>
      </c>
    </row>
    <row r="978" spans="1:23" x14ac:dyDescent="0.2">
      <c r="A978" t="s">
        <v>1966</v>
      </c>
      <c r="B978" s="3" t="str">
        <f>HYPERLINK("http://www.ncbi.nlm.nih.gov/gene/235461","Fam63b")</f>
        <v>Fam63b</v>
      </c>
      <c r="C978">
        <v>235461</v>
      </c>
      <c r="D978" t="s">
        <v>1967</v>
      </c>
      <c r="E978" s="3" t="str">
        <f>HYPERLINK("http://genome.ucsc.edu/cgi-bin/hgTracks?db=mm10&amp;lastVirtModeType=default&amp;lastVirtModeExtraState=&amp;virtModeType=default&amp;virtMode=0&amp;nonVirtPosition=&amp;position=chr9:70599013-70657174","chr9:70599013-70657174")</f>
        <v>chr9:70599013-70657174</v>
      </c>
      <c r="F978" t="s">
        <v>25</v>
      </c>
      <c r="G978">
        <v>-0.62423761935678901</v>
      </c>
      <c r="H978">
        <v>0.14640167520452901</v>
      </c>
      <c r="I978">
        <v>-4.2638693750239103</v>
      </c>
      <c r="J978" s="1">
        <v>2.0091692807213499E-5</v>
      </c>
      <c r="K978">
        <v>2.7708327330730801E-4</v>
      </c>
      <c r="L978" t="s">
        <v>26</v>
      </c>
      <c r="M978" t="s">
        <v>27</v>
      </c>
      <c r="N978">
        <v>1012.84313543577</v>
      </c>
      <c r="O978">
        <v>1276.5099925649299</v>
      </c>
      <c r="P978">
        <v>815.09299258889405</v>
      </c>
      <c r="Q978">
        <v>1559.0191288160299</v>
      </c>
      <c r="R978">
        <v>1210.2024374134101</v>
      </c>
      <c r="S978">
        <v>1060.30841146535</v>
      </c>
      <c r="T978">
        <v>811.18298465788405</v>
      </c>
      <c r="U978">
        <v>841.513901133015</v>
      </c>
      <c r="V978">
        <v>856.30081820124406</v>
      </c>
      <c r="W978">
        <v>751.37426636343105</v>
      </c>
    </row>
    <row r="979" spans="1:23" x14ac:dyDescent="0.2">
      <c r="A979" t="s">
        <v>1968</v>
      </c>
      <c r="B979" s="3" t="str">
        <f>HYPERLINK("http://www.ncbi.nlm.nih.gov/gene/54195","Gucy1b3")</f>
        <v>Gucy1b3</v>
      </c>
      <c r="C979">
        <v>54195</v>
      </c>
      <c r="D979" t="s">
        <v>1969</v>
      </c>
      <c r="E979" s="3" t="str">
        <f>HYPERLINK("http://genome.ucsc.edu/cgi-bin/hgTracks?db=mm10&amp;lastVirtModeType=default&amp;lastVirtModeExtraState=&amp;virtModeType=default&amp;virtMode=0&amp;nonVirtPosition=&amp;position=chr3:82032003-82074711","chr3:82032003-82074711")</f>
        <v>chr3:82032003-82074711</v>
      </c>
      <c r="F979" t="s">
        <v>25</v>
      </c>
      <c r="G979">
        <v>-0.71369910405799597</v>
      </c>
      <c r="H979">
        <v>0.16747129517991299</v>
      </c>
      <c r="I979">
        <v>-4.2616204961648698</v>
      </c>
      <c r="J979" s="1">
        <v>2.0294987667299399E-5</v>
      </c>
      <c r="K979">
        <v>2.7959895046585E-4</v>
      </c>
      <c r="L979" t="s">
        <v>26</v>
      </c>
      <c r="M979" t="s">
        <v>27</v>
      </c>
      <c r="N979">
        <v>231.81906310830001</v>
      </c>
      <c r="O979">
        <v>303.387381258593</v>
      </c>
      <c r="P979">
        <v>178.14282449558101</v>
      </c>
      <c r="Q979">
        <v>279.50985809487401</v>
      </c>
      <c r="R979">
        <v>366.73950391061402</v>
      </c>
      <c r="S979">
        <v>263.91278177029199</v>
      </c>
      <c r="T979">
        <v>155.82046032976299</v>
      </c>
      <c r="U979">
        <v>171.30053967084299</v>
      </c>
      <c r="V979">
        <v>174.349908860563</v>
      </c>
      <c r="W979">
        <v>211.100389121154</v>
      </c>
    </row>
    <row r="980" spans="1:23" x14ac:dyDescent="0.2">
      <c r="A980" t="s">
        <v>1970</v>
      </c>
      <c r="B980" s="3" t="str">
        <f>HYPERLINK("http://www.ncbi.nlm.nih.gov/gene/108961","E2f8")</f>
        <v>E2f8</v>
      </c>
      <c r="C980">
        <v>108961</v>
      </c>
      <c r="D980" t="s">
        <v>1971</v>
      </c>
      <c r="E980" s="3" t="str">
        <f>HYPERLINK("http://genome.ucsc.edu/cgi-bin/hgTracks?db=mm10&amp;lastVirtModeType=default&amp;lastVirtModeExtraState=&amp;virtModeType=default&amp;virtMode=0&amp;nonVirtPosition=&amp;position=chr7:48866428-48881041","chr7:48866428-48881041")</f>
        <v>chr7:48866428-48881041</v>
      </c>
      <c r="F980" t="s">
        <v>25</v>
      </c>
      <c r="G980">
        <v>1.07964116004723</v>
      </c>
      <c r="H980">
        <v>0.25337319254296797</v>
      </c>
      <c r="I980">
        <v>4.2610709886529898</v>
      </c>
      <c r="J980" s="1">
        <v>2.03449591660639E-5</v>
      </c>
      <c r="K980">
        <v>2.79999330105613E-4</v>
      </c>
      <c r="L980" t="s">
        <v>26</v>
      </c>
      <c r="M980" t="s">
        <v>27</v>
      </c>
      <c r="N980">
        <v>119.394435166215</v>
      </c>
      <c r="O980">
        <v>66.017476168498703</v>
      </c>
      <c r="P980">
        <v>159.42715441450201</v>
      </c>
      <c r="Q980">
        <v>40.645855858417903</v>
      </c>
      <c r="R980">
        <v>73.575453731808807</v>
      </c>
      <c r="S980">
        <v>83.8311189152693</v>
      </c>
      <c r="T980">
        <v>233.73069049464399</v>
      </c>
      <c r="U980">
        <v>147.74671546610199</v>
      </c>
      <c r="V980">
        <v>115.497618949824</v>
      </c>
      <c r="W980">
        <v>140.73359274743601</v>
      </c>
    </row>
    <row r="981" spans="1:23" x14ac:dyDescent="0.2">
      <c r="A981" t="s">
        <v>1972</v>
      </c>
      <c r="B981" s="3" t="str">
        <f>HYPERLINK("http://www.ncbi.nlm.nih.gov/gene/69554","Klhdc2")</f>
        <v>Klhdc2</v>
      </c>
      <c r="C981">
        <v>69554</v>
      </c>
      <c r="D981" t="s">
        <v>1973</v>
      </c>
      <c r="E981" s="3" t="str">
        <f>HYPERLINK("http://genome.ucsc.edu/cgi-bin/hgTracks?db=mm10&amp;lastVirtModeType=default&amp;lastVirtModeExtraState=&amp;virtModeType=default&amp;virtMode=0&amp;nonVirtPosition=&amp;position=chr12:69296680-69310687","chr12:69296680-69310687")</f>
        <v>chr12:69296680-69310687</v>
      </c>
      <c r="F981" t="s">
        <v>30</v>
      </c>
      <c r="G981">
        <v>-0.62881240456811205</v>
      </c>
      <c r="H981">
        <v>0.14761934764692899</v>
      </c>
      <c r="I981">
        <v>-4.2596882765806896</v>
      </c>
      <c r="J981" s="1">
        <v>2.04712200286734E-5</v>
      </c>
      <c r="K981">
        <v>2.81441649103541E-4</v>
      </c>
      <c r="L981" t="s">
        <v>26</v>
      </c>
      <c r="M981" t="s">
        <v>27</v>
      </c>
      <c r="N981">
        <v>357.83079236099002</v>
      </c>
      <c r="O981">
        <v>454.83055913312597</v>
      </c>
      <c r="P981">
        <v>285.08096728188798</v>
      </c>
      <c r="Q981">
        <v>387.52761201998499</v>
      </c>
      <c r="R981">
        <v>511.235626961229</v>
      </c>
      <c r="S981">
        <v>465.72843841816302</v>
      </c>
      <c r="T981">
        <v>224.564781063482</v>
      </c>
      <c r="U981">
        <v>329.75353886637203</v>
      </c>
      <c r="V981">
        <v>294.99710317757598</v>
      </c>
      <c r="W981">
        <v>291.00844602012302</v>
      </c>
    </row>
    <row r="982" spans="1:23" x14ac:dyDescent="0.2">
      <c r="A982" t="s">
        <v>1974</v>
      </c>
      <c r="B982" s="3" t="str">
        <f>HYPERLINK("http://www.ncbi.nlm.nih.gov/gene/17748","Mt1")</f>
        <v>Mt1</v>
      </c>
      <c r="C982">
        <v>17748</v>
      </c>
      <c r="D982" t="s">
        <v>1975</v>
      </c>
      <c r="E982" s="3" t="str">
        <f>HYPERLINK("http://genome.ucsc.edu/cgi-bin/hgTracks?db=mm10&amp;lastVirtModeType=default&amp;lastVirtModeExtraState=&amp;virtModeType=default&amp;virtMode=0&amp;nonVirtPosition=&amp;position=chr8:94179088-94180327","chr8:94179088-94180327")</f>
        <v>chr8:94179088-94180327</v>
      </c>
      <c r="F982" t="s">
        <v>30</v>
      </c>
      <c r="G982">
        <v>-1.0758049257512401</v>
      </c>
      <c r="H982">
        <v>0.252568161462004</v>
      </c>
      <c r="I982">
        <v>-4.2594637404963702</v>
      </c>
      <c r="J982" s="1">
        <v>2.0491793583448E-5</v>
      </c>
      <c r="K982">
        <v>2.81441649103541E-4</v>
      </c>
      <c r="L982" t="s">
        <v>26</v>
      </c>
      <c r="M982" t="s">
        <v>27</v>
      </c>
      <c r="N982">
        <v>473.35906989262901</v>
      </c>
      <c r="O982">
        <v>704.38110799759295</v>
      </c>
      <c r="P982">
        <v>300.092541313906</v>
      </c>
      <c r="Q982">
        <v>379.73251637590403</v>
      </c>
      <c r="R982">
        <v>798.33159848174</v>
      </c>
      <c r="S982">
        <v>935.07920913513396</v>
      </c>
      <c r="T982">
        <v>183.31818862325099</v>
      </c>
      <c r="U982">
        <v>321.18851188283003</v>
      </c>
      <c r="V982">
        <v>352.37808584054602</v>
      </c>
      <c r="W982">
        <v>343.48537890899701</v>
      </c>
    </row>
    <row r="983" spans="1:23" x14ac:dyDescent="0.2">
      <c r="A983" t="s">
        <v>1976</v>
      </c>
      <c r="B983" s="3" t="str">
        <f>HYPERLINK("http://www.ncbi.nlm.nih.gov/gene/17188","Maz")</f>
        <v>Maz</v>
      </c>
      <c r="C983">
        <v>17188</v>
      </c>
      <c r="D983" t="s">
        <v>1977</v>
      </c>
      <c r="E983" s="3" t="str">
        <f>HYPERLINK("http://genome.ucsc.edu/cgi-bin/hgTracks?db=mm10&amp;lastVirtModeType=default&amp;lastVirtModeExtraState=&amp;virtModeType=default&amp;virtMode=0&amp;nonVirtPosition=&amp;position=chr7:127022136-127026479","chr7:127022136-127026479")</f>
        <v>chr7:127022136-127026479</v>
      </c>
      <c r="F983" t="s">
        <v>25</v>
      </c>
      <c r="G983">
        <v>0.65573571330549596</v>
      </c>
      <c r="H983">
        <v>0.15399227711491401</v>
      </c>
      <c r="I983">
        <v>4.2582376570492801</v>
      </c>
      <c r="J983" s="1">
        <v>2.06044835671417E-5</v>
      </c>
      <c r="K983">
        <v>2.82699425663519E-4</v>
      </c>
      <c r="L983" t="s">
        <v>26</v>
      </c>
      <c r="M983" t="s">
        <v>27</v>
      </c>
      <c r="N983">
        <v>661.82253466321299</v>
      </c>
      <c r="O983">
        <v>490.10444079101802</v>
      </c>
      <c r="P983">
        <v>790.61110506735997</v>
      </c>
      <c r="Q983">
        <v>433.74139333846</v>
      </c>
      <c r="R983">
        <v>462.69099769488002</v>
      </c>
      <c r="S983">
        <v>573.88093133971404</v>
      </c>
      <c r="T983">
        <v>815.76593937346502</v>
      </c>
      <c r="U983">
        <v>946.43548168140705</v>
      </c>
      <c r="V983">
        <v>658.40999337638596</v>
      </c>
      <c r="W983">
        <v>741.83300583818095</v>
      </c>
    </row>
    <row r="984" spans="1:23" x14ac:dyDescent="0.2">
      <c r="A984" t="s">
        <v>1978</v>
      </c>
      <c r="B984" s="3" t="str">
        <f>HYPERLINK("http://www.ncbi.nlm.nih.gov/gene/69718","Ipmk")</f>
        <v>Ipmk</v>
      </c>
      <c r="C984">
        <v>69718</v>
      </c>
      <c r="D984" t="s">
        <v>1979</v>
      </c>
      <c r="E984" s="3" t="str">
        <f>HYPERLINK("http://genome.ucsc.edu/cgi-bin/hgTracks?db=mm10&amp;lastVirtModeType=default&amp;lastVirtModeExtraState=&amp;virtModeType=default&amp;virtMode=0&amp;nonVirtPosition=&amp;position=chr10:71347792-71385885","chr10:71347792-71385885")</f>
        <v>chr10:71347792-71385885</v>
      </c>
      <c r="F984" t="s">
        <v>30</v>
      </c>
      <c r="G984">
        <v>-0.54961684988444204</v>
      </c>
      <c r="H984">
        <v>0.12909640185520599</v>
      </c>
      <c r="I984">
        <v>-4.2574141648106396</v>
      </c>
      <c r="J984" s="1">
        <v>2.06805021476798E-5</v>
      </c>
      <c r="K984">
        <v>2.8335409029484201E-4</v>
      </c>
      <c r="L984" t="s">
        <v>26</v>
      </c>
      <c r="M984" t="s">
        <v>27</v>
      </c>
      <c r="N984">
        <v>230.66680767398699</v>
      </c>
      <c r="O984">
        <v>283.90390408466902</v>
      </c>
      <c r="P984">
        <v>190.73898536597699</v>
      </c>
      <c r="Q984">
        <v>269.487592266771</v>
      </c>
      <c r="R984">
        <v>296.57734442409497</v>
      </c>
      <c r="S984">
        <v>285.64677556314001</v>
      </c>
      <c r="T984">
        <v>192.48409805441301</v>
      </c>
      <c r="U984">
        <v>171.30053967084299</v>
      </c>
      <c r="V984">
        <v>196.41951757708901</v>
      </c>
      <c r="W984">
        <v>202.751786161561</v>
      </c>
    </row>
    <row r="985" spans="1:23" x14ac:dyDescent="0.2">
      <c r="A985" t="s">
        <v>1980</v>
      </c>
      <c r="B985" s="3" t="str">
        <f>HYPERLINK("http://www.ncbi.nlm.nih.gov/gene/18570","Pdcd6")</f>
        <v>Pdcd6</v>
      </c>
      <c r="C985">
        <v>18570</v>
      </c>
      <c r="D985" t="s">
        <v>1981</v>
      </c>
      <c r="E985" s="3" t="str">
        <f>HYPERLINK("http://genome.ucsc.edu/cgi-bin/hgTracks?db=mm10&amp;lastVirtModeType=default&amp;lastVirtModeExtraState=&amp;virtModeType=default&amp;virtMode=0&amp;nonVirtPosition=&amp;position=chr13:74303120-74317326","chr13:74303120-74317326")</f>
        <v>chr13:74303120-74317326</v>
      </c>
      <c r="F985" t="s">
        <v>25</v>
      </c>
      <c r="G985">
        <v>-0.57898820404249296</v>
      </c>
      <c r="H985">
        <v>0.13600412043583501</v>
      </c>
      <c r="I985">
        <v>-4.25713722633611</v>
      </c>
      <c r="J985" s="1">
        <v>2.0706126961577398E-5</v>
      </c>
      <c r="K985">
        <v>2.8335409029484201E-4</v>
      </c>
      <c r="L985" t="s">
        <v>26</v>
      </c>
      <c r="M985" t="s">
        <v>27</v>
      </c>
      <c r="N985">
        <v>202.10832872488001</v>
      </c>
      <c r="O985">
        <v>248.396013336674</v>
      </c>
      <c r="P985">
        <v>167.39256526603401</v>
      </c>
      <c r="Q985">
        <v>262.80608171470197</v>
      </c>
      <c r="R985">
        <v>245.37793074474399</v>
      </c>
      <c r="S985">
        <v>237.00402755057601</v>
      </c>
      <c r="T985">
        <v>178.735233907669</v>
      </c>
      <c r="U985">
        <v>177.72430990849901</v>
      </c>
      <c r="V985">
        <v>154.48726101568801</v>
      </c>
      <c r="W985">
        <v>158.62345623228001</v>
      </c>
    </row>
    <row r="986" spans="1:23" x14ac:dyDescent="0.2">
      <c r="A986" t="s">
        <v>1982</v>
      </c>
      <c r="B986" s="3" t="str">
        <f>HYPERLINK("http://www.ncbi.nlm.nih.gov/gene/12942","Pcdha11")</f>
        <v>Pcdha11</v>
      </c>
      <c r="C986">
        <v>12942</v>
      </c>
      <c r="D986" t="s">
        <v>1983</v>
      </c>
      <c r="E986" s="3" t="str">
        <f>HYPERLINK("http://genome.ucsc.edu/cgi-bin/hgTracks?db=mm10&amp;lastVirtModeType=default&amp;lastVirtModeExtraState=&amp;virtModeType=default&amp;virtMode=0&amp;nonVirtPosition=&amp;position=chr18:37010857-37187657","chr18:37010857-37187657")</f>
        <v>chr18:37010857-37187657</v>
      </c>
      <c r="F986" t="s">
        <v>30</v>
      </c>
      <c r="G986">
        <v>1.1932371635705801</v>
      </c>
      <c r="H986">
        <v>0.28029777101758402</v>
      </c>
      <c r="I986">
        <v>4.2570340792889496</v>
      </c>
      <c r="J986" s="1">
        <v>2.0715678769221901E-5</v>
      </c>
      <c r="K986">
        <v>2.8335409029484201E-4</v>
      </c>
      <c r="L986" t="s">
        <v>26</v>
      </c>
      <c r="M986" t="s">
        <v>27</v>
      </c>
      <c r="N986">
        <v>36.425639466219003</v>
      </c>
      <c r="O986">
        <v>18.764750551803999</v>
      </c>
      <c r="P986">
        <v>49.671306152030198</v>
      </c>
      <c r="Q986">
        <v>16.146983834166001</v>
      </c>
      <c r="R986">
        <v>14.790941729590401</v>
      </c>
      <c r="S986">
        <v>25.3563260916555</v>
      </c>
      <c r="T986">
        <v>59.578411302556397</v>
      </c>
      <c r="U986">
        <v>42.825134917710699</v>
      </c>
      <c r="V986">
        <v>58.116636286854202</v>
      </c>
      <c r="W986">
        <v>38.165042100999699</v>
      </c>
    </row>
    <row r="987" spans="1:23" x14ac:dyDescent="0.2">
      <c r="A987" t="s">
        <v>1984</v>
      </c>
      <c r="B987" s="3" t="str">
        <f>HYPERLINK("http://www.ncbi.nlm.nih.gov/gene/72320","Kif1bp")</f>
        <v>Kif1bp</v>
      </c>
      <c r="C987">
        <v>72320</v>
      </c>
      <c r="D987" t="s">
        <v>1985</v>
      </c>
      <c r="E987" s="3" t="str">
        <f>HYPERLINK("http://genome.ucsc.edu/cgi-bin/hgTracks?db=mm10&amp;lastVirtModeType=default&amp;lastVirtModeExtraState=&amp;virtModeType=default&amp;virtMode=0&amp;nonVirtPosition=&amp;position=chr10:62558469-62578457","chr10:62558469-62578457")</f>
        <v>chr10:62558469-62578457</v>
      </c>
      <c r="F987" t="s">
        <v>25</v>
      </c>
      <c r="G987">
        <v>-0.71011715673394504</v>
      </c>
      <c r="H987">
        <v>0.166824375199011</v>
      </c>
      <c r="I987">
        <v>-4.2566750565486702</v>
      </c>
      <c r="J987" s="1">
        <v>2.0748958360745399E-5</v>
      </c>
      <c r="K987">
        <v>2.8351969531504299E-4</v>
      </c>
      <c r="L987" t="s">
        <v>26</v>
      </c>
      <c r="M987" t="s">
        <v>27</v>
      </c>
      <c r="N987">
        <v>284.09194246760899</v>
      </c>
      <c r="O987">
        <v>370.960915712249</v>
      </c>
      <c r="P987">
        <v>218.94021253413001</v>
      </c>
      <c r="Q987">
        <v>439.86611134452301</v>
      </c>
      <c r="R987">
        <v>308.713501740683</v>
      </c>
      <c r="S987">
        <v>364.30313405154101</v>
      </c>
      <c r="T987">
        <v>219.98182634790101</v>
      </c>
      <c r="U987">
        <v>179.86556665438499</v>
      </c>
      <c r="V987">
        <v>255.271807487828</v>
      </c>
      <c r="W987">
        <v>220.64164964640401</v>
      </c>
    </row>
    <row r="988" spans="1:23" x14ac:dyDescent="0.2">
      <c r="A988" t="s">
        <v>1986</v>
      </c>
      <c r="B988" s="3" t="str">
        <f>HYPERLINK("http://www.ncbi.nlm.nih.gov/gene/66569","Gdpd1")</f>
        <v>Gdpd1</v>
      </c>
      <c r="C988">
        <v>66569</v>
      </c>
      <c r="D988" t="s">
        <v>1987</v>
      </c>
      <c r="E988" s="3" t="str">
        <f>HYPERLINK("http://genome.ucsc.edu/cgi-bin/hgTracks?db=mm10&amp;lastVirtModeType=default&amp;lastVirtModeExtraState=&amp;virtModeType=default&amp;virtMode=0&amp;nonVirtPosition=&amp;position=chr11:87033793-87074137","chr11:87033793-87074137")</f>
        <v>chr11:87033793-87074137</v>
      </c>
      <c r="F988" t="s">
        <v>25</v>
      </c>
      <c r="G988">
        <v>-0.64012958157445798</v>
      </c>
      <c r="H988">
        <v>0.15055913678128999</v>
      </c>
      <c r="I988">
        <v>-4.2516820649971097</v>
      </c>
      <c r="J988" s="1">
        <v>2.1217092366392299E-5</v>
      </c>
      <c r="K988">
        <v>2.8930594751686598E-4</v>
      </c>
      <c r="L988" t="s">
        <v>26</v>
      </c>
      <c r="M988" t="s">
        <v>27</v>
      </c>
      <c r="N988">
        <v>175.486240713347</v>
      </c>
      <c r="O988">
        <v>221.13513538094799</v>
      </c>
      <c r="P988">
        <v>141.24956971264601</v>
      </c>
      <c r="Q988">
        <v>220.48984821826701</v>
      </c>
      <c r="R988">
        <v>245.75718566088699</v>
      </c>
      <c r="S988">
        <v>197.15837226368899</v>
      </c>
      <c r="T988">
        <v>151.237505614182</v>
      </c>
      <c r="U988">
        <v>141.32294522844501</v>
      </c>
      <c r="V988">
        <v>141.24549578577199</v>
      </c>
      <c r="W988">
        <v>131.192332222186</v>
      </c>
    </row>
    <row r="989" spans="1:23" x14ac:dyDescent="0.2">
      <c r="A989" t="s">
        <v>1988</v>
      </c>
      <c r="B989" s="3" t="str">
        <f>HYPERLINK("http://www.ncbi.nlm.nih.gov/gene/64450","Gpr85")</f>
        <v>Gpr85</v>
      </c>
      <c r="C989">
        <v>64450</v>
      </c>
      <c r="D989" t="s">
        <v>1989</v>
      </c>
      <c r="E989" s="3" t="str">
        <f>HYPERLINK("http://genome.ucsc.edu/cgi-bin/hgTracks?db=mm10&amp;lastVirtModeType=default&amp;lastVirtModeExtraState=&amp;virtModeType=default&amp;virtMode=0&amp;nonVirtPosition=&amp;position=chr6:13834451-13839942","chr6:13834451-13839942")</f>
        <v>chr6:13834451-13839942</v>
      </c>
      <c r="F989" t="s">
        <v>25</v>
      </c>
      <c r="G989">
        <v>-0.74812698328504801</v>
      </c>
      <c r="H989">
        <v>0.175960628993348</v>
      </c>
      <c r="I989">
        <v>-4.2516725904254997</v>
      </c>
      <c r="J989" s="1">
        <v>2.12179901694156E-5</v>
      </c>
      <c r="K989">
        <v>2.8930594751686598E-4</v>
      </c>
      <c r="L989" t="s">
        <v>26</v>
      </c>
      <c r="M989" t="s">
        <v>27</v>
      </c>
      <c r="N989">
        <v>183.66954169694</v>
      </c>
      <c r="O989">
        <v>245.12899735182199</v>
      </c>
      <c r="P989">
        <v>137.57494995577801</v>
      </c>
      <c r="Q989">
        <v>278.95306554886798</v>
      </c>
      <c r="R989">
        <v>254.100793816041</v>
      </c>
      <c r="S989">
        <v>202.33313269055699</v>
      </c>
      <c r="T989">
        <v>100.825003742788</v>
      </c>
      <c r="U989">
        <v>143.46420197433099</v>
      </c>
      <c r="V989">
        <v>139.03853491411999</v>
      </c>
      <c r="W989">
        <v>166.972059191874</v>
      </c>
    </row>
    <row r="990" spans="1:23" x14ac:dyDescent="0.2">
      <c r="A990" t="s">
        <v>1990</v>
      </c>
      <c r="B990" s="3" t="str">
        <f>HYPERLINK("http://www.ncbi.nlm.nih.gov/gene/12552","Cdh11")</f>
        <v>Cdh11</v>
      </c>
      <c r="C990">
        <v>12552</v>
      </c>
      <c r="D990" t="s">
        <v>1991</v>
      </c>
      <c r="E990" s="3" t="str">
        <f>HYPERLINK("http://genome.ucsc.edu/cgi-bin/hgTracks?db=mm10&amp;lastVirtModeType=default&amp;lastVirtModeExtraState=&amp;virtModeType=default&amp;virtMode=0&amp;nonVirtPosition=&amp;position=chr8:102632094-102785111","chr8:102632094-102785111")</f>
        <v>chr8:102632094-102785111</v>
      </c>
      <c r="F990" t="s">
        <v>25</v>
      </c>
      <c r="G990">
        <v>-0.79876150050101802</v>
      </c>
      <c r="H990">
        <v>0.187878914235454</v>
      </c>
      <c r="I990">
        <v>-4.2514696433682504</v>
      </c>
      <c r="J990" s="1">
        <v>2.1237229961099201E-5</v>
      </c>
      <c r="K990">
        <v>2.8930594751686598E-4</v>
      </c>
      <c r="L990" t="s">
        <v>26</v>
      </c>
      <c r="M990" t="s">
        <v>27</v>
      </c>
      <c r="N990">
        <v>565.713276225963</v>
      </c>
      <c r="O990">
        <v>759.48400187872096</v>
      </c>
      <c r="P990">
        <v>420.38523198639598</v>
      </c>
      <c r="Q990">
        <v>1000.55620517229</v>
      </c>
      <c r="R990">
        <v>737.65081189880505</v>
      </c>
      <c r="S990">
        <v>540.24498856506898</v>
      </c>
      <c r="T990">
        <v>417.04887911789501</v>
      </c>
      <c r="U990">
        <v>368.29616029231198</v>
      </c>
      <c r="V990">
        <v>456.105246808223</v>
      </c>
      <c r="W990">
        <v>440.09064172715301</v>
      </c>
    </row>
    <row r="991" spans="1:23" x14ac:dyDescent="0.2">
      <c r="A991" t="s">
        <v>1992</v>
      </c>
      <c r="B991" s="3" t="str">
        <f>HYPERLINK("http://www.ncbi.nlm.nih.gov/gene/53317","Plrg1")</f>
        <v>Plrg1</v>
      </c>
      <c r="C991">
        <v>53317</v>
      </c>
      <c r="D991" t="s">
        <v>1993</v>
      </c>
      <c r="E991" s="3" t="str">
        <f>HYPERLINK("http://genome.ucsc.edu/cgi-bin/hgTracks?db=mm10&amp;lastVirtModeType=default&amp;lastVirtModeExtraState=&amp;virtModeType=default&amp;virtMode=0&amp;nonVirtPosition=&amp;position=chr3:83055537-83072291","chr3:83055537-83072291")</f>
        <v>chr3:83055537-83072291</v>
      </c>
      <c r="F991" t="s">
        <v>30</v>
      </c>
      <c r="G991">
        <v>-0.56127015160222304</v>
      </c>
      <c r="H991">
        <v>0.13206107955983901</v>
      </c>
      <c r="I991">
        <v>-4.2500799892969399</v>
      </c>
      <c r="J991" s="1">
        <v>2.1369418886953602E-5</v>
      </c>
      <c r="K991">
        <v>2.9081086210893899E-4</v>
      </c>
      <c r="L991" t="s">
        <v>26</v>
      </c>
      <c r="M991" t="s">
        <v>27</v>
      </c>
      <c r="N991">
        <v>220.774394558566</v>
      </c>
      <c r="O991">
        <v>269.37353634383697</v>
      </c>
      <c r="P991">
        <v>184.32503821961399</v>
      </c>
      <c r="Q991">
        <v>277.83948045685702</v>
      </c>
      <c r="R991">
        <v>277.23534370078499</v>
      </c>
      <c r="S991">
        <v>253.045784873869</v>
      </c>
      <c r="T991">
        <v>201.650007485576</v>
      </c>
      <c r="U991">
        <v>190.571850383813</v>
      </c>
      <c r="V991">
        <v>172.14294798891001</v>
      </c>
      <c r="W991">
        <v>172.93534702015501</v>
      </c>
    </row>
    <row r="992" spans="1:23" x14ac:dyDescent="0.2">
      <c r="A992" t="s">
        <v>1994</v>
      </c>
      <c r="B992" s="3" t="str">
        <f>HYPERLINK("http://www.ncbi.nlm.nih.gov/gene/230597","Zfyve9")</f>
        <v>Zfyve9</v>
      </c>
      <c r="C992">
        <v>230597</v>
      </c>
      <c r="D992" t="s">
        <v>1995</v>
      </c>
      <c r="E992" s="3" t="str">
        <f>HYPERLINK("http://genome.ucsc.edu/cgi-bin/hgTracks?db=mm10&amp;lastVirtModeType=default&amp;lastVirtModeExtraState=&amp;virtModeType=default&amp;virtMode=0&amp;nonVirtPosition=&amp;position=chr4:108639258-108723876","chr4:108639258-108723876")</f>
        <v>chr4:108639258-108723876</v>
      </c>
      <c r="F992" t="s">
        <v>25</v>
      </c>
      <c r="G992">
        <v>-0.48022628291261399</v>
      </c>
      <c r="H992">
        <v>0.11300276364068899</v>
      </c>
      <c r="I992">
        <v>-4.2496861797077301</v>
      </c>
      <c r="J992" s="1">
        <v>2.1407021683993099E-5</v>
      </c>
      <c r="K992">
        <v>2.9102682981761599E-4</v>
      </c>
      <c r="L992" t="s">
        <v>26</v>
      </c>
      <c r="M992" t="s">
        <v>27</v>
      </c>
      <c r="N992">
        <v>441.36795623102398</v>
      </c>
      <c r="O992">
        <v>529.56868324767402</v>
      </c>
      <c r="P992">
        <v>375.217410968536</v>
      </c>
      <c r="Q992">
        <v>557.90613109773597</v>
      </c>
      <c r="R992">
        <v>538.16272600740604</v>
      </c>
      <c r="S992">
        <v>492.63719263787902</v>
      </c>
      <c r="T992">
        <v>348.304558384176</v>
      </c>
      <c r="U992">
        <v>396.13249798882401</v>
      </c>
      <c r="V992">
        <v>360.47027570327299</v>
      </c>
      <c r="W992">
        <v>395.96231179787202</v>
      </c>
    </row>
    <row r="993" spans="1:23" x14ac:dyDescent="0.2">
      <c r="A993" t="s">
        <v>1996</v>
      </c>
      <c r="B993" s="3" t="str">
        <f>HYPERLINK("http://www.ncbi.nlm.nih.gov/gene/104831","Ptpn23")</f>
        <v>Ptpn23</v>
      </c>
      <c r="C993">
        <v>104831</v>
      </c>
      <c r="D993" t="s">
        <v>1997</v>
      </c>
      <c r="E993" s="3" t="str">
        <f>HYPERLINK("http://genome.ucsc.edu/cgi-bin/hgTracks?db=mm10&amp;lastVirtModeType=default&amp;lastVirtModeExtraState=&amp;virtModeType=default&amp;virtMode=0&amp;nonVirtPosition=&amp;position=chr9:110385088-110408210","chr9:110385088-110408210")</f>
        <v>chr9:110385088-110408210</v>
      </c>
      <c r="F993" t="s">
        <v>25</v>
      </c>
      <c r="G993">
        <v>0.81268823685105596</v>
      </c>
      <c r="H993">
        <v>0.19125862640302699</v>
      </c>
      <c r="I993">
        <v>4.2491585981514399</v>
      </c>
      <c r="J993" s="1">
        <v>2.1457496386326999E-5</v>
      </c>
      <c r="K993">
        <v>2.9141717455304799E-4</v>
      </c>
      <c r="L993" t="s">
        <v>26</v>
      </c>
      <c r="M993" t="s">
        <v>27</v>
      </c>
      <c r="N993">
        <v>346.83611226084599</v>
      </c>
      <c r="O993">
        <v>237.208783884654</v>
      </c>
      <c r="P993">
        <v>429.056608542991</v>
      </c>
      <c r="Q993">
        <v>211.02437493617001</v>
      </c>
      <c r="R993">
        <v>179.76683025194501</v>
      </c>
      <c r="S993">
        <v>320.83514646584598</v>
      </c>
      <c r="T993">
        <v>366.63637724650101</v>
      </c>
      <c r="U993">
        <v>483.924024570131</v>
      </c>
      <c r="V993">
        <v>464.93309029483402</v>
      </c>
      <c r="W993">
        <v>400.73294206049701</v>
      </c>
    </row>
    <row r="994" spans="1:23" x14ac:dyDescent="0.2">
      <c r="A994" t="s">
        <v>1998</v>
      </c>
      <c r="B994" s="3" t="str">
        <f>HYPERLINK("http://www.ncbi.nlm.nih.gov/gene/17096","Lyn")</f>
        <v>Lyn</v>
      </c>
      <c r="C994">
        <v>17096</v>
      </c>
      <c r="D994" t="s">
        <v>1999</v>
      </c>
      <c r="E994" s="3" t="str">
        <f>HYPERLINK("http://genome.ucsc.edu/cgi-bin/hgTracks?db=mm10&amp;lastVirtModeType=default&amp;lastVirtModeExtraState=&amp;virtModeType=default&amp;virtMode=0&amp;nonVirtPosition=&amp;position=chr4:3678120-3791612","chr4:3678120-3791612")</f>
        <v>chr4:3678120-3791612</v>
      </c>
      <c r="F994" t="s">
        <v>30</v>
      </c>
      <c r="G994">
        <v>-0.78016491336390703</v>
      </c>
      <c r="H994">
        <v>0.1836480824133</v>
      </c>
      <c r="I994">
        <v>-4.2481516992273596</v>
      </c>
      <c r="J994" s="1">
        <v>2.1554142875010899E-5</v>
      </c>
      <c r="K994">
        <v>2.9243315829713401E-4</v>
      </c>
      <c r="L994" t="s">
        <v>26</v>
      </c>
      <c r="M994" t="s">
        <v>27</v>
      </c>
      <c r="N994">
        <v>181.74754487135201</v>
      </c>
      <c r="O994">
        <v>241.76907667784499</v>
      </c>
      <c r="P994">
        <v>136.731396016481</v>
      </c>
      <c r="Q994">
        <v>293.98646429102303</v>
      </c>
      <c r="R994">
        <v>193.79926214924899</v>
      </c>
      <c r="S994">
        <v>237.52150359326299</v>
      </c>
      <c r="T994">
        <v>155.82046032976299</v>
      </c>
      <c r="U994">
        <v>109.204094040162</v>
      </c>
      <c r="V994">
        <v>147.13072477684599</v>
      </c>
      <c r="W994">
        <v>134.770304919155</v>
      </c>
    </row>
    <row r="995" spans="1:23" x14ac:dyDescent="0.2">
      <c r="A995" t="s">
        <v>2000</v>
      </c>
      <c r="B995" s="3" t="str">
        <f>HYPERLINK("http://www.ncbi.nlm.nih.gov/gene/55935","Fnbp4")</f>
        <v>Fnbp4</v>
      </c>
      <c r="C995">
        <v>55935</v>
      </c>
      <c r="D995" t="s">
        <v>2001</v>
      </c>
      <c r="E995" s="3" t="str">
        <f>HYPERLINK("http://genome.ucsc.edu/cgi-bin/hgTracks?db=mm10&amp;lastVirtModeType=default&amp;lastVirtModeExtraState=&amp;virtModeType=default&amp;virtMode=0&amp;nonVirtPosition=&amp;position=chr2:90745369-90781020","chr2:90745369-90781020")</f>
        <v>chr2:90745369-90781020</v>
      </c>
      <c r="F995" t="s">
        <v>30</v>
      </c>
      <c r="G995">
        <v>0.67056136952288803</v>
      </c>
      <c r="H995">
        <v>0.15788792298241</v>
      </c>
      <c r="I995">
        <v>4.2470719536768904</v>
      </c>
      <c r="J995" s="1">
        <v>2.1658241871013901E-5</v>
      </c>
      <c r="K995">
        <v>2.9354809402302399E-4</v>
      </c>
      <c r="L995" t="s">
        <v>26</v>
      </c>
      <c r="M995" t="s">
        <v>27</v>
      </c>
      <c r="N995">
        <v>451.71308751923402</v>
      </c>
      <c r="O995">
        <v>331.87745096933003</v>
      </c>
      <c r="P995">
        <v>541.58981493166198</v>
      </c>
      <c r="Q995">
        <v>266.14683699073697</v>
      </c>
      <c r="R995">
        <v>317.05710989583599</v>
      </c>
      <c r="S995">
        <v>412.42840602141803</v>
      </c>
      <c r="T995">
        <v>595.78411302556401</v>
      </c>
      <c r="U995">
        <v>501.05407853721499</v>
      </c>
      <c r="V995">
        <v>505.39403960846602</v>
      </c>
      <c r="W995">
        <v>564.12702855540101</v>
      </c>
    </row>
    <row r="996" spans="1:23" x14ac:dyDescent="0.2">
      <c r="A996" t="s">
        <v>2002</v>
      </c>
      <c r="B996" s="3" t="str">
        <f>HYPERLINK("http://www.ncbi.nlm.nih.gov/gene/54396","Irgm2")</f>
        <v>Irgm2</v>
      </c>
      <c r="C996">
        <v>54396</v>
      </c>
      <c r="D996" t="s">
        <v>2003</v>
      </c>
      <c r="E996" s="3" t="str">
        <f>HYPERLINK("http://genome.ucsc.edu/cgi-bin/hgTracks?db=mm10&amp;lastVirtModeType=default&amp;lastVirtModeExtraState=&amp;virtModeType=default&amp;virtMode=0&amp;nonVirtPosition=&amp;position=chr11:58214976-58222783","chr11:58214976-58222783")</f>
        <v>chr11:58214976-58222783</v>
      </c>
      <c r="F996" t="s">
        <v>30</v>
      </c>
      <c r="G996">
        <v>1.61313611040856</v>
      </c>
      <c r="H996">
        <v>0.380023564222913</v>
      </c>
      <c r="I996">
        <v>4.2448318006468</v>
      </c>
      <c r="J996" s="1">
        <v>2.18757450083079E-5</v>
      </c>
      <c r="K996">
        <v>2.9619626026921198E-4</v>
      </c>
      <c r="L996" t="s">
        <v>26</v>
      </c>
      <c r="M996" t="s">
        <v>27</v>
      </c>
      <c r="N996">
        <v>274.504994807034</v>
      </c>
      <c r="O996">
        <v>73.720799196098895</v>
      </c>
      <c r="P996">
        <v>425.093141515235</v>
      </c>
      <c r="Q996">
        <v>97.438695551001899</v>
      </c>
      <c r="R996">
        <v>36.787726865904403</v>
      </c>
      <c r="S996">
        <v>86.935975171390396</v>
      </c>
      <c r="T996">
        <v>737.85570920858299</v>
      </c>
      <c r="U996">
        <v>184.14808014615599</v>
      </c>
      <c r="V996">
        <v>325.15890175683001</v>
      </c>
      <c r="W996">
        <v>453.209874949371</v>
      </c>
    </row>
    <row r="997" spans="1:23" x14ac:dyDescent="0.2">
      <c r="A997" t="s">
        <v>2004</v>
      </c>
      <c r="B997" s="3" t="str">
        <f>HYPERLINK("http://www.ncbi.nlm.nih.gov/gene/207777","Bzrap1")</f>
        <v>Bzrap1</v>
      </c>
      <c r="C997">
        <v>207777</v>
      </c>
      <c r="D997" t="s">
        <v>2005</v>
      </c>
      <c r="E997" s="3" t="str">
        <f>HYPERLINK("http://genome.ucsc.edu/cgi-bin/hgTracks?db=mm10&amp;lastVirtModeType=default&amp;lastVirtModeExtraState=&amp;virtModeType=default&amp;virtMode=0&amp;nonVirtPosition=&amp;position=chr11:87760540-87785928","chr11:87760540-87785928")</f>
        <v>chr11:87760540-87785928</v>
      </c>
      <c r="F997" t="s">
        <v>30</v>
      </c>
      <c r="G997">
        <v>0.64404183921393099</v>
      </c>
      <c r="H997">
        <v>0.15176701674062501</v>
      </c>
      <c r="I997">
        <v>4.2436219215840598</v>
      </c>
      <c r="J997" s="1">
        <v>2.1994078853357502E-5</v>
      </c>
      <c r="K997">
        <v>2.9730572539639002E-4</v>
      </c>
      <c r="L997" t="s">
        <v>26</v>
      </c>
      <c r="M997" t="s">
        <v>27</v>
      </c>
      <c r="N997">
        <v>508.90234852365501</v>
      </c>
      <c r="O997">
        <v>380.70846408112402</v>
      </c>
      <c r="P997">
        <v>605.04776185555204</v>
      </c>
      <c r="Q997">
        <v>442.65007407455101</v>
      </c>
      <c r="R997">
        <v>311.36828615368597</v>
      </c>
      <c r="S997">
        <v>388.10703201513599</v>
      </c>
      <c r="T997">
        <v>577.452294163239</v>
      </c>
      <c r="U997">
        <v>672.35461820805801</v>
      </c>
      <c r="V997">
        <v>521.57841933391899</v>
      </c>
      <c r="W997">
        <v>648.80571571699397</v>
      </c>
    </row>
    <row r="998" spans="1:23" x14ac:dyDescent="0.2">
      <c r="A998" t="s">
        <v>2006</v>
      </c>
      <c r="B998" s="3" t="str">
        <f>HYPERLINK("http://www.ncbi.nlm.nih.gov/gene/56380","Arid3b")</f>
        <v>Arid3b</v>
      </c>
      <c r="C998">
        <v>56380</v>
      </c>
      <c r="D998" t="s">
        <v>2007</v>
      </c>
      <c r="E998" s="3" t="str">
        <f>HYPERLINK("http://genome.ucsc.edu/cgi-bin/hgTracks?db=mm10&amp;lastVirtModeType=default&amp;lastVirtModeExtraState=&amp;virtModeType=default&amp;virtMode=0&amp;nonVirtPosition=&amp;position=chr9:57790504-57834234","chr9:57790504-57834234")</f>
        <v>chr9:57790504-57834234</v>
      </c>
      <c r="F998" t="s">
        <v>25</v>
      </c>
      <c r="G998">
        <v>1.08323277213019</v>
      </c>
      <c r="H998">
        <v>0.25526628921515399</v>
      </c>
      <c r="I998">
        <v>4.2435402475615298</v>
      </c>
      <c r="J998" s="1">
        <v>2.2002089005139498E-5</v>
      </c>
      <c r="K998">
        <v>2.9730572539639002E-4</v>
      </c>
      <c r="L998" t="s">
        <v>26</v>
      </c>
      <c r="M998" t="s">
        <v>27</v>
      </c>
      <c r="N998">
        <v>39.553458779235399</v>
      </c>
      <c r="O998">
        <v>22.919043024438</v>
      </c>
      <c r="P998">
        <v>52.0292705953335</v>
      </c>
      <c r="Q998">
        <v>29.5100049383034</v>
      </c>
      <c r="R998">
        <v>20.1005105555973</v>
      </c>
      <c r="S998">
        <v>19.146613579413401</v>
      </c>
      <c r="T998">
        <v>41.246592440231403</v>
      </c>
      <c r="U998">
        <v>59.955188884795</v>
      </c>
      <c r="V998">
        <v>54.438368167432998</v>
      </c>
      <c r="W998">
        <v>52.4769328888746</v>
      </c>
    </row>
    <row r="999" spans="1:23" x14ac:dyDescent="0.2">
      <c r="A999" t="s">
        <v>2008</v>
      </c>
      <c r="B999" s="3" t="str">
        <f>HYPERLINK("http://www.ncbi.nlm.nih.gov/gene/69662","2310061I04Rik")</f>
        <v>2310061I04Rik</v>
      </c>
      <c r="C999">
        <v>69662</v>
      </c>
      <c r="D999" t="s">
        <v>2009</v>
      </c>
      <c r="E999" s="3" t="str">
        <f>HYPERLINK("http://genome.ucsc.edu/cgi-bin/hgTracks?db=mm10&amp;lastVirtModeType=default&amp;lastVirtModeExtraState=&amp;virtModeType=default&amp;virtMode=0&amp;nonVirtPosition=&amp;position=chr17:35892676-35897378","chr17:35892676-35897378")</f>
        <v>chr17:35892676-35897378</v>
      </c>
      <c r="F999" t="s">
        <v>25</v>
      </c>
      <c r="G999">
        <v>0.96804284505537797</v>
      </c>
      <c r="H999">
        <v>0.228196537636431</v>
      </c>
      <c r="I999">
        <v>4.24214519239416</v>
      </c>
      <c r="J999" s="1">
        <v>2.21393380843829E-5</v>
      </c>
      <c r="K999">
        <v>2.9877525223044398E-4</v>
      </c>
      <c r="L999" t="s">
        <v>26</v>
      </c>
      <c r="M999" t="s">
        <v>27</v>
      </c>
      <c r="N999">
        <v>59.948994342430503</v>
      </c>
      <c r="O999">
        <v>36.440260772157302</v>
      </c>
      <c r="P999">
        <v>77.580544520135305</v>
      </c>
      <c r="Q999">
        <v>26.169249662269099</v>
      </c>
      <c r="R999">
        <v>40.2010211111945</v>
      </c>
      <c r="S999">
        <v>42.950511543008403</v>
      </c>
      <c r="T999">
        <v>82.493184880462707</v>
      </c>
      <c r="U999">
        <v>79.2264995977648</v>
      </c>
      <c r="V999">
        <v>69.887094269001906</v>
      </c>
      <c r="W999">
        <v>78.715399333311794</v>
      </c>
    </row>
    <row r="1000" spans="1:23" x14ac:dyDescent="0.2">
      <c r="A1000" t="s">
        <v>2010</v>
      </c>
      <c r="B1000" s="3" t="str">
        <f>HYPERLINK("http://www.ncbi.nlm.nih.gov/gene/224019","Tmem191c")</f>
        <v>Tmem191c</v>
      </c>
      <c r="C1000">
        <v>224019</v>
      </c>
      <c r="D1000" t="s">
        <v>2011</v>
      </c>
      <c r="E1000" s="3" t="str">
        <f>HYPERLINK("http://genome.ucsc.edu/cgi-bin/hgTracks?db=mm10&amp;lastVirtModeType=default&amp;lastVirtModeExtraState=&amp;virtModeType=default&amp;virtMode=0&amp;nonVirtPosition=&amp;position=chr16:17276299-17278661","chr16:17276299-17278661")</f>
        <v>chr16:17276299-17278661</v>
      </c>
      <c r="F1000" t="s">
        <v>30</v>
      </c>
      <c r="G1000">
        <v>1.0480868482619601</v>
      </c>
      <c r="H1000">
        <v>0.24707480921888</v>
      </c>
      <c r="I1000">
        <v>4.2419818174724302</v>
      </c>
      <c r="J1000" s="1">
        <v>2.2155464525788299E-5</v>
      </c>
      <c r="K1000">
        <v>2.9877525223044398E-4</v>
      </c>
      <c r="L1000" t="s">
        <v>26</v>
      </c>
      <c r="M1000" t="s">
        <v>27</v>
      </c>
      <c r="N1000">
        <v>47.3704633904388</v>
      </c>
      <c r="O1000">
        <v>27.651217479567901</v>
      </c>
      <c r="P1000">
        <v>62.159897823591997</v>
      </c>
      <c r="Q1000">
        <v>31.737175122326299</v>
      </c>
      <c r="R1000">
        <v>22.755294968600701</v>
      </c>
      <c r="S1000">
        <v>28.461182347776599</v>
      </c>
      <c r="T1000">
        <v>64.161366018137699</v>
      </c>
      <c r="U1000">
        <v>53.531418647138402</v>
      </c>
      <c r="V1000">
        <v>52.231407295780301</v>
      </c>
      <c r="W1000">
        <v>78.715399333311794</v>
      </c>
    </row>
    <row r="1001" spans="1:23" x14ac:dyDescent="0.2">
      <c r="A1001" t="s">
        <v>2012</v>
      </c>
      <c r="B1001" s="3" t="str">
        <f>HYPERLINK("http://www.ncbi.nlm.nih.gov/gene/66676","Tmed7")</f>
        <v>Tmed7</v>
      </c>
      <c r="C1001">
        <v>66676</v>
      </c>
      <c r="D1001" t="s">
        <v>2013</v>
      </c>
      <c r="E1001" s="3" t="str">
        <f>HYPERLINK("http://genome.ucsc.edu/cgi-bin/hgTracks?db=mm10&amp;lastVirtModeType=default&amp;lastVirtModeExtraState=&amp;virtModeType=default&amp;virtMode=0&amp;nonVirtPosition=&amp;position=chr18:46585927-46597535","chr18:46585927-46597535")</f>
        <v>chr18:46585927-46597535</v>
      </c>
      <c r="F1001" t="s">
        <v>25</v>
      </c>
      <c r="G1001">
        <v>-0.474220595441952</v>
      </c>
      <c r="H1001">
        <v>0.11190012955932301</v>
      </c>
      <c r="I1001">
        <v>-4.2378913885934901</v>
      </c>
      <c r="J1001" s="1">
        <v>2.2562886592440101E-5</v>
      </c>
      <c r="K1001">
        <v>3.0396339472773198E-4</v>
      </c>
      <c r="L1001" t="s">
        <v>26</v>
      </c>
      <c r="M1001" t="s">
        <v>27</v>
      </c>
      <c r="N1001">
        <v>980.47100612722602</v>
      </c>
      <c r="O1001">
        <v>1169.1233554974201</v>
      </c>
      <c r="P1001">
        <v>838.98174409958403</v>
      </c>
      <c r="Q1001">
        <v>1190.42246336024</v>
      </c>
      <c r="R1001">
        <v>1149.52165083048</v>
      </c>
      <c r="S1001">
        <v>1167.4259523015301</v>
      </c>
      <c r="T1001">
        <v>879.927305391603</v>
      </c>
      <c r="U1001">
        <v>869.35023882952703</v>
      </c>
      <c r="V1001">
        <v>888.66957765215</v>
      </c>
      <c r="W1001">
        <v>717.979854525056</v>
      </c>
    </row>
    <row r="1002" spans="1:23" x14ac:dyDescent="0.2">
      <c r="A1002" t="s">
        <v>2014</v>
      </c>
      <c r="B1002" s="3" t="str">
        <f>HYPERLINK("http://www.ncbi.nlm.nih.gov/gene/20430","Cyfip1")</f>
        <v>Cyfip1</v>
      </c>
      <c r="C1002">
        <v>20430</v>
      </c>
      <c r="D1002" t="s">
        <v>2015</v>
      </c>
      <c r="E1002" s="3" t="str">
        <f>HYPERLINK("http://genome.ucsc.edu/cgi-bin/hgTracks?db=mm10&amp;lastVirtModeType=default&amp;lastVirtModeExtraState=&amp;virtModeType=default&amp;virtMode=0&amp;nonVirtPosition=&amp;position=chr7:55842070-55932633","chr7:55842070-55932633")</f>
        <v>chr7:55842070-55932633</v>
      </c>
      <c r="F1002" t="s">
        <v>30</v>
      </c>
      <c r="G1002">
        <v>-0.53375982366195895</v>
      </c>
      <c r="H1002">
        <v>0.125974707364297</v>
      </c>
      <c r="I1002">
        <v>-4.2370395996905801</v>
      </c>
      <c r="J1002" s="1">
        <v>2.26486203165315E-5</v>
      </c>
      <c r="K1002">
        <v>3.0481173332529902E-4</v>
      </c>
      <c r="L1002" t="s">
        <v>26</v>
      </c>
      <c r="M1002" t="s">
        <v>27</v>
      </c>
      <c r="N1002">
        <v>987.04445226745702</v>
      </c>
      <c r="O1002">
        <v>1208.00508755244</v>
      </c>
      <c r="P1002">
        <v>821.32397580372196</v>
      </c>
      <c r="Q1002">
        <v>1344.6539986038299</v>
      </c>
      <c r="R1002">
        <v>1063.8100397820799</v>
      </c>
      <c r="S1002">
        <v>1215.5512242714101</v>
      </c>
      <c r="T1002">
        <v>751.60457335532703</v>
      </c>
      <c r="U1002">
        <v>845.79641462478605</v>
      </c>
      <c r="V1002">
        <v>911.47483999256099</v>
      </c>
      <c r="W1002">
        <v>776.42007524221196</v>
      </c>
    </row>
    <row r="1003" spans="1:23" x14ac:dyDescent="0.2">
      <c r="A1003" t="s">
        <v>2016</v>
      </c>
      <c r="B1003" s="3" t="str">
        <f>HYPERLINK("http://www.ncbi.nlm.nih.gov/gene/12748","Clk2")</f>
        <v>Clk2</v>
      </c>
      <c r="C1003">
        <v>12748</v>
      </c>
      <c r="D1003" t="s">
        <v>2017</v>
      </c>
      <c r="E1003" s="3" t="str">
        <f>HYPERLINK("http://genome.ucsc.edu/cgi-bin/hgTracks?db=mm10&amp;lastVirtModeType=default&amp;lastVirtModeExtraState=&amp;virtModeType=default&amp;virtMode=0&amp;nonVirtPosition=&amp;position=chr3:89164794-89177087","chr3:89164794-89177087")</f>
        <v>chr3:89164794-89177087</v>
      </c>
      <c r="F1003" t="s">
        <v>30</v>
      </c>
      <c r="G1003">
        <v>0.67210152981528903</v>
      </c>
      <c r="H1003">
        <v>0.158734935027213</v>
      </c>
      <c r="I1003">
        <v>4.2341122305563497</v>
      </c>
      <c r="J1003" s="1">
        <v>2.2945633848768399E-5</v>
      </c>
      <c r="K1003">
        <v>3.08498978783994E-4</v>
      </c>
      <c r="L1003" t="s">
        <v>26</v>
      </c>
      <c r="M1003" t="s">
        <v>27</v>
      </c>
      <c r="N1003">
        <v>192.53994747919299</v>
      </c>
      <c r="O1003">
        <v>139.871880690231</v>
      </c>
      <c r="P1003">
        <v>232.04099757091501</v>
      </c>
      <c r="Q1003">
        <v>119.153604845225</v>
      </c>
      <c r="R1003">
        <v>146.77165254747399</v>
      </c>
      <c r="S1003">
        <v>153.69038467799399</v>
      </c>
      <c r="T1003">
        <v>270.39432821929501</v>
      </c>
      <c r="U1003">
        <v>211.98441784266799</v>
      </c>
      <c r="V1003">
        <v>200.09778569651101</v>
      </c>
      <c r="W1003">
        <v>245.68745852518501</v>
      </c>
    </row>
    <row r="1004" spans="1:23" x14ac:dyDescent="0.2">
      <c r="A1004" t="s">
        <v>2018</v>
      </c>
      <c r="B1004" s="3" t="str">
        <f>HYPERLINK("http://www.ncbi.nlm.nih.gov/gene/15159","Hccs")</f>
        <v>Hccs</v>
      </c>
      <c r="C1004">
        <v>15159</v>
      </c>
      <c r="D1004" t="s">
        <v>2019</v>
      </c>
      <c r="E1004" s="3" t="str">
        <f>HYPERLINK("http://genome.ucsc.edu/cgi-bin/hgTracks?db=mm10&amp;lastVirtModeType=default&amp;lastVirtModeExtraState=&amp;virtModeType=default&amp;virtMode=0&amp;nonVirtPosition=&amp;position=chrX:169311530-169320372","chrX:169311530-169320372")</f>
        <v>chrX:169311530-169320372</v>
      </c>
      <c r="F1004" t="s">
        <v>25</v>
      </c>
      <c r="G1004">
        <v>-0.63764819625357805</v>
      </c>
      <c r="H1004">
        <v>0.15061298011476701</v>
      </c>
      <c r="I1004">
        <v>-4.2336868692704499</v>
      </c>
      <c r="J1004" s="1">
        <v>2.2989098597990202E-5</v>
      </c>
      <c r="K1004">
        <v>3.0877333934371798E-4</v>
      </c>
      <c r="L1004" t="s">
        <v>26</v>
      </c>
      <c r="M1004" t="s">
        <v>27</v>
      </c>
      <c r="N1004">
        <v>179.949939579101</v>
      </c>
      <c r="O1004">
        <v>227.78882569892599</v>
      </c>
      <c r="P1004">
        <v>144.07077498923201</v>
      </c>
      <c r="Q1004">
        <v>207.12682711413001</v>
      </c>
      <c r="R1004">
        <v>248.03271515774699</v>
      </c>
      <c r="S1004">
        <v>228.2069348249</v>
      </c>
      <c r="T1004">
        <v>155.82046032976299</v>
      </c>
      <c r="U1004">
        <v>126.33414800724699</v>
      </c>
      <c r="V1004">
        <v>158.16552913510901</v>
      </c>
      <c r="W1004">
        <v>135.96296248481099</v>
      </c>
    </row>
    <row r="1005" spans="1:23" x14ac:dyDescent="0.2">
      <c r="A1005" t="s">
        <v>2020</v>
      </c>
      <c r="B1005" s="3" t="str">
        <f>HYPERLINK("http://www.ncbi.nlm.nih.gov/gene/16852","Lgals1")</f>
        <v>Lgals1</v>
      </c>
      <c r="C1005">
        <v>16852</v>
      </c>
      <c r="D1005" t="s">
        <v>2021</v>
      </c>
      <c r="E1005" s="3" t="str">
        <f>HYPERLINK("http://genome.ucsc.edu/cgi-bin/hgTracks?db=mm10&amp;lastVirtModeType=default&amp;lastVirtModeExtraState=&amp;virtModeType=default&amp;virtMode=0&amp;nonVirtPosition=&amp;position=chr15:78926724-78930465","chr15:78926724-78930465")</f>
        <v>chr15:78926724-78930465</v>
      </c>
      <c r="F1005" t="s">
        <v>30</v>
      </c>
      <c r="G1005">
        <v>-0.95196604983286004</v>
      </c>
      <c r="H1005">
        <v>0.224981762473177</v>
      </c>
      <c r="I1005">
        <v>-4.2313031926148001</v>
      </c>
      <c r="J1005" s="1">
        <v>2.3234123592843901E-5</v>
      </c>
      <c r="K1005">
        <v>3.1156852569300299E-4</v>
      </c>
      <c r="L1005" t="s">
        <v>26</v>
      </c>
      <c r="M1005" t="s">
        <v>27</v>
      </c>
      <c r="N1005">
        <v>391.77530974204598</v>
      </c>
      <c r="O1005">
        <v>560.52306206435605</v>
      </c>
      <c r="P1005">
        <v>265.21449550031298</v>
      </c>
      <c r="Q1005">
        <v>449.33158462661999</v>
      </c>
      <c r="R1005">
        <v>593.15468884819097</v>
      </c>
      <c r="S1005">
        <v>639.08291271825703</v>
      </c>
      <c r="T1005">
        <v>123.739777320694</v>
      </c>
      <c r="U1005">
        <v>314.76474164517401</v>
      </c>
      <c r="V1005">
        <v>342.07893510616702</v>
      </c>
      <c r="W1005">
        <v>280.27452792921599</v>
      </c>
    </row>
    <row r="1006" spans="1:23" x14ac:dyDescent="0.2">
      <c r="A1006" t="s">
        <v>2022</v>
      </c>
      <c r="B1006" s="3" t="str">
        <f>HYPERLINK("http://www.ncbi.nlm.nih.gov/gene/24084","Tekt2")</f>
        <v>Tekt2</v>
      </c>
      <c r="C1006">
        <v>24084</v>
      </c>
      <c r="D1006" t="s">
        <v>2023</v>
      </c>
      <c r="E1006" s="3" t="str">
        <f>HYPERLINK("http://genome.ucsc.edu/cgi-bin/hgTracks?db=mm10&amp;lastVirtModeType=default&amp;lastVirtModeExtraState=&amp;virtModeType=default&amp;virtMode=0&amp;nonVirtPosition=&amp;position=chr4:126322120-126325199","chr4:126322120-126325199")</f>
        <v>chr4:126322120-126325199</v>
      </c>
      <c r="F1006" t="s">
        <v>25</v>
      </c>
      <c r="G1006">
        <v>1.58700212494405</v>
      </c>
      <c r="H1006">
        <v>0.37507050835292799</v>
      </c>
      <c r="I1006">
        <v>4.2312101047697901</v>
      </c>
      <c r="J1006" s="1">
        <v>2.3243742600799799E-5</v>
      </c>
      <c r="K1006">
        <v>3.1156852569300299E-4</v>
      </c>
      <c r="L1006" t="s">
        <v>26</v>
      </c>
      <c r="M1006" t="s">
        <v>27</v>
      </c>
      <c r="N1006">
        <v>13.7233420425639</v>
      </c>
      <c r="O1006">
        <v>3.6114232476378301</v>
      </c>
      <c r="P1006">
        <v>21.307281138758398</v>
      </c>
      <c r="Q1006">
        <v>4.4543403680458002</v>
      </c>
      <c r="R1006">
        <v>3.7925491614334499</v>
      </c>
      <c r="S1006">
        <v>2.5873802134342401</v>
      </c>
      <c r="T1006">
        <v>32.0806830090688</v>
      </c>
      <c r="U1006">
        <v>25.695080950626402</v>
      </c>
      <c r="V1006">
        <v>9.5634971104949908</v>
      </c>
      <c r="W1006">
        <v>17.889863484843598</v>
      </c>
    </row>
    <row r="1007" spans="1:23" x14ac:dyDescent="0.2">
      <c r="A1007" t="s">
        <v>2024</v>
      </c>
      <c r="B1007" s="3" t="str">
        <f>HYPERLINK("http://www.ncbi.nlm.nih.gov/gene/20354","Sema4d")</f>
        <v>Sema4d</v>
      </c>
      <c r="C1007">
        <v>20354</v>
      </c>
      <c r="D1007" t="s">
        <v>2025</v>
      </c>
      <c r="E1007" s="3" t="str">
        <f>HYPERLINK("http://genome.ucsc.edu/cgi-bin/hgTracks?db=mm10&amp;lastVirtModeType=default&amp;lastVirtModeExtraState=&amp;virtModeType=default&amp;virtMode=0&amp;nonVirtPosition=&amp;position=chr13:51701247-51793747","chr13:51701247-51793747")</f>
        <v>chr13:51701247-51793747</v>
      </c>
      <c r="F1007" t="s">
        <v>25</v>
      </c>
      <c r="G1007">
        <v>0.81579780008654801</v>
      </c>
      <c r="H1007">
        <v>0.192868987760108</v>
      </c>
      <c r="I1007">
        <v>4.2298028810170596</v>
      </c>
      <c r="J1007" s="1">
        <v>2.3389617120791202E-5</v>
      </c>
      <c r="K1007">
        <v>3.1321036286451498E-4</v>
      </c>
      <c r="L1007" t="s">
        <v>26</v>
      </c>
      <c r="M1007" t="s">
        <v>27</v>
      </c>
      <c r="N1007">
        <v>214.081191387291</v>
      </c>
      <c r="O1007">
        <v>143.55090463054799</v>
      </c>
      <c r="P1007">
        <v>266.97890645484802</v>
      </c>
      <c r="Q1007">
        <v>180.40078490585501</v>
      </c>
      <c r="R1007">
        <v>114.15572975914699</v>
      </c>
      <c r="S1007">
        <v>136.096199226641</v>
      </c>
      <c r="T1007">
        <v>352.88751309975697</v>
      </c>
      <c r="U1007">
        <v>211.98441784266799</v>
      </c>
      <c r="V1007">
        <v>244.23700312956399</v>
      </c>
      <c r="W1007">
        <v>258.80669174740399</v>
      </c>
    </row>
    <row r="1008" spans="1:23" x14ac:dyDescent="0.2">
      <c r="A1008" t="s">
        <v>2026</v>
      </c>
      <c r="B1008" s="3" t="str">
        <f>HYPERLINK("http://www.ncbi.nlm.nih.gov/gene/381820","Smim10l1")</f>
        <v>Smim10l1</v>
      </c>
      <c r="C1008">
        <v>381820</v>
      </c>
      <c r="D1008" t="s">
        <v>2027</v>
      </c>
      <c r="E1008" s="3" t="str">
        <f>HYPERLINK("http://genome.ucsc.edu/cgi-bin/hgTracks?db=mm10&amp;lastVirtModeType=default&amp;lastVirtModeExtraState=&amp;virtModeType=default&amp;virtMode=0&amp;nonVirtPosition=&amp;position=chr6:133105238-133107750","chr6:133105238-133107750")</f>
        <v>chr6:133105238-133107750</v>
      </c>
      <c r="F1008" t="s">
        <v>30</v>
      </c>
      <c r="G1008">
        <v>-0.75047716490509397</v>
      </c>
      <c r="H1008">
        <v>0.17743953023126399</v>
      </c>
      <c r="I1008">
        <v>-4.2294812431422102</v>
      </c>
      <c r="J1008" s="1">
        <v>2.3423080588007498E-5</v>
      </c>
      <c r="K1008">
        <v>3.1334512702698201E-4</v>
      </c>
      <c r="L1008" t="s">
        <v>26</v>
      </c>
      <c r="M1008" t="s">
        <v>27</v>
      </c>
      <c r="N1008">
        <v>456.61411031974802</v>
      </c>
      <c r="O1008">
        <v>597.78898431751702</v>
      </c>
      <c r="P1008">
        <v>350.732954821421</v>
      </c>
      <c r="Q1008">
        <v>746.65880419367704</v>
      </c>
      <c r="R1008">
        <v>588.22437493832797</v>
      </c>
      <c r="S1008">
        <v>458.48377382054701</v>
      </c>
      <c r="T1008">
        <v>421.63183383347598</v>
      </c>
      <c r="U1008">
        <v>351.16610632522799</v>
      </c>
      <c r="V1008">
        <v>294.99710317757598</v>
      </c>
      <c r="W1008">
        <v>335.13677594940299</v>
      </c>
    </row>
    <row r="1009" spans="1:23" x14ac:dyDescent="0.2">
      <c r="A1009" t="s">
        <v>2028</v>
      </c>
      <c r="B1009" s="3" t="str">
        <f>HYPERLINK("http://www.ncbi.nlm.nih.gov/gene/56455","Dynll1")</f>
        <v>Dynll1</v>
      </c>
      <c r="C1009">
        <v>56455</v>
      </c>
      <c r="D1009" t="s">
        <v>2029</v>
      </c>
      <c r="E1009" s="3" t="str">
        <f>HYPERLINK("http://genome.ucsc.edu/cgi-bin/hgTracks?db=mm10&amp;lastVirtModeType=default&amp;lastVirtModeExtraState=&amp;virtModeType=default&amp;virtMode=0&amp;nonVirtPosition=&amp;position=chr5:115297109-115300990","chr5:115297109-115300990")</f>
        <v>chr5:115297109-115300990</v>
      </c>
      <c r="F1009" t="s">
        <v>25</v>
      </c>
      <c r="G1009">
        <v>-0.55093501262318101</v>
      </c>
      <c r="H1009">
        <v>0.130267716173746</v>
      </c>
      <c r="I1009">
        <v>-4.2292521033251598</v>
      </c>
      <c r="J1009" s="1">
        <v>2.3446948264773201E-5</v>
      </c>
      <c r="K1009">
        <v>3.13351381450677E-4</v>
      </c>
      <c r="L1009" t="s">
        <v>26</v>
      </c>
      <c r="M1009" t="s">
        <v>27</v>
      </c>
      <c r="N1009">
        <v>381.50748828526503</v>
      </c>
      <c r="O1009">
        <v>473.055349651987</v>
      </c>
      <c r="P1009">
        <v>312.84659226022399</v>
      </c>
      <c r="Q1009">
        <v>521.15782306135895</v>
      </c>
      <c r="R1009">
        <v>435.38464373255999</v>
      </c>
      <c r="S1009">
        <v>462.623582162042</v>
      </c>
      <c r="T1009">
        <v>270.39432821929501</v>
      </c>
      <c r="U1009">
        <v>297.63468767808899</v>
      </c>
      <c r="V1009">
        <v>339.87197423451403</v>
      </c>
      <c r="W1009">
        <v>343.48537890899701</v>
      </c>
    </row>
    <row r="1010" spans="1:23" x14ac:dyDescent="0.2">
      <c r="A1010" t="s">
        <v>2030</v>
      </c>
      <c r="B1010" s="3" t="str">
        <f>HYPERLINK("http://www.ncbi.nlm.nih.gov/gene/83603","Elovl4")</f>
        <v>Elovl4</v>
      </c>
      <c r="C1010">
        <v>83603</v>
      </c>
      <c r="D1010" t="s">
        <v>2031</v>
      </c>
      <c r="E1010" s="3" t="str">
        <f>HYPERLINK("http://genome.ucsc.edu/cgi-bin/hgTracks?db=mm10&amp;lastVirtModeType=default&amp;lastVirtModeExtraState=&amp;virtModeType=default&amp;virtMode=0&amp;nonVirtPosition=&amp;position=chr9:83778691-83806305","chr9:83778691-83806305")</f>
        <v>chr9:83778691-83806305</v>
      </c>
      <c r="F1010" t="s">
        <v>25</v>
      </c>
      <c r="G1010">
        <v>-0.72870853106631805</v>
      </c>
      <c r="H1010">
        <v>0.172398503776138</v>
      </c>
      <c r="I1010">
        <v>-4.2268843122476198</v>
      </c>
      <c r="J1010" s="1">
        <v>2.36949411974771E-5</v>
      </c>
      <c r="K1010">
        <v>3.1634990785186102E-4</v>
      </c>
      <c r="L1010" t="s">
        <v>26</v>
      </c>
      <c r="M1010" t="s">
        <v>27</v>
      </c>
      <c r="N1010">
        <v>186.61277354001399</v>
      </c>
      <c r="O1010">
        <v>246.92071904219799</v>
      </c>
      <c r="P1010">
        <v>141.38181441337599</v>
      </c>
      <c r="Q1010">
        <v>208.797204752147</v>
      </c>
      <c r="R1010">
        <v>288.23373626894198</v>
      </c>
      <c r="S1010">
        <v>243.73121610550501</v>
      </c>
      <c r="T1010">
        <v>100.825003742788</v>
      </c>
      <c r="U1010">
        <v>167.018026179072</v>
      </c>
      <c r="V1010">
        <v>148.602032024614</v>
      </c>
      <c r="W1010">
        <v>149.08219570703</v>
      </c>
    </row>
    <row r="1011" spans="1:23" x14ac:dyDescent="0.2">
      <c r="A1011" t="s">
        <v>2032</v>
      </c>
      <c r="B1011" s="3" t="str">
        <f>HYPERLINK("http://www.ncbi.nlm.nih.gov/gene/19144","Klk6")</f>
        <v>Klk6</v>
      </c>
      <c r="C1011">
        <v>19144</v>
      </c>
      <c r="D1011" t="s">
        <v>2033</v>
      </c>
      <c r="E1011" s="3" t="str">
        <f>HYPERLINK("http://genome.ucsc.edu/cgi-bin/hgTracks?db=mm10&amp;lastVirtModeType=default&amp;lastVirtModeExtraState=&amp;virtModeType=default&amp;virtMode=0&amp;nonVirtPosition=&amp;position=chr7:43825449-43832027","chr7:43825449-43832027")</f>
        <v>chr7:43825449-43832027</v>
      </c>
      <c r="F1011" t="s">
        <v>30</v>
      </c>
      <c r="G1011">
        <v>-1.59787744940817</v>
      </c>
      <c r="H1011">
        <v>0.37806548339422902</v>
      </c>
      <c r="I1011">
        <v>-4.2264568430384299</v>
      </c>
      <c r="J1011" s="1">
        <v>2.3739977740584799E-5</v>
      </c>
      <c r="K1011">
        <v>3.1663549992447297E-4</v>
      </c>
      <c r="L1011" t="s">
        <v>26</v>
      </c>
      <c r="M1011" t="s">
        <v>27</v>
      </c>
      <c r="N1011">
        <v>10.492895919376799</v>
      </c>
      <c r="O1011">
        <v>20.544289148454901</v>
      </c>
      <c r="P1011">
        <v>2.95435099756829</v>
      </c>
      <c r="Q1011">
        <v>23.385286932240501</v>
      </c>
      <c r="R1011">
        <v>18.583490891023899</v>
      </c>
      <c r="S1011">
        <v>19.6640896221002</v>
      </c>
      <c r="T1011">
        <v>0</v>
      </c>
      <c r="U1011">
        <v>4.2825134917710699</v>
      </c>
      <c r="V1011">
        <v>5.1495753671896098</v>
      </c>
      <c r="W1011">
        <v>2.3853151313124799</v>
      </c>
    </row>
    <row r="1012" spans="1:23" x14ac:dyDescent="0.2">
      <c r="A1012" t="s">
        <v>2034</v>
      </c>
      <c r="B1012" s="3" t="str">
        <f>HYPERLINK("http://www.ncbi.nlm.nih.gov/gene/74303","1700109K24Rik")</f>
        <v>1700109K24Rik</v>
      </c>
      <c r="C1012">
        <v>74303</v>
      </c>
      <c r="D1012" t="s">
        <v>2035</v>
      </c>
      <c r="E1012" s="3" t="str">
        <f>HYPERLINK("http://genome.ucsc.edu/cgi-bin/hgTracks?db=mm10&amp;lastVirtModeType=default&amp;lastVirtModeExtraState=&amp;virtModeType=default&amp;virtMode=0&amp;nonVirtPosition=&amp;position=chr15:77084397-77096314","chr15:77084397-77096314")</f>
        <v>chr15:77084397-77096314</v>
      </c>
      <c r="F1012" t="s">
        <v>30</v>
      </c>
      <c r="G1012">
        <v>1.35440573087935</v>
      </c>
      <c r="H1012">
        <v>0.32057023543579199</v>
      </c>
      <c r="I1012">
        <v>4.2249890387924998</v>
      </c>
      <c r="J1012" s="1">
        <v>2.3895240841887999E-5</v>
      </c>
      <c r="K1012">
        <v>3.1838922399375299E-4</v>
      </c>
      <c r="L1012" t="s">
        <v>26</v>
      </c>
      <c r="M1012" t="s">
        <v>27</v>
      </c>
      <c r="N1012">
        <v>19.690474097496999</v>
      </c>
      <c r="O1012">
        <v>8.7123524776925301</v>
      </c>
      <c r="P1012">
        <v>27.9240653123504</v>
      </c>
      <c r="Q1012">
        <v>7.2383030980744296</v>
      </c>
      <c r="R1012">
        <v>10.619137652013601</v>
      </c>
      <c r="S1012">
        <v>8.2796166829895608</v>
      </c>
      <c r="T1012">
        <v>27.497728293487601</v>
      </c>
      <c r="U1012">
        <v>19.2713107129698</v>
      </c>
      <c r="V1012">
        <v>27.954837707600699</v>
      </c>
      <c r="W1012">
        <v>36.972384535343402</v>
      </c>
    </row>
    <row r="1013" spans="1:23" x14ac:dyDescent="0.2">
      <c r="A1013" t="s">
        <v>2036</v>
      </c>
      <c r="B1013" s="3" t="str">
        <f>HYPERLINK("http://www.ncbi.nlm.nih.gov/gene/231225","Tapt1")</f>
        <v>Tapt1</v>
      </c>
      <c r="C1013">
        <v>231225</v>
      </c>
      <c r="D1013" t="s">
        <v>2037</v>
      </c>
      <c r="E1013" s="3" t="str">
        <f>HYPERLINK("http://genome.ucsc.edu/cgi-bin/hgTracks?db=mm10&amp;lastVirtModeType=default&amp;lastVirtModeExtraState=&amp;virtModeType=default&amp;virtMode=0&amp;nonVirtPosition=&amp;position=chr5:44175161-44226606","chr5:44175161-44226606")</f>
        <v>chr5:44175161-44226606</v>
      </c>
      <c r="F1013" t="s">
        <v>25</v>
      </c>
      <c r="G1013">
        <v>-0.50217521138906496</v>
      </c>
      <c r="H1013">
        <v>0.118876747925674</v>
      </c>
      <c r="I1013">
        <v>-4.22433503735349</v>
      </c>
      <c r="J1013" s="1">
        <v>2.39647312764151E-5</v>
      </c>
      <c r="K1013">
        <v>3.1899773014162501E-4</v>
      </c>
      <c r="L1013" t="s">
        <v>26</v>
      </c>
      <c r="M1013" t="s">
        <v>27</v>
      </c>
      <c r="N1013">
        <v>265.81763448785603</v>
      </c>
      <c r="O1013">
        <v>319.50725261974702</v>
      </c>
      <c r="P1013">
        <v>225.550420888937</v>
      </c>
      <c r="Q1013">
        <v>311.80382576320602</v>
      </c>
      <c r="R1013">
        <v>326.91773771556302</v>
      </c>
      <c r="S1013">
        <v>319.80019438047202</v>
      </c>
      <c r="T1013">
        <v>229.147735779063</v>
      </c>
      <c r="U1013">
        <v>237.67949879329399</v>
      </c>
      <c r="V1013">
        <v>220.69608716526901</v>
      </c>
      <c r="W1013">
        <v>214.67836181812299</v>
      </c>
    </row>
    <row r="1014" spans="1:23" x14ac:dyDescent="0.2">
      <c r="A1014" t="s">
        <v>2038</v>
      </c>
      <c r="B1014" s="3" t="str">
        <f>HYPERLINK("http://www.ncbi.nlm.nih.gov/gene/170942","Erdr1")</f>
        <v>Erdr1</v>
      </c>
      <c r="C1014">
        <v>170942</v>
      </c>
      <c r="D1014" t="s">
        <v>2039</v>
      </c>
      <c r="E1014" s="3" t="str">
        <f>HYPERLINK("http://genome.ucsc.edu/cgi-bin/hgTracks?db=mm10&amp;lastVirtModeType=default&amp;lastVirtModeExtraState=&amp;virtModeType=default&amp;virtMode=0&amp;nonVirtPosition=&amp;position=chrY:90785441-90816465","chrY:90785441-90816465")</f>
        <v>chrY:90785441-90816465</v>
      </c>
      <c r="F1014" t="s">
        <v>30</v>
      </c>
      <c r="G1014">
        <v>1.59689466860179</v>
      </c>
      <c r="H1014">
        <v>0.37823604839136499</v>
      </c>
      <c r="I1014">
        <v>4.2219526018034896</v>
      </c>
      <c r="J1014" s="1">
        <v>2.4219504704052198E-5</v>
      </c>
      <c r="K1014">
        <v>3.2206890515587197E-4</v>
      </c>
      <c r="L1014" t="s">
        <v>26</v>
      </c>
      <c r="M1014" t="s">
        <v>27</v>
      </c>
      <c r="N1014">
        <v>25.674791804747802</v>
      </c>
      <c r="O1014">
        <v>7.1060345611207296</v>
      </c>
      <c r="P1014">
        <v>39.601359737468101</v>
      </c>
      <c r="Q1014">
        <v>3.8975478220400701</v>
      </c>
      <c r="R1014">
        <v>1.8962745807167201</v>
      </c>
      <c r="S1014">
        <v>15.5242812806054</v>
      </c>
      <c r="T1014">
        <v>50.4125018713939</v>
      </c>
      <c r="U1014">
        <v>34.260107934168602</v>
      </c>
      <c r="V1014">
        <v>27.219184083716499</v>
      </c>
      <c r="W1014">
        <v>46.513645060593397</v>
      </c>
    </row>
    <row r="1015" spans="1:23" x14ac:dyDescent="0.2">
      <c r="A1015" t="s">
        <v>2040</v>
      </c>
      <c r="B1015" s="3" t="str">
        <f>HYPERLINK("http://www.ncbi.nlm.nih.gov/gene/14673","Gna12")</f>
        <v>Gna12</v>
      </c>
      <c r="C1015">
        <v>14673</v>
      </c>
      <c r="D1015" t="s">
        <v>2041</v>
      </c>
      <c r="E1015" s="3" t="str">
        <f>HYPERLINK("http://genome.ucsc.edu/cgi-bin/hgTracks?db=mm10&amp;lastVirtModeType=default&amp;lastVirtModeExtraState=&amp;virtModeType=default&amp;virtMode=0&amp;nonVirtPosition=&amp;position=chr5:140759943-140830431","chr5:140759943-140830431")</f>
        <v>chr5:140759943-140830431</v>
      </c>
      <c r="F1015" t="s">
        <v>25</v>
      </c>
      <c r="G1015">
        <v>-0.48560097415790998</v>
      </c>
      <c r="H1015">
        <v>0.11506707538356201</v>
      </c>
      <c r="I1015">
        <v>-4.2201557008311701</v>
      </c>
      <c r="J1015" s="1">
        <v>2.44133646349719E-5</v>
      </c>
      <c r="K1015">
        <v>3.2377221588906802E-4</v>
      </c>
      <c r="L1015" t="s">
        <v>26</v>
      </c>
      <c r="M1015" t="s">
        <v>27</v>
      </c>
      <c r="N1015">
        <v>735.570077989639</v>
      </c>
      <c r="O1015">
        <v>882.76472774144599</v>
      </c>
      <c r="P1015">
        <v>625.17409067578399</v>
      </c>
      <c r="Q1015">
        <v>948.21770584775004</v>
      </c>
      <c r="R1015">
        <v>813.12254021133106</v>
      </c>
      <c r="S1015">
        <v>886.953937165257</v>
      </c>
      <c r="T1015">
        <v>600.367067741146</v>
      </c>
      <c r="U1015">
        <v>689.48467217514201</v>
      </c>
      <c r="V1015">
        <v>640.75430640316404</v>
      </c>
      <c r="W1015">
        <v>570.09031638368299</v>
      </c>
    </row>
    <row r="1016" spans="1:23" x14ac:dyDescent="0.2">
      <c r="A1016" t="s">
        <v>2042</v>
      </c>
      <c r="B1016" s="3" t="str">
        <f>HYPERLINK("http://www.ncbi.nlm.nih.gov/gene/226976","Kansl3")</f>
        <v>Kansl3</v>
      </c>
      <c r="C1016">
        <v>226976</v>
      </c>
      <c r="D1016" t="s">
        <v>2043</v>
      </c>
      <c r="E1016" s="3" t="str">
        <f>HYPERLINK("http://genome.ucsc.edu/cgi-bin/hgTracks?db=mm10&amp;lastVirtModeType=default&amp;lastVirtModeExtraState=&amp;virtModeType=default&amp;virtMode=0&amp;nonVirtPosition=&amp;position=chr1:36335729-36369181","chr1:36335729-36369181")</f>
        <v>chr1:36335729-36369181</v>
      </c>
      <c r="F1016" t="s">
        <v>25</v>
      </c>
      <c r="G1016">
        <v>0.52166787600146103</v>
      </c>
      <c r="H1016">
        <v>0.123613662284703</v>
      </c>
      <c r="I1016">
        <v>4.22014740409496</v>
      </c>
      <c r="J1016" s="1">
        <v>2.4414263148581E-5</v>
      </c>
      <c r="K1016">
        <v>3.2377221588906802E-4</v>
      </c>
      <c r="L1016" t="s">
        <v>26</v>
      </c>
      <c r="M1016" t="s">
        <v>27</v>
      </c>
      <c r="N1016">
        <v>355.10827712769299</v>
      </c>
      <c r="O1016">
        <v>281.82299400788997</v>
      </c>
      <c r="P1016">
        <v>410.07223946754601</v>
      </c>
      <c r="Q1016">
        <v>275.05551772682799</v>
      </c>
      <c r="R1016">
        <v>259.41036264204803</v>
      </c>
      <c r="S1016">
        <v>311.00310165479499</v>
      </c>
      <c r="T1016">
        <v>449.129562126964</v>
      </c>
      <c r="U1016">
        <v>366.15490354642702</v>
      </c>
      <c r="V1016">
        <v>417.11560474235898</v>
      </c>
      <c r="W1016">
        <v>407.88888745443398</v>
      </c>
    </row>
    <row r="1017" spans="1:23" x14ac:dyDescent="0.2">
      <c r="A1017" t="s">
        <v>2044</v>
      </c>
      <c r="B1017" s="3" t="str">
        <f>HYPERLINK("http://www.ncbi.nlm.nih.gov/gene/319200","Gpr82")</f>
        <v>Gpr82</v>
      </c>
      <c r="C1017">
        <v>319200</v>
      </c>
      <c r="D1017" t="s">
        <v>2045</v>
      </c>
      <c r="E1017" s="3" t="str">
        <f>HYPERLINK("http://genome.ucsc.edu/cgi-bin/hgTracks?db=mm10&amp;lastVirtModeType=default&amp;lastVirtModeExtraState=&amp;virtModeType=default&amp;virtMode=0&amp;nonVirtPosition=&amp;position=chrX:13661362-13667433","chrX:13661362-13667433")</f>
        <v>chrX:13661362-13667433</v>
      </c>
      <c r="F1017" t="s">
        <v>30</v>
      </c>
      <c r="G1017">
        <v>1.2989934604854201</v>
      </c>
      <c r="H1017">
        <v>0.30781155356171802</v>
      </c>
      <c r="I1017">
        <v>4.2200932533384297</v>
      </c>
      <c r="J1017" s="1">
        <v>2.4420128298705E-5</v>
      </c>
      <c r="K1017">
        <v>3.2377221588906802E-4</v>
      </c>
      <c r="L1017" t="s">
        <v>26</v>
      </c>
      <c r="M1017" t="s">
        <v>27</v>
      </c>
      <c r="N1017">
        <v>26.317041753114299</v>
      </c>
      <c r="O1017">
        <v>12.2952791191284</v>
      </c>
      <c r="P1017">
        <v>36.833363728603601</v>
      </c>
      <c r="Q1017">
        <v>17.260568926177498</v>
      </c>
      <c r="R1017">
        <v>7.2058434067235497</v>
      </c>
      <c r="S1017">
        <v>12.419425024484299</v>
      </c>
      <c r="T1017">
        <v>41.246592440231403</v>
      </c>
      <c r="U1017">
        <v>34.260107934168602</v>
      </c>
      <c r="V1017">
        <v>36.047027570327302</v>
      </c>
      <c r="W1017">
        <v>35.779726969687196</v>
      </c>
    </row>
    <row r="1018" spans="1:23" x14ac:dyDescent="0.2">
      <c r="A1018" t="s">
        <v>2046</v>
      </c>
      <c r="B1018" s="3" t="str">
        <f>HYPERLINK("http://www.ncbi.nlm.nih.gov/gene/18088","Nkx2-2")</f>
        <v>Nkx2-2</v>
      </c>
      <c r="C1018">
        <v>18088</v>
      </c>
      <c r="D1018" t="s">
        <v>2047</v>
      </c>
      <c r="E1018" s="3" t="str">
        <f>HYPERLINK("http://genome.ucsc.edu/cgi-bin/hgTracks?db=mm10&amp;lastVirtModeType=default&amp;lastVirtModeExtraState=&amp;virtModeType=default&amp;virtMode=0&amp;nonVirtPosition=&amp;position=chr2:147183151-147186402","chr2:147183151-147186402")</f>
        <v>chr2:147183151-147186402</v>
      </c>
      <c r="F1018" t="s">
        <v>25</v>
      </c>
      <c r="G1018">
        <v>0.78519462275073804</v>
      </c>
      <c r="H1018">
        <v>0.186298227641435</v>
      </c>
      <c r="I1018">
        <v>4.2147186942754296</v>
      </c>
      <c r="J1018" s="1">
        <v>2.5008971167016901E-5</v>
      </c>
      <c r="K1018">
        <v>3.3125136785115998E-4</v>
      </c>
      <c r="L1018" t="s">
        <v>26</v>
      </c>
      <c r="M1018" t="s">
        <v>27</v>
      </c>
      <c r="N1018">
        <v>164.869424366347</v>
      </c>
      <c r="O1018">
        <v>112.372364639529</v>
      </c>
      <c r="P1018">
        <v>204.242219161462</v>
      </c>
      <c r="Q1018">
        <v>121.380775029248</v>
      </c>
      <c r="R1018">
        <v>85.332356132252499</v>
      </c>
      <c r="S1018">
        <v>130.40396275708599</v>
      </c>
      <c r="T1018">
        <v>256.64546407255102</v>
      </c>
      <c r="U1018">
        <v>182.00682340027001</v>
      </c>
      <c r="V1018">
        <v>183.91340597105801</v>
      </c>
      <c r="W1018">
        <v>194.40318320196701</v>
      </c>
    </row>
    <row r="1019" spans="1:23" x14ac:dyDescent="0.2">
      <c r="A1019" t="s">
        <v>2048</v>
      </c>
      <c r="B1019" s="3" t="str">
        <f>HYPERLINK("http://www.ncbi.nlm.nih.gov/gene/50850","Spast")</f>
        <v>Spast</v>
      </c>
      <c r="C1019">
        <v>50850</v>
      </c>
      <c r="D1019" t="s">
        <v>2049</v>
      </c>
      <c r="E1019" s="3" t="str">
        <f>HYPERLINK("http://genome.ucsc.edu/cgi-bin/hgTracks?db=mm10&amp;lastVirtModeType=default&amp;lastVirtModeExtraState=&amp;virtModeType=default&amp;virtMode=0&amp;nonVirtPosition=&amp;position=chr17:74338986-74391113","chr17:74338986-74391113")</f>
        <v>chr17:74338986-74391113</v>
      </c>
      <c r="F1019" t="s">
        <v>30</v>
      </c>
      <c r="G1019">
        <v>-0.50685445445630795</v>
      </c>
      <c r="H1019">
        <v>0.120322830535258</v>
      </c>
      <c r="I1019">
        <v>-4.2124545458377103</v>
      </c>
      <c r="J1019" s="1">
        <v>2.5261055933078401E-5</v>
      </c>
      <c r="K1019">
        <v>3.3399431778589498E-4</v>
      </c>
      <c r="L1019" t="s">
        <v>26</v>
      </c>
      <c r="M1019" t="s">
        <v>27</v>
      </c>
      <c r="N1019">
        <v>621.91534263882204</v>
      </c>
      <c r="O1019">
        <v>747.91513003885802</v>
      </c>
      <c r="P1019">
        <v>527.41550208879505</v>
      </c>
      <c r="Q1019">
        <v>776.16880913198099</v>
      </c>
      <c r="R1019">
        <v>780.885872339147</v>
      </c>
      <c r="S1019">
        <v>686.69070864544699</v>
      </c>
      <c r="T1019">
        <v>582.03524887881997</v>
      </c>
      <c r="U1019">
        <v>539.59669996315495</v>
      </c>
      <c r="V1019">
        <v>534.82018456383503</v>
      </c>
      <c r="W1019">
        <v>453.209874949371</v>
      </c>
    </row>
    <row r="1020" spans="1:23" x14ac:dyDescent="0.2">
      <c r="A1020" t="s">
        <v>2050</v>
      </c>
      <c r="B1020" s="3" t="str">
        <f>HYPERLINK("http://www.ncbi.nlm.nih.gov/gene/11695","Alx4")</f>
        <v>Alx4</v>
      </c>
      <c r="C1020">
        <v>11695</v>
      </c>
      <c r="D1020" t="s">
        <v>2051</v>
      </c>
      <c r="E1020" s="3" t="str">
        <f>HYPERLINK("http://genome.ucsc.edu/cgi-bin/hgTracks?db=mm10&amp;lastVirtModeType=default&amp;lastVirtModeExtraState=&amp;virtModeType=default&amp;virtMode=0&amp;nonVirtPosition=&amp;position=chr2:93642433-93681339","chr2:93642433-93681339")</f>
        <v>chr2:93642433-93681339</v>
      </c>
      <c r="F1020" t="s">
        <v>30</v>
      </c>
      <c r="G1020">
        <v>1.4989609295283199</v>
      </c>
      <c r="H1020">
        <v>0.355843952089055</v>
      </c>
      <c r="I1020">
        <v>4.2124108636056903</v>
      </c>
      <c r="J1020" s="1">
        <v>2.5265943089919499E-5</v>
      </c>
      <c r="K1020">
        <v>3.3399431778589498E-4</v>
      </c>
      <c r="L1020" t="s">
        <v>26</v>
      </c>
      <c r="M1020" t="s">
        <v>27</v>
      </c>
      <c r="N1020">
        <v>16.121013547285902</v>
      </c>
      <c r="O1020">
        <v>5.2928750409673002</v>
      </c>
      <c r="P1020">
        <v>24.242117427024901</v>
      </c>
      <c r="Q1020">
        <v>5.5679254600572499</v>
      </c>
      <c r="R1020">
        <v>7.2058434067235497</v>
      </c>
      <c r="S1020">
        <v>3.10485625612109</v>
      </c>
      <c r="T1020">
        <v>32.0806830090688</v>
      </c>
      <c r="U1020">
        <v>29.9775944423975</v>
      </c>
      <c r="V1020">
        <v>20.5983014687584</v>
      </c>
      <c r="W1020">
        <v>14.3118907878749</v>
      </c>
    </row>
    <row r="1021" spans="1:23" x14ac:dyDescent="0.2">
      <c r="A1021" t="s">
        <v>2052</v>
      </c>
      <c r="B1021" s="3" t="str">
        <f>HYPERLINK("http://www.ncbi.nlm.nih.gov/gene/14569","Gdi2")</f>
        <v>Gdi2</v>
      </c>
      <c r="C1021">
        <v>14569</v>
      </c>
      <c r="D1021" t="s">
        <v>2053</v>
      </c>
      <c r="E1021" s="3" t="str">
        <f>HYPERLINK("http://genome.ucsc.edu/cgi-bin/hgTracks?db=mm10&amp;lastVirtModeType=default&amp;lastVirtModeExtraState=&amp;virtModeType=default&amp;virtMode=0&amp;nonVirtPosition=&amp;position=chr13:3538074-3566261","chr13:3538074-3566261")</f>
        <v>chr13:3538074-3566261</v>
      </c>
      <c r="F1021" t="s">
        <v>30</v>
      </c>
      <c r="G1021">
        <v>-0.488097846232809</v>
      </c>
      <c r="H1021">
        <v>0.115893118030527</v>
      </c>
      <c r="I1021">
        <v>-4.2116206253441097</v>
      </c>
      <c r="J1021" s="1">
        <v>2.5354510197552701E-5</v>
      </c>
      <c r="K1021">
        <v>3.3483456218484002E-4</v>
      </c>
      <c r="L1021" t="s">
        <v>26</v>
      </c>
      <c r="M1021" t="s">
        <v>27</v>
      </c>
      <c r="N1021">
        <v>1106.20226097604</v>
      </c>
      <c r="O1021">
        <v>1331.6136886279301</v>
      </c>
      <c r="P1021">
        <v>937.14369023711595</v>
      </c>
      <c r="Q1021">
        <v>1246.10171796081</v>
      </c>
      <c r="R1021">
        <v>1478.33566312676</v>
      </c>
      <c r="S1021">
        <v>1270.40368479621</v>
      </c>
      <c r="T1021">
        <v>875.34435067602101</v>
      </c>
      <c r="U1021">
        <v>907.89286025546699</v>
      </c>
      <c r="V1021">
        <v>1035.06464880511</v>
      </c>
      <c r="W1021">
        <v>930.27290121186695</v>
      </c>
    </row>
    <row r="1022" spans="1:23" x14ac:dyDescent="0.2">
      <c r="A1022" t="s">
        <v>2054</v>
      </c>
      <c r="B1022" s="3" t="str">
        <f>HYPERLINK("http://www.ncbi.nlm.nih.gov/gene/75216","Cep128")</f>
        <v>Cep128</v>
      </c>
      <c r="C1022">
        <v>75216</v>
      </c>
      <c r="D1022" t="s">
        <v>2055</v>
      </c>
      <c r="E1022" s="3" t="str">
        <f>HYPERLINK("http://genome.ucsc.edu/cgi-bin/hgTracks?db=mm10&amp;lastVirtModeType=default&amp;lastVirtModeExtraState=&amp;virtModeType=default&amp;virtMode=0&amp;nonVirtPosition=&amp;position=chr12:90998491-91384409","chr12:90998491-91384409")</f>
        <v>chr12:90998491-91384409</v>
      </c>
      <c r="F1022" t="s">
        <v>25</v>
      </c>
      <c r="G1022">
        <v>0.98980602737080303</v>
      </c>
      <c r="H1022">
        <v>0.23532235334503099</v>
      </c>
      <c r="I1022">
        <v>4.2061708686022898</v>
      </c>
      <c r="J1022" s="1">
        <v>2.5973388814696599E-5</v>
      </c>
      <c r="K1022">
        <v>3.4266960553458301E-4</v>
      </c>
      <c r="L1022" t="s">
        <v>26</v>
      </c>
      <c r="M1022" t="s">
        <v>27</v>
      </c>
      <c r="N1022">
        <v>173.31368009652499</v>
      </c>
      <c r="O1022">
        <v>103.041369548286</v>
      </c>
      <c r="P1022">
        <v>226.01791300770401</v>
      </c>
      <c r="Q1022">
        <v>91.870770090944603</v>
      </c>
      <c r="R1022">
        <v>86.849375796825896</v>
      </c>
      <c r="S1022">
        <v>130.40396275708599</v>
      </c>
      <c r="T1022">
        <v>348.304558384176</v>
      </c>
      <c r="U1022">
        <v>145.60545872021601</v>
      </c>
      <c r="V1022">
        <v>188.32732771436301</v>
      </c>
      <c r="W1022">
        <v>221.83430721206099</v>
      </c>
    </row>
    <row r="1023" spans="1:23" x14ac:dyDescent="0.2">
      <c r="A1023" t="s">
        <v>2056</v>
      </c>
      <c r="B1023" s="3" t="str">
        <f>HYPERLINK("http://www.ncbi.nlm.nih.gov/gene/14048","Eya1")</f>
        <v>Eya1</v>
      </c>
      <c r="C1023">
        <v>14048</v>
      </c>
      <c r="D1023" t="s">
        <v>2057</v>
      </c>
      <c r="E1023" s="3" t="str">
        <f>HYPERLINK("http://genome.ucsc.edu/cgi-bin/hgTracks?db=mm10&amp;lastVirtModeType=default&amp;lastVirtModeExtraState=&amp;virtModeType=default&amp;virtMode=0&amp;nonVirtPosition=&amp;position=chr1:14168957-14310199","chr1:14168957-14310199")</f>
        <v>chr1:14168957-14310199</v>
      </c>
      <c r="F1023" t="s">
        <v>25</v>
      </c>
      <c r="G1023">
        <v>0.95495175094060003</v>
      </c>
      <c r="H1023">
        <v>0.22709724619377</v>
      </c>
      <c r="I1023">
        <v>4.2050344816854004</v>
      </c>
      <c r="J1023" s="1">
        <v>2.61042355960618E-5</v>
      </c>
      <c r="K1023">
        <v>3.4405690833352702E-4</v>
      </c>
      <c r="L1023" t="s">
        <v>26</v>
      </c>
      <c r="M1023" t="s">
        <v>27</v>
      </c>
      <c r="N1023">
        <v>249.17511968366901</v>
      </c>
      <c r="O1023">
        <v>155.08774216667101</v>
      </c>
      <c r="P1023">
        <v>319.74065282141697</v>
      </c>
      <c r="Q1023">
        <v>199.33173147004999</v>
      </c>
      <c r="R1023">
        <v>85.332356132252499</v>
      </c>
      <c r="S1023">
        <v>180.59913889770999</v>
      </c>
      <c r="T1023">
        <v>329.972739521851</v>
      </c>
      <c r="U1023">
        <v>295.49343093220398</v>
      </c>
      <c r="V1023">
        <v>320.74498001352401</v>
      </c>
      <c r="W1023">
        <v>332.751460818091</v>
      </c>
    </row>
    <row r="1024" spans="1:23" x14ac:dyDescent="0.2">
      <c r="A1024" t="s">
        <v>2058</v>
      </c>
      <c r="B1024" s="3" t="str">
        <f>HYPERLINK("http://www.ncbi.nlm.nih.gov/gene/17954","Nap1l2")</f>
        <v>Nap1l2</v>
      </c>
      <c r="C1024">
        <v>17954</v>
      </c>
      <c r="D1024" t="s">
        <v>2059</v>
      </c>
      <c r="E1024" s="3" t="str">
        <f>HYPERLINK("http://genome.ucsc.edu/cgi-bin/hgTracks?db=mm10&amp;lastVirtModeType=default&amp;lastVirtModeExtraState=&amp;virtModeType=default&amp;virtMode=0&amp;nonVirtPosition=&amp;position=chrX:103184058-103186664","chrX:103184058-103186664")</f>
        <v>chrX:103184058-103186664</v>
      </c>
      <c r="F1024" t="s">
        <v>25</v>
      </c>
      <c r="G1024">
        <v>-1.1186889488218099</v>
      </c>
      <c r="H1024">
        <v>0.26630090875867202</v>
      </c>
      <c r="I1024">
        <v>-4.2008454046831201</v>
      </c>
      <c r="J1024" s="1">
        <v>2.65920132773989E-5</v>
      </c>
      <c r="K1024">
        <v>3.50141248571926E-4</v>
      </c>
      <c r="L1024" t="s">
        <v>26</v>
      </c>
      <c r="M1024" t="s">
        <v>27</v>
      </c>
      <c r="N1024">
        <v>85.940212587234001</v>
      </c>
      <c r="O1024">
        <v>129.87464867664701</v>
      </c>
      <c r="P1024">
        <v>52.989385520174501</v>
      </c>
      <c r="Q1024">
        <v>162.02663088766599</v>
      </c>
      <c r="R1024">
        <v>153.59824103805499</v>
      </c>
      <c r="S1024">
        <v>73.999074104219204</v>
      </c>
      <c r="T1024">
        <v>54.995456586975202</v>
      </c>
      <c r="U1024">
        <v>40.683878171825199</v>
      </c>
      <c r="V1024">
        <v>56.645329039085702</v>
      </c>
      <c r="W1024">
        <v>59.632878282812001</v>
      </c>
    </row>
    <row r="1025" spans="1:23" x14ac:dyDescent="0.2">
      <c r="A1025" t="s">
        <v>2060</v>
      </c>
      <c r="B1025" s="3" t="str">
        <f>HYPERLINK("http://www.ncbi.nlm.nih.gov/gene/66108","Ndufa9")</f>
        <v>Ndufa9</v>
      </c>
      <c r="C1025">
        <v>66108</v>
      </c>
      <c r="D1025" t="s">
        <v>2061</v>
      </c>
      <c r="E1025" s="3" t="str">
        <f>HYPERLINK("http://genome.ucsc.edu/cgi-bin/hgTracks?db=mm10&amp;lastVirtModeType=default&amp;lastVirtModeExtraState=&amp;virtModeType=default&amp;virtMode=0&amp;nonVirtPosition=&amp;position=chr6:126821862-126849144","chr6:126821862-126849144")</f>
        <v>chr6:126821862-126849144</v>
      </c>
      <c r="F1025" t="s">
        <v>25</v>
      </c>
      <c r="G1025">
        <v>-0.60755950846265705</v>
      </c>
      <c r="H1025">
        <v>0.14470114266735201</v>
      </c>
      <c r="I1025">
        <v>-4.1987194935934502</v>
      </c>
      <c r="J1025" s="1">
        <v>2.6842858595600099E-5</v>
      </c>
      <c r="K1025">
        <v>3.5309697392306601E-4</v>
      </c>
      <c r="L1025" t="s">
        <v>26</v>
      </c>
      <c r="M1025" t="s">
        <v>27</v>
      </c>
      <c r="N1025">
        <v>254.977705238125</v>
      </c>
      <c r="O1025">
        <v>323.00367512956399</v>
      </c>
      <c r="P1025">
        <v>203.95822781954499</v>
      </c>
      <c r="Q1025">
        <v>289.53212392297701</v>
      </c>
      <c r="R1025">
        <v>347.77675810344698</v>
      </c>
      <c r="S1025">
        <v>331.702143362269</v>
      </c>
      <c r="T1025">
        <v>174.152279192088</v>
      </c>
      <c r="U1025">
        <v>203.419390859126</v>
      </c>
      <c r="V1025">
        <v>239.087427762375</v>
      </c>
      <c r="W1025">
        <v>199.173813464592</v>
      </c>
    </row>
    <row r="1026" spans="1:23" x14ac:dyDescent="0.2">
      <c r="A1026" t="s">
        <v>2062</v>
      </c>
      <c r="B1026" s="3" t="str">
        <f>HYPERLINK("http://www.ncbi.nlm.nih.gov/gene/66229","Rpl7l1")</f>
        <v>Rpl7l1</v>
      </c>
      <c r="C1026">
        <v>66229</v>
      </c>
      <c r="D1026" t="s">
        <v>2063</v>
      </c>
      <c r="E1026" s="3" t="str">
        <f>HYPERLINK("http://genome.ucsc.edu/cgi-bin/hgTracks?db=mm10&amp;lastVirtModeType=default&amp;lastVirtModeExtraState=&amp;virtModeType=default&amp;virtMode=0&amp;nonVirtPosition=&amp;position=chr17:46773906-46782656","chr17:46773906-46782656")</f>
        <v>chr17:46773906-46782656</v>
      </c>
      <c r="F1026" t="s">
        <v>25</v>
      </c>
      <c r="G1026">
        <v>-0.53779865554897099</v>
      </c>
      <c r="H1026">
        <v>0.12809959926421599</v>
      </c>
      <c r="I1026">
        <v>-4.1982852299148599</v>
      </c>
      <c r="J1026" s="1">
        <v>2.6894375238580399E-5</v>
      </c>
      <c r="K1026">
        <v>3.5342745713427901E-4</v>
      </c>
      <c r="L1026" t="s">
        <v>26</v>
      </c>
      <c r="M1026" t="s">
        <v>27</v>
      </c>
      <c r="N1026">
        <v>311.42941290581598</v>
      </c>
      <c r="O1026">
        <v>383.42885742109502</v>
      </c>
      <c r="P1026">
        <v>257.42982951935602</v>
      </c>
      <c r="Q1026">
        <v>346.88175616156701</v>
      </c>
      <c r="R1026">
        <v>392.528838208362</v>
      </c>
      <c r="S1026">
        <v>410.875977893357</v>
      </c>
      <c r="T1026">
        <v>229.147735779063</v>
      </c>
      <c r="U1026">
        <v>265.51583648980602</v>
      </c>
      <c r="V1026">
        <v>281.019684323776</v>
      </c>
      <c r="W1026">
        <v>254.036061484779</v>
      </c>
    </row>
    <row r="1027" spans="1:23" x14ac:dyDescent="0.2">
      <c r="A1027" t="s">
        <v>2064</v>
      </c>
      <c r="B1027" s="3" t="str">
        <f>HYPERLINK("http://www.ncbi.nlm.nih.gov/gene/69875","Ndufa11")</f>
        <v>Ndufa11</v>
      </c>
      <c r="C1027">
        <v>69875</v>
      </c>
      <c r="D1027" t="s">
        <v>2065</v>
      </c>
      <c r="E1027" s="3" t="str">
        <f>HYPERLINK("http://genome.ucsc.edu/cgi-bin/hgTracks?db=mm10&amp;lastVirtModeType=default&amp;lastVirtModeExtraState=&amp;virtModeType=default&amp;virtMode=0&amp;nonVirtPosition=&amp;position=chr17:56717761-56724248","chr17:56717761-56724248")</f>
        <v>chr17:56717761-56724248</v>
      </c>
      <c r="F1027" t="s">
        <v>30</v>
      </c>
      <c r="G1027">
        <v>-0.72574559033639297</v>
      </c>
      <c r="H1027">
        <v>0.17288178044552199</v>
      </c>
      <c r="I1027">
        <v>-4.19792987130353</v>
      </c>
      <c r="J1027" s="1">
        <v>2.6936601315341501E-5</v>
      </c>
      <c r="K1027">
        <v>3.5363532177817402E-4</v>
      </c>
      <c r="L1027" t="s">
        <v>26</v>
      </c>
      <c r="M1027" t="s">
        <v>27</v>
      </c>
      <c r="N1027">
        <v>127.10979701849099</v>
      </c>
      <c r="O1027">
        <v>167.096553267339</v>
      </c>
      <c r="P1027">
        <v>97.119729831854897</v>
      </c>
      <c r="Q1027">
        <v>155.90191288160301</v>
      </c>
      <c r="R1027">
        <v>189.62745807167201</v>
      </c>
      <c r="S1027">
        <v>155.760288848741</v>
      </c>
      <c r="T1027">
        <v>87.076139596044001</v>
      </c>
      <c r="U1027">
        <v>94.215296818963594</v>
      </c>
      <c r="V1027">
        <v>92.692356609412997</v>
      </c>
      <c r="W1027">
        <v>114.495126302999</v>
      </c>
    </row>
    <row r="1028" spans="1:23" x14ac:dyDescent="0.2">
      <c r="A1028" t="s">
        <v>2066</v>
      </c>
      <c r="B1028" s="3" t="str">
        <f>HYPERLINK("http://www.ncbi.nlm.nih.gov/gene/57261","Brd4")</f>
        <v>Brd4</v>
      </c>
      <c r="C1028">
        <v>57261</v>
      </c>
      <c r="D1028" t="s">
        <v>2067</v>
      </c>
      <c r="E1028" s="3" t="str">
        <f>HYPERLINK("http://genome.ucsc.edu/cgi-bin/hgTracks?db=mm10&amp;lastVirtModeType=default&amp;lastVirtModeExtraState=&amp;virtModeType=default&amp;virtMode=0&amp;nonVirtPosition=&amp;position=chr17:32196271-32284133","chr17:32196271-32284133")</f>
        <v>chr17:32196271-32284133</v>
      </c>
      <c r="F1028" t="s">
        <v>25</v>
      </c>
      <c r="G1028">
        <v>0.88872913861347802</v>
      </c>
      <c r="H1028">
        <v>0.21177846783059601</v>
      </c>
      <c r="I1028">
        <v>4.1965037697995902</v>
      </c>
      <c r="J1028" s="1">
        <v>2.71066952080096E-5</v>
      </c>
      <c r="K1028">
        <v>3.5551983891327798E-4</v>
      </c>
      <c r="L1028" t="s">
        <v>26</v>
      </c>
      <c r="M1028" t="s">
        <v>27</v>
      </c>
      <c r="N1028">
        <v>529.80640052726005</v>
      </c>
      <c r="O1028">
        <v>343.57985050920399</v>
      </c>
      <c r="P1028">
        <v>669.47631304080301</v>
      </c>
      <c r="Q1028">
        <v>275.61231027283401</v>
      </c>
      <c r="R1028">
        <v>243.86091108017101</v>
      </c>
      <c r="S1028">
        <v>511.26633017460603</v>
      </c>
      <c r="T1028">
        <v>701.19207148393298</v>
      </c>
      <c r="U1028">
        <v>665.93084797040103</v>
      </c>
      <c r="V1028">
        <v>692.98571369894501</v>
      </c>
      <c r="W1028">
        <v>617.79661900993199</v>
      </c>
    </row>
    <row r="1029" spans="1:23" x14ac:dyDescent="0.2">
      <c r="A1029" t="s">
        <v>2068</v>
      </c>
      <c r="B1029" s="3" t="str">
        <f>HYPERLINK("http://www.ncbi.nlm.nih.gov/gene/214812","Zfp609")</f>
        <v>Zfp609</v>
      </c>
      <c r="C1029">
        <v>214812</v>
      </c>
      <c r="D1029" t="s">
        <v>2069</v>
      </c>
      <c r="E1029" s="3" t="str">
        <f>HYPERLINK("http://genome.ucsc.edu/cgi-bin/hgTracks?db=mm10&amp;lastVirtModeType=default&amp;lastVirtModeExtraState=&amp;virtModeType=default&amp;virtMode=0&amp;nonVirtPosition=&amp;position=chr9:65691582-65827564","chr9:65691582-65827564")</f>
        <v>chr9:65691582-65827564</v>
      </c>
      <c r="F1029" t="s">
        <v>25</v>
      </c>
      <c r="G1029">
        <v>0.69267570178601601</v>
      </c>
      <c r="H1029">
        <v>0.165094122862286</v>
      </c>
      <c r="I1029">
        <v>4.1956411880501401</v>
      </c>
      <c r="J1029" s="1">
        <v>2.7210072181460501E-5</v>
      </c>
      <c r="K1029">
        <v>3.5652649372009499E-4</v>
      </c>
      <c r="L1029" t="s">
        <v>26</v>
      </c>
      <c r="M1029" t="s">
        <v>27</v>
      </c>
      <c r="N1029">
        <v>446.70382439018402</v>
      </c>
      <c r="O1029">
        <v>326.724563690119</v>
      </c>
      <c r="P1029">
        <v>536.68826991523304</v>
      </c>
      <c r="Q1029">
        <v>282.85061337090798</v>
      </c>
      <c r="R1029">
        <v>276.09757895235498</v>
      </c>
      <c r="S1029">
        <v>421.22549874709398</v>
      </c>
      <c r="T1029">
        <v>481.210245136033</v>
      </c>
      <c r="U1029">
        <v>565.29178091378105</v>
      </c>
      <c r="V1029">
        <v>582.63767011631001</v>
      </c>
      <c r="W1029">
        <v>517.61338349480798</v>
      </c>
    </row>
    <row r="1030" spans="1:23" x14ac:dyDescent="0.2">
      <c r="A1030" t="s">
        <v>2070</v>
      </c>
      <c r="B1030" s="3" t="str">
        <f>HYPERLINK("http://www.ncbi.nlm.nih.gov/gene/94223","Dgcr8")</f>
        <v>Dgcr8</v>
      </c>
      <c r="C1030">
        <v>94223</v>
      </c>
      <c r="D1030" t="s">
        <v>2071</v>
      </c>
      <c r="E1030" s="3" t="str">
        <f>HYPERLINK("http://genome.ucsc.edu/cgi-bin/hgTracks?db=mm10&amp;lastVirtModeType=default&amp;lastVirtModeExtraState=&amp;virtModeType=default&amp;virtMode=0&amp;nonVirtPosition=&amp;position=chr16:18253964-18289168","chr16:18253964-18289168")</f>
        <v>chr16:18253964-18289168</v>
      </c>
      <c r="F1030" t="s">
        <v>25</v>
      </c>
      <c r="G1030">
        <v>0.58395360188039103</v>
      </c>
      <c r="H1030">
        <v>0.13918890741986101</v>
      </c>
      <c r="I1030">
        <v>4.1954033026418198</v>
      </c>
      <c r="J1030" s="1">
        <v>2.7238647678106699E-5</v>
      </c>
      <c r="K1030">
        <v>3.56552034269332E-4</v>
      </c>
      <c r="L1030" t="s">
        <v>26</v>
      </c>
      <c r="M1030" t="s">
        <v>27</v>
      </c>
      <c r="N1030">
        <v>300.01126904906698</v>
      </c>
      <c r="O1030">
        <v>229.46441680829699</v>
      </c>
      <c r="P1030">
        <v>352.92140822964399</v>
      </c>
      <c r="Q1030">
        <v>197.10456128602701</v>
      </c>
      <c r="R1030">
        <v>235.13804800887399</v>
      </c>
      <c r="S1030">
        <v>256.15064112998999</v>
      </c>
      <c r="T1030">
        <v>389.55115082440699</v>
      </c>
      <c r="U1030">
        <v>361.872390054655</v>
      </c>
      <c r="V1030">
        <v>350.17112496889399</v>
      </c>
      <c r="W1030">
        <v>310.09096707062201</v>
      </c>
    </row>
    <row r="1031" spans="1:23" x14ac:dyDescent="0.2">
      <c r="A1031" t="s">
        <v>2072</v>
      </c>
      <c r="B1031" s="3" t="str">
        <f>HYPERLINK("http://www.ncbi.nlm.nih.gov/gene/105841","Dennd3")</f>
        <v>Dennd3</v>
      </c>
      <c r="C1031">
        <v>105841</v>
      </c>
      <c r="D1031" t="s">
        <v>2073</v>
      </c>
      <c r="E1031" s="3" t="str">
        <f>HYPERLINK("http://genome.ucsc.edu/cgi-bin/hgTracks?db=mm10&amp;lastVirtModeType=default&amp;lastVirtModeExtraState=&amp;virtModeType=default&amp;virtMode=0&amp;nonVirtPosition=&amp;position=chr15:73512559-73572242","chr15:73512559-73572242")</f>
        <v>chr15:73512559-73572242</v>
      </c>
      <c r="F1031" t="s">
        <v>30</v>
      </c>
      <c r="G1031">
        <v>0.81138537580086001</v>
      </c>
      <c r="H1031">
        <v>0.193446155948373</v>
      </c>
      <c r="I1031">
        <v>4.1943732188578702</v>
      </c>
      <c r="J1031" s="1">
        <v>2.7362714005581002E-5</v>
      </c>
      <c r="K1031">
        <v>3.5782627270384301E-4</v>
      </c>
      <c r="L1031" t="s">
        <v>26</v>
      </c>
      <c r="M1031" t="s">
        <v>27</v>
      </c>
      <c r="N1031">
        <v>96.815338690683106</v>
      </c>
      <c r="O1031">
        <v>66.670135411539604</v>
      </c>
      <c r="P1031">
        <v>119.424241150041</v>
      </c>
      <c r="Q1031">
        <v>74.053408618761395</v>
      </c>
      <c r="R1031">
        <v>51.957923511638199</v>
      </c>
      <c r="S1031">
        <v>73.999074104219204</v>
      </c>
      <c r="T1031">
        <v>109.99091317395001</v>
      </c>
      <c r="U1031">
        <v>124.192891261361</v>
      </c>
      <c r="V1031">
        <v>130.210691427509</v>
      </c>
      <c r="W1031">
        <v>113.30246873734301</v>
      </c>
    </row>
    <row r="1032" spans="1:23" x14ac:dyDescent="0.2">
      <c r="A1032" t="s">
        <v>2074</v>
      </c>
      <c r="B1032" s="3" t="str">
        <f>HYPERLINK("http://www.ncbi.nlm.nih.gov/gene/93837","Dach2")</f>
        <v>Dach2</v>
      </c>
      <c r="C1032">
        <v>93837</v>
      </c>
      <c r="D1032" t="s">
        <v>2075</v>
      </c>
      <c r="E1032" s="3" t="str">
        <f>HYPERLINK("http://genome.ucsc.edu/cgi-bin/hgTracks?db=mm10&amp;lastVirtModeType=default&amp;lastVirtModeExtraState=&amp;virtModeType=default&amp;virtMode=0&amp;nonVirtPosition=&amp;position=chrX:113298255-113836386","chrX:113298255-113836386")</f>
        <v>chrX:113298255-113836386</v>
      </c>
      <c r="F1032" t="s">
        <v>30</v>
      </c>
      <c r="G1032">
        <v>-0.87538798032338205</v>
      </c>
      <c r="H1032">
        <v>0.208716908760498</v>
      </c>
      <c r="I1032">
        <v>-4.1941402137566604</v>
      </c>
      <c r="J1032" s="1">
        <v>2.7390852248517801E-5</v>
      </c>
      <c r="K1032">
        <v>3.5784478288770899E-4</v>
      </c>
      <c r="L1032" t="s">
        <v>26</v>
      </c>
      <c r="M1032" t="s">
        <v>27</v>
      </c>
      <c r="N1032">
        <v>89.800237882616202</v>
      </c>
      <c r="O1032">
        <v>122.856295434838</v>
      </c>
      <c r="P1032">
        <v>65.008194718449602</v>
      </c>
      <c r="Q1032">
        <v>118.596812299219</v>
      </c>
      <c r="R1032">
        <v>120.603063333584</v>
      </c>
      <c r="S1032">
        <v>129.369010671712</v>
      </c>
      <c r="T1032">
        <v>73.327275449300203</v>
      </c>
      <c r="U1032">
        <v>70.661472614222703</v>
      </c>
      <c r="V1032">
        <v>74.301016012307201</v>
      </c>
      <c r="W1032">
        <v>41.743014797968399</v>
      </c>
    </row>
    <row r="1033" spans="1:23" x14ac:dyDescent="0.2">
      <c r="A1033" t="s">
        <v>2076</v>
      </c>
      <c r="B1033" s="3" t="str">
        <f>HYPERLINK("http://www.ncbi.nlm.nih.gov/gene/73137","Prrc1")</f>
        <v>Prrc1</v>
      </c>
      <c r="C1033">
        <v>73137</v>
      </c>
      <c r="D1033" t="s">
        <v>2077</v>
      </c>
      <c r="E1033" s="3" t="str">
        <f>HYPERLINK("http://genome.ucsc.edu/cgi-bin/hgTracks?db=mm10&amp;lastVirtModeType=default&amp;lastVirtModeExtraState=&amp;virtModeType=default&amp;virtMode=0&amp;nonVirtPosition=&amp;position=chr18:57354732-57392719","chr18:57354732-57392719")</f>
        <v>chr18:57354732-57392719</v>
      </c>
      <c r="F1033" t="s">
        <v>30</v>
      </c>
      <c r="G1033">
        <v>0.68269980920908002</v>
      </c>
      <c r="H1033">
        <v>0.16282936003700699</v>
      </c>
      <c r="I1033">
        <v>4.1927316366895901</v>
      </c>
      <c r="J1033" s="1">
        <v>2.75615420989396E-5</v>
      </c>
      <c r="K1033">
        <v>3.5972379166364501E-4</v>
      </c>
      <c r="L1033" t="s">
        <v>26</v>
      </c>
      <c r="M1033" t="s">
        <v>27</v>
      </c>
      <c r="N1033">
        <v>183.312307701978</v>
      </c>
      <c r="O1033">
        <v>135.38723251964899</v>
      </c>
      <c r="P1033">
        <v>219.25611408872501</v>
      </c>
      <c r="Q1033">
        <v>133.073418495368</v>
      </c>
      <c r="R1033">
        <v>116.81051417214999</v>
      </c>
      <c r="S1033">
        <v>156.27776489142801</v>
      </c>
      <c r="T1033">
        <v>192.48409805441301</v>
      </c>
      <c r="U1033">
        <v>248.385782522722</v>
      </c>
      <c r="V1033">
        <v>240.55873501014301</v>
      </c>
      <c r="W1033">
        <v>195.595840767623</v>
      </c>
    </row>
    <row r="1034" spans="1:23" x14ac:dyDescent="0.2">
      <c r="A1034" t="s">
        <v>2078</v>
      </c>
      <c r="B1034" s="3" t="str">
        <f>HYPERLINK("http://www.ncbi.nlm.nih.gov/gene/66556","Drap1")</f>
        <v>Drap1</v>
      </c>
      <c r="C1034">
        <v>66556</v>
      </c>
      <c r="D1034" t="s">
        <v>2079</v>
      </c>
      <c r="E1034" s="3" t="str">
        <f>HYPERLINK("http://genome.ucsc.edu/cgi-bin/hgTracks?db=mm10&amp;lastVirtModeType=default&amp;lastVirtModeExtraState=&amp;virtModeType=default&amp;virtMode=0&amp;nonVirtPosition=&amp;position=chr19:5422803-5424979","chr19:5422803-5424979")</f>
        <v>chr19:5422803-5424979</v>
      </c>
      <c r="F1034" t="s">
        <v>25</v>
      </c>
      <c r="G1034">
        <v>-0.63062212137588203</v>
      </c>
      <c r="H1034">
        <v>0.150550572429859</v>
      </c>
      <c r="I1034">
        <v>-4.1887726575711799</v>
      </c>
      <c r="J1034" s="1">
        <v>2.80467194206516E-5</v>
      </c>
      <c r="K1034">
        <v>3.6569972712945E-4</v>
      </c>
      <c r="L1034" t="s">
        <v>26</v>
      </c>
      <c r="M1034" t="s">
        <v>27</v>
      </c>
      <c r="N1034">
        <v>195.04316109485001</v>
      </c>
      <c r="O1034">
        <v>247.325917498395</v>
      </c>
      <c r="P1034">
        <v>155.83109379219101</v>
      </c>
      <c r="Q1034">
        <v>244.98872024251901</v>
      </c>
      <c r="R1034">
        <v>279.13161828150203</v>
      </c>
      <c r="S1034">
        <v>217.857413971163</v>
      </c>
      <c r="T1034">
        <v>146.65455089860001</v>
      </c>
      <c r="U1034">
        <v>160.59425594141501</v>
      </c>
      <c r="V1034">
        <v>166.99337262172</v>
      </c>
      <c r="W1034">
        <v>149.08219570703</v>
      </c>
    </row>
    <row r="1035" spans="1:23" x14ac:dyDescent="0.2">
      <c r="A1035" t="s">
        <v>2080</v>
      </c>
      <c r="B1035" s="3" t="str">
        <f>HYPERLINK("http://www.ncbi.nlm.nih.gov/gene/66597","Trim13")</f>
        <v>Trim13</v>
      </c>
      <c r="C1035">
        <v>66597</v>
      </c>
      <c r="D1035" t="s">
        <v>2081</v>
      </c>
      <c r="E1035" s="3" t="str">
        <f>HYPERLINK("http://genome.ucsc.edu/cgi-bin/hgTracks?db=mm10&amp;lastVirtModeType=default&amp;lastVirtModeExtraState=&amp;virtModeType=default&amp;virtMode=0&amp;nonVirtPosition=&amp;position=chr14:61599511-61605945","chr14:61599511-61605945")</f>
        <v>chr14:61599511-61605945</v>
      </c>
      <c r="F1035" t="s">
        <v>30</v>
      </c>
      <c r="G1035">
        <v>1.5131595320887701</v>
      </c>
      <c r="H1035">
        <v>0.36134862198455903</v>
      </c>
      <c r="I1035">
        <v>4.18753370022102</v>
      </c>
      <c r="J1035" s="1">
        <v>2.8200215790499701E-5</v>
      </c>
      <c r="K1035">
        <v>3.6734347242274498E-4</v>
      </c>
      <c r="L1035" t="s">
        <v>26</v>
      </c>
      <c r="M1035" t="s">
        <v>27</v>
      </c>
      <c r="N1035">
        <v>13.118112111000199</v>
      </c>
      <c r="O1035">
        <v>4.6315582420097101</v>
      </c>
      <c r="P1035">
        <v>19.483027512743</v>
      </c>
      <c r="Q1035">
        <v>7.2383030980744296</v>
      </c>
      <c r="R1035">
        <v>3.03403932914676</v>
      </c>
      <c r="S1035">
        <v>3.6223322988079301</v>
      </c>
      <c r="T1035">
        <v>13.7488641467438</v>
      </c>
      <c r="U1035">
        <v>25.695080950626402</v>
      </c>
      <c r="V1035">
        <v>20.5983014687584</v>
      </c>
      <c r="W1035">
        <v>17.889863484843598</v>
      </c>
    </row>
    <row r="1036" spans="1:23" x14ac:dyDescent="0.2">
      <c r="A1036" t="s">
        <v>2082</v>
      </c>
      <c r="B1036" s="3" t="str">
        <f>HYPERLINK("http://www.ncbi.nlm.nih.gov/gene/19340","Rab3d")</f>
        <v>Rab3d</v>
      </c>
      <c r="C1036">
        <v>19340</v>
      </c>
      <c r="D1036" t="s">
        <v>2083</v>
      </c>
      <c r="E1036" s="3" t="str">
        <f>HYPERLINK("http://genome.ucsc.edu/cgi-bin/hgTracks?db=mm10&amp;lastVirtModeType=default&amp;lastVirtModeExtraState=&amp;virtModeType=default&amp;virtMode=0&amp;nonVirtPosition=&amp;position=chr9:21907491-21918183","chr9:21907491-21918183")</f>
        <v>chr9:21907491-21918183</v>
      </c>
      <c r="F1036" t="s">
        <v>25</v>
      </c>
      <c r="G1036">
        <v>0.93831618085998902</v>
      </c>
      <c r="H1036">
        <v>0.22414450335299099</v>
      </c>
      <c r="I1036">
        <v>4.1862109791837803</v>
      </c>
      <c r="J1036" s="1">
        <v>2.8364971103636302E-5</v>
      </c>
      <c r="K1036">
        <v>3.69130542321471E-4</v>
      </c>
      <c r="L1036" t="s">
        <v>26</v>
      </c>
      <c r="M1036" t="s">
        <v>27</v>
      </c>
      <c r="N1036">
        <v>48.3940696102784</v>
      </c>
      <c r="O1036">
        <v>29.8806732675801</v>
      </c>
      <c r="P1036">
        <v>62.279116867302101</v>
      </c>
      <c r="Q1036">
        <v>31.737175122326299</v>
      </c>
      <c r="R1036">
        <v>29.9611383753242</v>
      </c>
      <c r="S1036">
        <v>27.943706305089801</v>
      </c>
      <c r="T1036">
        <v>68.744320733718993</v>
      </c>
      <c r="U1036">
        <v>66.378959122451604</v>
      </c>
      <c r="V1036">
        <v>60.3235971585069</v>
      </c>
      <c r="W1036">
        <v>53.669590454530798</v>
      </c>
    </row>
    <row r="1037" spans="1:23" x14ac:dyDescent="0.2">
      <c r="A1037" t="s">
        <v>2084</v>
      </c>
      <c r="B1037" s="3" t="str">
        <f>HYPERLINK("http://www.ncbi.nlm.nih.gov/gene/12215","Bsg")</f>
        <v>Bsg</v>
      </c>
      <c r="C1037">
        <v>12215</v>
      </c>
      <c r="D1037" t="s">
        <v>2085</v>
      </c>
      <c r="E1037" s="3" t="str">
        <f>HYPERLINK("http://genome.ucsc.edu/cgi-bin/hgTracks?db=mm10&amp;lastVirtModeType=default&amp;lastVirtModeExtraState=&amp;virtModeType=default&amp;virtMode=0&amp;nonVirtPosition=&amp;position=chr10:79704357-79711979","chr10:79704357-79711979")</f>
        <v>chr10:79704357-79711979</v>
      </c>
      <c r="F1037" t="s">
        <v>30</v>
      </c>
      <c r="G1037">
        <v>-0.55976900492502701</v>
      </c>
      <c r="H1037">
        <v>0.133731751466862</v>
      </c>
      <c r="I1037">
        <v>-4.1857599170361297</v>
      </c>
      <c r="J1037" s="1">
        <v>2.8421363374641599E-5</v>
      </c>
      <c r="K1037">
        <v>3.6950531742701502E-4</v>
      </c>
      <c r="L1037" t="s">
        <v>26</v>
      </c>
      <c r="M1037" t="s">
        <v>27</v>
      </c>
      <c r="N1037">
        <v>1423.69515538974</v>
      </c>
      <c r="O1037">
        <v>1758.52276850007</v>
      </c>
      <c r="P1037">
        <v>1172.57444555699</v>
      </c>
      <c r="Q1037">
        <v>1697.10368022545</v>
      </c>
      <c r="R1037">
        <v>1873.8985406642701</v>
      </c>
      <c r="S1037">
        <v>1704.5660846104799</v>
      </c>
      <c r="T1037">
        <v>967.00344498764696</v>
      </c>
      <c r="U1037">
        <v>1342.56797967023</v>
      </c>
      <c r="V1037">
        <v>1301.3712606511999</v>
      </c>
      <c r="W1037">
        <v>1079.3550969189</v>
      </c>
    </row>
    <row r="1038" spans="1:23" x14ac:dyDescent="0.2">
      <c r="A1038" t="s">
        <v>2086</v>
      </c>
      <c r="B1038" s="3" t="str">
        <f>HYPERLINK("http://www.ncbi.nlm.nih.gov/gene/382056","Crtc1")</f>
        <v>Crtc1</v>
      </c>
      <c r="C1038">
        <v>382056</v>
      </c>
      <c r="D1038" t="s">
        <v>2087</v>
      </c>
      <c r="E1038" s="3" t="str">
        <f>HYPERLINK("http://genome.ucsc.edu/cgi-bin/hgTracks?db=mm10&amp;lastVirtModeType=default&amp;lastVirtModeExtraState=&amp;virtModeType=default&amp;virtMode=0&amp;nonVirtPosition=&amp;position=chr8:70382357-70439573","chr8:70382357-70439573")</f>
        <v>chr8:70382357-70439573</v>
      </c>
      <c r="F1038" t="s">
        <v>25</v>
      </c>
      <c r="G1038">
        <v>0.63977216613483301</v>
      </c>
      <c r="H1038">
        <v>0.15292883521807099</v>
      </c>
      <c r="I1038">
        <v>4.1834632770369504</v>
      </c>
      <c r="J1038" s="1">
        <v>2.8710148502645098E-5</v>
      </c>
      <c r="K1038">
        <v>3.7266352177267798E-4</v>
      </c>
      <c r="L1038" t="s">
        <v>26</v>
      </c>
      <c r="M1038" t="s">
        <v>27</v>
      </c>
      <c r="N1038">
        <v>280.29020429065702</v>
      </c>
      <c r="O1038">
        <v>210.62867377299</v>
      </c>
      <c r="P1038">
        <v>332.53635217890701</v>
      </c>
      <c r="Q1038">
        <v>187.082295457924</v>
      </c>
      <c r="R1038">
        <v>203.65988996897599</v>
      </c>
      <c r="S1038">
        <v>241.143835892071</v>
      </c>
      <c r="T1038">
        <v>293.30910179720098</v>
      </c>
      <c r="U1038">
        <v>402.556268226481</v>
      </c>
      <c r="V1038">
        <v>342.07893510616702</v>
      </c>
      <c r="W1038">
        <v>292.20110358577898</v>
      </c>
    </row>
    <row r="1039" spans="1:23" x14ac:dyDescent="0.2">
      <c r="A1039" t="s">
        <v>2088</v>
      </c>
      <c r="B1039" s="3" t="str">
        <f>HYPERLINK("http://www.ncbi.nlm.nih.gov/gene/18679","Phka1")</f>
        <v>Phka1</v>
      </c>
      <c r="C1039">
        <v>18679</v>
      </c>
      <c r="D1039" t="s">
        <v>2089</v>
      </c>
      <c r="E1039" s="3" t="str">
        <f>HYPERLINK("http://genome.ucsc.edu/cgi-bin/hgTracks?db=mm10&amp;lastVirtModeType=default&amp;lastVirtModeExtraState=&amp;virtModeType=default&amp;virtMode=0&amp;nonVirtPosition=&amp;position=chrX:102513974-102644246","chrX:102513974-102644246")</f>
        <v>chrX:102513974-102644246</v>
      </c>
      <c r="F1039" t="s">
        <v>25</v>
      </c>
      <c r="G1039">
        <v>-0.70236533374702503</v>
      </c>
      <c r="H1039">
        <v>0.167893991195155</v>
      </c>
      <c r="I1039">
        <v>-4.1833857706712996</v>
      </c>
      <c r="J1039" s="1">
        <v>2.8719942832454901E-5</v>
      </c>
      <c r="K1039">
        <v>3.7266352177267798E-4</v>
      </c>
      <c r="L1039" t="s">
        <v>26</v>
      </c>
      <c r="M1039" t="s">
        <v>27</v>
      </c>
      <c r="N1039">
        <v>393.65339810652898</v>
      </c>
      <c r="O1039">
        <v>509.79752954224699</v>
      </c>
      <c r="P1039">
        <v>306.54529952974002</v>
      </c>
      <c r="Q1039">
        <v>655.34482664873804</v>
      </c>
      <c r="R1039">
        <v>408.83679960252601</v>
      </c>
      <c r="S1039">
        <v>465.21096237547602</v>
      </c>
      <c r="T1039">
        <v>320.80683009068798</v>
      </c>
      <c r="U1039">
        <v>295.49343093220398</v>
      </c>
      <c r="V1039">
        <v>304.56060028807099</v>
      </c>
      <c r="W1039">
        <v>305.32033680799702</v>
      </c>
    </row>
    <row r="1040" spans="1:23" x14ac:dyDescent="0.2">
      <c r="A1040" t="s">
        <v>2090</v>
      </c>
      <c r="B1040" s="3" t="str">
        <f>HYPERLINK("http://www.ncbi.nlm.nih.gov/gene/230098","Arhgef39")</f>
        <v>Arhgef39</v>
      </c>
      <c r="C1040">
        <v>230098</v>
      </c>
      <c r="D1040" t="s">
        <v>2091</v>
      </c>
      <c r="E1040" s="3" t="str">
        <f>HYPERLINK("http://genome.ucsc.edu/cgi-bin/hgTracks?db=mm10&amp;lastVirtModeType=default&amp;lastVirtModeExtraState=&amp;virtModeType=default&amp;virtMode=0&amp;nonVirtPosition=&amp;position=chr4:43496143-43499660","chr4:43496143-43499660")</f>
        <v>chr4:43496143-43499660</v>
      </c>
      <c r="F1040" t="s">
        <v>25</v>
      </c>
      <c r="G1040">
        <v>1.02326355983933</v>
      </c>
      <c r="H1040">
        <v>0.244702492243697</v>
      </c>
      <c r="I1040">
        <v>4.1816638255579104</v>
      </c>
      <c r="J1040" s="1">
        <v>2.8938362639496299E-5</v>
      </c>
      <c r="K1040">
        <v>3.75134185968533E-4</v>
      </c>
      <c r="L1040" t="s">
        <v>26</v>
      </c>
      <c r="M1040" t="s">
        <v>27</v>
      </c>
      <c r="N1040">
        <v>62.8696847677476</v>
      </c>
      <c r="O1040">
        <v>36.6762489461237</v>
      </c>
      <c r="P1040">
        <v>82.514761633965605</v>
      </c>
      <c r="Q1040">
        <v>24.498872024251899</v>
      </c>
      <c r="R1040">
        <v>43.614315356484603</v>
      </c>
      <c r="S1040">
        <v>41.9155594576347</v>
      </c>
      <c r="T1040">
        <v>100.825003742788</v>
      </c>
      <c r="U1040">
        <v>59.955188884795</v>
      </c>
      <c r="V1040">
        <v>84.600166746686497</v>
      </c>
      <c r="W1040">
        <v>84.678687161593004</v>
      </c>
    </row>
    <row r="1041" spans="1:23" x14ac:dyDescent="0.2">
      <c r="A1041" t="s">
        <v>2092</v>
      </c>
      <c r="B1041" s="3" t="str">
        <f>HYPERLINK("http://www.ncbi.nlm.nih.gov/gene/19263","Ptprb")</f>
        <v>Ptprb</v>
      </c>
      <c r="C1041">
        <v>19263</v>
      </c>
      <c r="D1041" t="s">
        <v>2093</v>
      </c>
      <c r="E1041" s="3" t="str">
        <f>HYPERLINK("http://genome.ucsc.edu/cgi-bin/hgTracks?db=mm10&amp;lastVirtModeType=default&amp;lastVirtModeExtraState=&amp;virtModeType=default&amp;virtMode=0&amp;nonVirtPosition=&amp;position=chr10:116301373-116389538","chr10:116301373-116389538")</f>
        <v>chr10:116301373-116389538</v>
      </c>
      <c r="F1041" t="s">
        <v>30</v>
      </c>
      <c r="G1041">
        <v>-0.69727978656432898</v>
      </c>
      <c r="H1041">
        <v>0.166761492746823</v>
      </c>
      <c r="I1041">
        <v>-4.1812997417991298</v>
      </c>
      <c r="J1041" s="1">
        <v>2.8984746567104899E-5</v>
      </c>
      <c r="K1041">
        <v>3.7537209021286399E-4</v>
      </c>
      <c r="L1041" t="s">
        <v>26</v>
      </c>
      <c r="M1041" t="s">
        <v>27</v>
      </c>
      <c r="N1041">
        <v>319.364701368417</v>
      </c>
      <c r="O1041">
        <v>414.287562791965</v>
      </c>
      <c r="P1041">
        <v>248.17255530075599</v>
      </c>
      <c r="Q1041">
        <v>495.545365945095</v>
      </c>
      <c r="R1041">
        <v>323.50444347027297</v>
      </c>
      <c r="S1041">
        <v>423.812878960528</v>
      </c>
      <c r="T1041">
        <v>238.31364521022601</v>
      </c>
      <c r="U1041">
        <v>256.95080950626402</v>
      </c>
      <c r="V1041">
        <v>274.39880170881798</v>
      </c>
      <c r="W1041">
        <v>223.02696477771701</v>
      </c>
    </row>
    <row r="1042" spans="1:23" x14ac:dyDescent="0.2">
      <c r="A1042" t="s">
        <v>2094</v>
      </c>
      <c r="B1042" s="3" t="str">
        <f>HYPERLINK("http://www.ncbi.nlm.nih.gov/gene/69089","Oxa1l")</f>
        <v>Oxa1l</v>
      </c>
      <c r="C1042">
        <v>69089</v>
      </c>
      <c r="D1042" t="s">
        <v>2095</v>
      </c>
      <c r="E1042" s="3" t="str">
        <f>HYPERLINK("http://genome.ucsc.edu/cgi-bin/hgTracks?db=mm10&amp;lastVirtModeType=default&amp;lastVirtModeExtraState=&amp;virtModeType=default&amp;virtMode=0&amp;nonVirtPosition=&amp;position=chr14:54360840-54369669","chr14:54360840-54369669")</f>
        <v>chr14:54360840-54369669</v>
      </c>
      <c r="F1042" t="s">
        <v>30</v>
      </c>
      <c r="G1042">
        <v>-0.63579941411667495</v>
      </c>
      <c r="H1042">
        <v>0.15214884696649</v>
      </c>
      <c r="I1042">
        <v>-4.17879876708305</v>
      </c>
      <c r="J1042" s="1">
        <v>2.9305283708680299E-5</v>
      </c>
      <c r="K1042">
        <v>3.7852230350738899E-4</v>
      </c>
      <c r="L1042" t="s">
        <v>26</v>
      </c>
      <c r="M1042" t="s">
        <v>27</v>
      </c>
      <c r="N1042">
        <v>196.57115954855399</v>
      </c>
      <c r="O1042">
        <v>250.72203309860399</v>
      </c>
      <c r="P1042">
        <v>155.958004386017</v>
      </c>
      <c r="Q1042">
        <v>242.20475751249</v>
      </c>
      <c r="R1042">
        <v>277.61459861692799</v>
      </c>
      <c r="S1042">
        <v>232.34674316639499</v>
      </c>
      <c r="T1042">
        <v>123.739777320694</v>
      </c>
      <c r="U1042">
        <v>188.43059363792699</v>
      </c>
      <c r="V1042">
        <v>162.579450878415</v>
      </c>
      <c r="W1042">
        <v>149.08219570703</v>
      </c>
    </row>
    <row r="1043" spans="1:23" x14ac:dyDescent="0.2">
      <c r="A1043" t="s">
        <v>2096</v>
      </c>
      <c r="B1043" s="3" t="str">
        <f>HYPERLINK("http://www.ncbi.nlm.nih.gov/gene/56873","Lmbr1")</f>
        <v>Lmbr1</v>
      </c>
      <c r="C1043">
        <v>56873</v>
      </c>
      <c r="D1043" t="s">
        <v>2097</v>
      </c>
      <c r="E1043" s="3" t="str">
        <f>HYPERLINK("http://genome.ucsc.edu/cgi-bin/hgTracks?db=mm10&amp;lastVirtModeType=default&amp;lastVirtModeExtraState=&amp;virtModeType=default&amp;virtMode=0&amp;nonVirtPosition=&amp;position=chr5:29229801-29378390","chr5:29229801-29378390")</f>
        <v>chr5:29229801-29378390</v>
      </c>
      <c r="F1043" t="s">
        <v>25</v>
      </c>
      <c r="G1043">
        <v>-0.58867286269654695</v>
      </c>
      <c r="H1043">
        <v>0.140873276472151</v>
      </c>
      <c r="I1043">
        <v>-4.1787404782405204</v>
      </c>
      <c r="J1043" s="1">
        <v>2.9312794319853798E-5</v>
      </c>
      <c r="K1043">
        <v>3.7852230350738899E-4</v>
      </c>
      <c r="L1043" t="s">
        <v>26</v>
      </c>
      <c r="M1043" t="s">
        <v>27</v>
      </c>
      <c r="N1043">
        <v>177.37837986136901</v>
      </c>
      <c r="O1043">
        <v>220.03317755357099</v>
      </c>
      <c r="P1043">
        <v>145.38728159221799</v>
      </c>
      <c r="Q1043">
        <v>223.27381094829599</v>
      </c>
      <c r="R1043">
        <v>218.45083169856699</v>
      </c>
      <c r="S1043">
        <v>218.37489001385001</v>
      </c>
      <c r="T1043">
        <v>137.48864146743799</v>
      </c>
      <c r="U1043">
        <v>169.15928292495701</v>
      </c>
      <c r="V1043">
        <v>135.36026679469799</v>
      </c>
      <c r="W1043">
        <v>139.54093518177999</v>
      </c>
    </row>
    <row r="1044" spans="1:23" x14ac:dyDescent="0.2">
      <c r="A1044" t="s">
        <v>2098</v>
      </c>
      <c r="B1044" s="3" t="str">
        <f>HYPERLINK("http://www.ncbi.nlm.nih.gov/gene/433904","Ociad2")</f>
        <v>Ociad2</v>
      </c>
      <c r="C1044">
        <v>433904</v>
      </c>
      <c r="D1044" t="s">
        <v>2099</v>
      </c>
      <c r="E1044" s="3" t="str">
        <f>HYPERLINK("http://genome.ucsc.edu/cgi-bin/hgTracks?db=mm10&amp;lastVirtModeType=default&amp;lastVirtModeExtraState=&amp;virtModeType=default&amp;virtMode=0&amp;nonVirtPosition=&amp;position=chr5:73322197-73338947","chr5:73322197-73338947")</f>
        <v>chr5:73322197-73338947</v>
      </c>
      <c r="F1044" t="s">
        <v>25</v>
      </c>
      <c r="G1044">
        <v>-1.21571522435142</v>
      </c>
      <c r="H1044">
        <v>0.29109789638744299</v>
      </c>
      <c r="I1044">
        <v>-4.1763105794943298</v>
      </c>
      <c r="J1044" s="1">
        <v>2.96275236716324E-5</v>
      </c>
      <c r="K1044">
        <v>3.8195226298745101E-4</v>
      </c>
      <c r="L1044" t="s">
        <v>26</v>
      </c>
      <c r="M1044" t="s">
        <v>27</v>
      </c>
      <c r="N1044">
        <v>41.530451337826399</v>
      </c>
      <c r="O1044">
        <v>68.143212319498204</v>
      </c>
      <c r="P1044">
        <v>21.570880601572501</v>
      </c>
      <c r="Q1044">
        <v>60.133594968618297</v>
      </c>
      <c r="R1044">
        <v>75.471728312525599</v>
      </c>
      <c r="S1044">
        <v>68.824313677350702</v>
      </c>
      <c r="T1044">
        <v>4.58295471558126</v>
      </c>
      <c r="U1044">
        <v>17.130053967084301</v>
      </c>
      <c r="V1044">
        <v>32.368759450906097</v>
      </c>
      <c r="W1044">
        <v>32.201754272718503</v>
      </c>
    </row>
    <row r="1045" spans="1:23" x14ac:dyDescent="0.2">
      <c r="A1045" t="s">
        <v>2100</v>
      </c>
      <c r="B1045" s="3" t="str">
        <f>HYPERLINK("http://www.ncbi.nlm.nih.gov/gene/19017","Ppargc1a")</f>
        <v>Ppargc1a</v>
      </c>
      <c r="C1045">
        <v>19017</v>
      </c>
      <c r="D1045" t="s">
        <v>2101</v>
      </c>
      <c r="E1045" s="3" t="str">
        <f>HYPERLINK("http://genome.ucsc.edu/cgi-bin/hgTracks?db=mm10&amp;lastVirtModeType=default&amp;lastVirtModeExtraState=&amp;virtModeType=default&amp;virtMode=0&amp;nonVirtPosition=&amp;position=chr5:51454248-51553921","chr5:51454248-51553921")</f>
        <v>chr5:51454248-51553921</v>
      </c>
      <c r="F1045" t="s">
        <v>25</v>
      </c>
      <c r="G1045">
        <v>-1.39050355810337</v>
      </c>
      <c r="H1045">
        <v>0.33295508529844398</v>
      </c>
      <c r="I1045">
        <v>-4.1762496489789198</v>
      </c>
      <c r="J1045" s="1">
        <v>2.9635456742884101E-5</v>
      </c>
      <c r="K1045">
        <v>3.8195226298745101E-4</v>
      </c>
      <c r="L1045" t="s">
        <v>26</v>
      </c>
      <c r="M1045" t="s">
        <v>27</v>
      </c>
      <c r="N1045">
        <v>44.015938202853903</v>
      </c>
      <c r="O1045">
        <v>75.089514203669495</v>
      </c>
      <c r="P1045">
        <v>20.710756202242099</v>
      </c>
      <c r="Q1045">
        <v>104.676998649076</v>
      </c>
      <c r="R1045">
        <v>82.298316803105806</v>
      </c>
      <c r="S1045">
        <v>38.293227158826703</v>
      </c>
      <c r="T1045">
        <v>13.7488641467438</v>
      </c>
      <c r="U1045">
        <v>17.130053967084301</v>
      </c>
      <c r="V1045">
        <v>16.184379725453098</v>
      </c>
      <c r="W1045">
        <v>35.779726969687196</v>
      </c>
    </row>
    <row r="1046" spans="1:23" x14ac:dyDescent="0.2">
      <c r="A1046" t="s">
        <v>2102</v>
      </c>
      <c r="B1046" s="3" t="str">
        <f>HYPERLINK("http://www.ncbi.nlm.nih.gov/gene/320463","F630111L10Rik")</f>
        <v>F630111L10Rik</v>
      </c>
      <c r="C1046">
        <v>320463</v>
      </c>
      <c r="D1046" t="s">
        <v>2103</v>
      </c>
      <c r="E1046" s="3" t="str">
        <f>HYPERLINK("http://genome.ucsc.edu/cgi-bin/hgTracks?db=mm10&amp;lastVirtModeType=default&amp;lastVirtModeExtraState=&amp;virtModeType=default&amp;virtMode=0&amp;nonVirtPosition=&amp;position=chr3:59146295-59153628","chr3:59146295-59153628")</f>
        <v>chr3:59146295-59153628</v>
      </c>
      <c r="F1046" t="s">
        <v>25</v>
      </c>
      <c r="G1046">
        <v>0.811698102120325</v>
      </c>
      <c r="H1046">
        <v>0.19439860071128001</v>
      </c>
      <c r="I1046">
        <v>4.1754318145831597</v>
      </c>
      <c r="J1046" s="1">
        <v>2.9742133291037402E-5</v>
      </c>
      <c r="K1046">
        <v>3.8295856432719497E-4</v>
      </c>
      <c r="L1046" t="s">
        <v>26</v>
      </c>
      <c r="M1046" t="s">
        <v>27</v>
      </c>
      <c r="N1046">
        <v>97.809845502919202</v>
      </c>
      <c r="O1046">
        <v>65.070750257024898</v>
      </c>
      <c r="P1046">
        <v>122.36416693734</v>
      </c>
      <c r="Q1046">
        <v>62.917557698646903</v>
      </c>
      <c r="R1046">
        <v>68.645139821945406</v>
      </c>
      <c r="S1046">
        <v>63.649553250482299</v>
      </c>
      <c r="T1046">
        <v>160.40341504534399</v>
      </c>
      <c r="U1046">
        <v>87.791526581306996</v>
      </c>
      <c r="V1046">
        <v>108.876736334866</v>
      </c>
      <c r="W1046">
        <v>132.38498978784301</v>
      </c>
    </row>
    <row r="1047" spans="1:23" x14ac:dyDescent="0.2">
      <c r="A1047" t="s">
        <v>2102</v>
      </c>
      <c r="B1047" s="3" t="str">
        <f>HYPERLINK("http://www.ncbi.nlm.nih.gov/gene/140795","P2ry14")</f>
        <v>P2ry14</v>
      </c>
      <c r="C1047">
        <v>140795</v>
      </c>
      <c r="D1047" t="s">
        <v>2104</v>
      </c>
      <c r="E1047" s="3" t="str">
        <f>HYPERLINK("http://genome.ucsc.edu/cgi-bin/hgTracks?db=mm10&amp;lastVirtModeType=default&amp;lastVirtModeExtraState=&amp;virtModeType=default&amp;virtMode=0&amp;nonVirtPosition=&amp;position=chr3:59114622-59132462","chr3:59114622-59132462")</f>
        <v>chr3:59114622-59132462</v>
      </c>
      <c r="F1047" t="s">
        <v>25</v>
      </c>
      <c r="G1047">
        <v>0.811698102120325</v>
      </c>
      <c r="H1047">
        <v>0.19439860071128001</v>
      </c>
      <c r="I1047">
        <v>4.1754318145831597</v>
      </c>
      <c r="J1047" s="1">
        <v>2.9742133291037402E-5</v>
      </c>
      <c r="K1047">
        <v>3.8295856432719497E-4</v>
      </c>
      <c r="L1047" t="s">
        <v>26</v>
      </c>
      <c r="M1047" t="s">
        <v>27</v>
      </c>
      <c r="N1047">
        <v>97.809845502919202</v>
      </c>
      <c r="O1047">
        <v>65.070750257024898</v>
      </c>
      <c r="P1047">
        <v>122.36416693734</v>
      </c>
      <c r="Q1047">
        <v>62.917557698646903</v>
      </c>
      <c r="R1047">
        <v>68.645139821945406</v>
      </c>
      <c r="S1047">
        <v>63.649553250482299</v>
      </c>
      <c r="T1047">
        <v>160.40341504534399</v>
      </c>
      <c r="U1047">
        <v>87.791526581306996</v>
      </c>
      <c r="V1047">
        <v>108.876736334866</v>
      </c>
      <c r="W1047">
        <v>132.38498978784301</v>
      </c>
    </row>
    <row r="1048" spans="1:23" x14ac:dyDescent="0.2">
      <c r="A1048" t="s">
        <v>2105</v>
      </c>
      <c r="B1048" s="3" t="str">
        <f>HYPERLINK("http://www.ncbi.nlm.nih.gov/gene/78878","Ftx")</f>
        <v>Ftx</v>
      </c>
      <c r="C1048">
        <v>78878</v>
      </c>
      <c r="D1048" t="s">
        <v>2106</v>
      </c>
      <c r="E1048" s="3" t="str">
        <f>HYPERLINK("http://genome.ucsc.edu/cgi-bin/hgTracks?db=mm10&amp;lastVirtModeType=default&amp;lastVirtModeExtraState=&amp;virtModeType=default&amp;virtMode=0&amp;nonVirtPosition=&amp;position=chrX:103569504-103623754","chrX:103569504-103623754")</f>
        <v>chrX:103569504-103623754</v>
      </c>
      <c r="F1048" t="s">
        <v>25</v>
      </c>
      <c r="G1048">
        <v>0.97692349412362001</v>
      </c>
      <c r="H1048">
        <v>0.234026900538297</v>
      </c>
      <c r="I1048">
        <v>4.1744068390281299</v>
      </c>
      <c r="J1048" s="1">
        <v>2.9876344265137499E-5</v>
      </c>
      <c r="K1048">
        <v>3.8431712397161901E-4</v>
      </c>
      <c r="L1048" t="s">
        <v>26</v>
      </c>
      <c r="M1048" t="s">
        <v>27</v>
      </c>
      <c r="N1048">
        <v>110.156605874203</v>
      </c>
      <c r="O1048">
        <v>67.906983091300603</v>
      </c>
      <c r="P1048">
        <v>141.843822961379</v>
      </c>
      <c r="Q1048">
        <v>48.997744048503797</v>
      </c>
      <c r="R1048">
        <v>61.060041499078501</v>
      </c>
      <c r="S1048">
        <v>93.663163726319397</v>
      </c>
      <c r="T1048">
        <v>128.322732036275</v>
      </c>
      <c r="U1048">
        <v>122.051634515476</v>
      </c>
      <c r="V1048">
        <v>130.946345051393</v>
      </c>
      <c r="W1048">
        <v>186.05458024237299</v>
      </c>
    </row>
    <row r="1049" spans="1:23" x14ac:dyDescent="0.2">
      <c r="A1049" t="s">
        <v>2107</v>
      </c>
      <c r="B1049" s="3" t="str">
        <f>HYPERLINK("http://www.ncbi.nlm.nih.gov/gene/13644","Efs")</f>
        <v>Efs</v>
      </c>
      <c r="C1049">
        <v>13644</v>
      </c>
      <c r="D1049" t="s">
        <v>2108</v>
      </c>
      <c r="E1049" s="3" t="str">
        <f>HYPERLINK("http://genome.ucsc.edu/cgi-bin/hgTracks?db=mm10&amp;lastVirtModeType=default&amp;lastVirtModeExtraState=&amp;virtModeType=default&amp;virtMode=0&amp;nonVirtPosition=&amp;position=chr14:54916542-54926788","chr14:54916542-54926788")</f>
        <v>chr14:54916542-54926788</v>
      </c>
      <c r="F1049" t="s">
        <v>25</v>
      </c>
      <c r="G1049">
        <v>0.65211289425671304</v>
      </c>
      <c r="H1049">
        <v>0.156364993632234</v>
      </c>
      <c r="I1049">
        <v>4.1704532396200102</v>
      </c>
      <c r="J1049" s="1">
        <v>3.0399442921845601E-5</v>
      </c>
      <c r="K1049">
        <v>3.9067076791404499E-4</v>
      </c>
      <c r="L1049" t="s">
        <v>26</v>
      </c>
      <c r="M1049" t="s">
        <v>27</v>
      </c>
      <c r="N1049">
        <v>390.77249981131303</v>
      </c>
      <c r="O1049">
        <v>292.02098626952102</v>
      </c>
      <c r="P1049">
        <v>464.83613496765599</v>
      </c>
      <c r="Q1049">
        <v>328.50760214337799</v>
      </c>
      <c r="R1049">
        <v>235.51730292501699</v>
      </c>
      <c r="S1049">
        <v>312.038053740169</v>
      </c>
      <c r="T1049">
        <v>403.30001497115097</v>
      </c>
      <c r="U1049">
        <v>537.45544321726902</v>
      </c>
      <c r="V1049">
        <v>420.058219237895</v>
      </c>
      <c r="W1049">
        <v>498.53086244430801</v>
      </c>
    </row>
    <row r="1050" spans="1:23" x14ac:dyDescent="0.2">
      <c r="A1050" t="s">
        <v>2109</v>
      </c>
      <c r="B1050" s="3" t="str">
        <f>HYPERLINK("http://www.ncbi.nlm.nih.gov/gene/56698","Phax")</f>
        <v>Phax</v>
      </c>
      <c r="C1050">
        <v>56698</v>
      </c>
      <c r="D1050" t="s">
        <v>2110</v>
      </c>
      <c r="E1050" s="3" t="str">
        <f>HYPERLINK("http://genome.ucsc.edu/cgi-bin/hgTracks?db=mm10&amp;lastVirtModeType=default&amp;lastVirtModeExtraState=&amp;virtModeType=default&amp;virtMode=0&amp;nonVirtPosition=&amp;position=chr18:56572870-56587712","chr18:56572870-56587712")</f>
        <v>chr18:56572870-56587712</v>
      </c>
      <c r="F1050" t="s">
        <v>30</v>
      </c>
      <c r="G1050">
        <v>-0.63813656692160203</v>
      </c>
      <c r="H1050">
        <v>0.15305208901046799</v>
      </c>
      <c r="I1050">
        <v>-4.1694077555384199</v>
      </c>
      <c r="J1050" s="1">
        <v>3.0539218732764899E-5</v>
      </c>
      <c r="K1050">
        <v>3.9209077473677299E-4</v>
      </c>
      <c r="L1050" t="s">
        <v>26</v>
      </c>
      <c r="M1050" t="s">
        <v>27</v>
      </c>
      <c r="N1050">
        <v>210.03887177947701</v>
      </c>
      <c r="O1050">
        <v>268.87396761207998</v>
      </c>
      <c r="P1050">
        <v>165.91254990502401</v>
      </c>
      <c r="Q1050">
        <v>284.52099100892502</v>
      </c>
      <c r="R1050">
        <v>284.06193219136497</v>
      </c>
      <c r="S1050">
        <v>238.03897963595</v>
      </c>
      <c r="T1050">
        <v>123.739777320694</v>
      </c>
      <c r="U1050">
        <v>194.854363875584</v>
      </c>
      <c r="V1050">
        <v>162.579450878415</v>
      </c>
      <c r="W1050">
        <v>182.47660754540499</v>
      </c>
    </row>
    <row r="1051" spans="1:23" x14ac:dyDescent="0.2">
      <c r="A1051" t="s">
        <v>2111</v>
      </c>
      <c r="B1051" s="3" t="str">
        <f>HYPERLINK("http://www.ncbi.nlm.nih.gov/gene/30938","Fgd3")</f>
        <v>Fgd3</v>
      </c>
      <c r="C1051">
        <v>30938</v>
      </c>
      <c r="D1051" t="s">
        <v>2112</v>
      </c>
      <c r="E1051" s="3" t="str">
        <f>HYPERLINK("http://genome.ucsc.edu/cgi-bin/hgTracks?db=mm10&amp;lastVirtModeType=default&amp;lastVirtModeExtraState=&amp;virtModeType=default&amp;virtMode=0&amp;nonVirtPosition=&amp;position=chr13:49263109-49309208","chr13:49263109-49309208")</f>
        <v>chr13:49263109-49309208</v>
      </c>
      <c r="F1051" t="s">
        <v>25</v>
      </c>
      <c r="G1051">
        <v>0.85849417487045598</v>
      </c>
      <c r="H1051">
        <v>0.20592395796843499</v>
      </c>
      <c r="I1051">
        <v>4.1689863740966402</v>
      </c>
      <c r="J1051" s="1">
        <v>3.0595727761490903E-5</v>
      </c>
      <c r="K1051">
        <v>3.9244002917061702E-4</v>
      </c>
      <c r="L1051" t="s">
        <v>26</v>
      </c>
      <c r="M1051" t="s">
        <v>27</v>
      </c>
      <c r="N1051">
        <v>68.657433918710595</v>
      </c>
      <c r="O1051">
        <v>45.121013219755397</v>
      </c>
      <c r="P1051">
        <v>86.309749442927</v>
      </c>
      <c r="Q1051">
        <v>53.452084416549603</v>
      </c>
      <c r="R1051">
        <v>37.925491614334497</v>
      </c>
      <c r="S1051">
        <v>43.985463628382</v>
      </c>
      <c r="T1051">
        <v>96.242049027206505</v>
      </c>
      <c r="U1051">
        <v>81.367756343650299</v>
      </c>
      <c r="V1051">
        <v>85.335820370570701</v>
      </c>
      <c r="W1051">
        <v>82.293372030280594</v>
      </c>
    </row>
    <row r="1052" spans="1:23" x14ac:dyDescent="0.2">
      <c r="A1052" t="s">
        <v>2113</v>
      </c>
      <c r="B1052" s="3" t="str">
        <f>HYPERLINK("http://www.ncbi.nlm.nih.gov/gene/72947","Phykpl")</f>
        <v>Phykpl</v>
      </c>
      <c r="C1052">
        <v>72947</v>
      </c>
      <c r="D1052" t="s">
        <v>2114</v>
      </c>
      <c r="E1052" s="3" t="str">
        <f>HYPERLINK("http://genome.ucsc.edu/cgi-bin/hgTracks?db=mm10&amp;lastVirtModeType=default&amp;lastVirtModeExtraState=&amp;virtModeType=default&amp;virtMode=0&amp;nonVirtPosition=&amp;position=chr11:51584756-51603269","chr11:51584756-51603269")</f>
        <v>chr11:51584756-51603269</v>
      </c>
      <c r="F1052" t="s">
        <v>30</v>
      </c>
      <c r="G1052">
        <v>0.80822973989576496</v>
      </c>
      <c r="H1052">
        <v>0.19401452136198599</v>
      </c>
      <c r="I1052">
        <v>4.1658208582634702</v>
      </c>
      <c r="J1052" s="1">
        <v>3.1023425022698301E-5</v>
      </c>
      <c r="K1052">
        <v>3.9754515261143799E-4</v>
      </c>
      <c r="L1052" t="s">
        <v>26</v>
      </c>
      <c r="M1052" t="s">
        <v>27</v>
      </c>
      <c r="N1052">
        <v>186.20971024447499</v>
      </c>
      <c r="O1052">
        <v>126.75623121888501</v>
      </c>
      <c r="P1052">
        <v>230.79981951366801</v>
      </c>
      <c r="Q1052">
        <v>87.973222268904493</v>
      </c>
      <c r="R1052">
        <v>130.842946069454</v>
      </c>
      <c r="S1052">
        <v>161.45252531829601</v>
      </c>
      <c r="T1052">
        <v>242.89659992580701</v>
      </c>
      <c r="U1052">
        <v>203.419390859126</v>
      </c>
      <c r="V1052">
        <v>238.35177413849101</v>
      </c>
      <c r="W1052">
        <v>238.531513131248</v>
      </c>
    </row>
    <row r="1053" spans="1:23" x14ac:dyDescent="0.2">
      <c r="A1053" t="s">
        <v>2115</v>
      </c>
      <c r="B1053" s="3" t="str">
        <f>HYPERLINK("http://www.ncbi.nlm.nih.gov/gene/14087","Fanca")</f>
        <v>Fanca</v>
      </c>
      <c r="C1053">
        <v>14087</v>
      </c>
      <c r="D1053" t="s">
        <v>2116</v>
      </c>
      <c r="E1053" s="3" t="str">
        <f>HYPERLINK("http://genome.ucsc.edu/cgi-bin/hgTracks?db=mm10&amp;lastVirtModeType=default&amp;lastVirtModeExtraState=&amp;virtModeType=default&amp;virtMode=0&amp;nonVirtPosition=&amp;position=chr8:123268243-123318576","chr8:123268243-123318576")</f>
        <v>chr8:123268243-123318576</v>
      </c>
      <c r="F1053" t="s">
        <v>25</v>
      </c>
      <c r="G1053">
        <v>1.0149729628870201</v>
      </c>
      <c r="H1053">
        <v>0.243673691575236</v>
      </c>
      <c r="I1053">
        <v>4.1652956309140299</v>
      </c>
      <c r="J1053" s="1">
        <v>3.1094936473300901E-5</v>
      </c>
      <c r="K1053">
        <v>3.9808058729825298E-4</v>
      </c>
      <c r="L1053" t="s">
        <v>26</v>
      </c>
      <c r="M1053" t="s">
        <v>27</v>
      </c>
      <c r="N1053">
        <v>145.453632632378</v>
      </c>
      <c r="O1053">
        <v>86.000425219319297</v>
      </c>
      <c r="P1053">
        <v>190.04353819217201</v>
      </c>
      <c r="Q1053">
        <v>45.100196226463702</v>
      </c>
      <c r="R1053">
        <v>95.951493784266205</v>
      </c>
      <c r="S1053">
        <v>116.94958564722801</v>
      </c>
      <c r="T1053">
        <v>206.23296220115699</v>
      </c>
      <c r="U1053">
        <v>190.571850383813</v>
      </c>
      <c r="V1053">
        <v>186.856020466594</v>
      </c>
      <c r="W1053">
        <v>176.51331971712301</v>
      </c>
    </row>
    <row r="1054" spans="1:23" x14ac:dyDescent="0.2">
      <c r="A1054" t="s">
        <v>2117</v>
      </c>
      <c r="B1054" s="3" t="str">
        <f>HYPERLINK("http://www.ncbi.nlm.nih.gov/gene/26943","Serinc3")</f>
        <v>Serinc3</v>
      </c>
      <c r="C1054">
        <v>26943</v>
      </c>
      <c r="D1054" t="s">
        <v>2118</v>
      </c>
      <c r="E1054" s="3" t="str">
        <f>HYPERLINK("http://genome.ucsc.edu/cgi-bin/hgTracks?db=mm10&amp;lastVirtModeType=default&amp;lastVirtModeExtraState=&amp;virtModeType=default&amp;virtMode=0&amp;nonVirtPosition=&amp;position=chr2:163623272-163645143","chr2:163623272-163645143")</f>
        <v>chr2:163623272-163645143</v>
      </c>
      <c r="F1054" t="s">
        <v>25</v>
      </c>
      <c r="G1054">
        <v>-0.77810798676491999</v>
      </c>
      <c r="H1054">
        <v>0.18688785996895399</v>
      </c>
      <c r="I1054">
        <v>-4.1635020428516896</v>
      </c>
      <c r="J1054" s="1">
        <v>3.1340322030672902E-5</v>
      </c>
      <c r="K1054">
        <v>4.00597089203728E-4</v>
      </c>
      <c r="L1054" t="s">
        <v>26</v>
      </c>
      <c r="M1054" t="s">
        <v>27</v>
      </c>
      <c r="N1054">
        <v>951.25243043216403</v>
      </c>
      <c r="O1054">
        <v>1270.7394192201</v>
      </c>
      <c r="P1054">
        <v>711.63718884121499</v>
      </c>
      <c r="Q1054">
        <v>1670.3776380171801</v>
      </c>
      <c r="R1054">
        <v>1080.49725609239</v>
      </c>
      <c r="S1054">
        <v>1061.3433635507199</v>
      </c>
      <c r="T1054">
        <v>609.53297717230805</v>
      </c>
      <c r="U1054">
        <v>610.25817257737799</v>
      </c>
      <c r="V1054">
        <v>856.30081820124406</v>
      </c>
      <c r="W1054">
        <v>770.45678741393101</v>
      </c>
    </row>
    <row r="1055" spans="1:23" x14ac:dyDescent="0.2">
      <c r="A1055" t="s">
        <v>2119</v>
      </c>
      <c r="B1055" s="3" t="str">
        <f>HYPERLINK("http://www.ncbi.nlm.nih.gov/gene/233280","Nipa1")</f>
        <v>Nipa1</v>
      </c>
      <c r="C1055">
        <v>233280</v>
      </c>
      <c r="D1055" t="s">
        <v>2120</v>
      </c>
      <c r="E1055" s="3" t="str">
        <f>HYPERLINK("http://genome.ucsc.edu/cgi-bin/hgTracks?db=mm10&amp;lastVirtModeType=default&amp;lastVirtModeExtraState=&amp;virtModeType=default&amp;virtMode=0&amp;nonVirtPosition=&amp;position=chr7:55978483-56019573","chr7:55978483-56019573")</f>
        <v>chr7:55978483-56019573</v>
      </c>
      <c r="F1055" t="s">
        <v>25</v>
      </c>
      <c r="G1055">
        <v>-0.89181806674943997</v>
      </c>
      <c r="H1055">
        <v>0.21420314815323599</v>
      </c>
      <c r="I1055">
        <v>-4.1634218471497704</v>
      </c>
      <c r="J1055" s="1">
        <v>3.1351336680270799E-5</v>
      </c>
      <c r="K1055">
        <v>4.00597089203728E-4</v>
      </c>
      <c r="L1055" t="s">
        <v>26</v>
      </c>
      <c r="M1055" t="s">
        <v>27</v>
      </c>
      <c r="N1055">
        <v>127.769131784786</v>
      </c>
      <c r="O1055">
        <v>178.32208769305399</v>
      </c>
      <c r="P1055">
        <v>89.854414853586107</v>
      </c>
      <c r="Q1055">
        <v>219.37626312625599</v>
      </c>
      <c r="R1055">
        <v>174.83651634208201</v>
      </c>
      <c r="S1055">
        <v>140.753483610823</v>
      </c>
      <c r="T1055">
        <v>64.161366018137699</v>
      </c>
      <c r="U1055">
        <v>126.33414800724699</v>
      </c>
      <c r="V1055">
        <v>89.014088489991806</v>
      </c>
      <c r="W1055">
        <v>79.908056898968098</v>
      </c>
    </row>
    <row r="1056" spans="1:23" x14ac:dyDescent="0.2">
      <c r="A1056" t="s">
        <v>2121</v>
      </c>
      <c r="B1056" s="3" t="str">
        <f>HYPERLINK("http://www.ncbi.nlm.nih.gov/gene/11790","Speg")</f>
        <v>Speg</v>
      </c>
      <c r="C1056">
        <v>11790</v>
      </c>
      <c r="D1056" t="s">
        <v>2122</v>
      </c>
      <c r="E1056" s="3" t="str">
        <f>HYPERLINK("http://genome.ucsc.edu/cgi-bin/hgTracks?db=mm10&amp;lastVirtModeType=default&amp;lastVirtModeExtraState=&amp;virtModeType=default&amp;virtMode=0&amp;nonVirtPosition=&amp;position=chr1:75375296-75432306","chr1:75375296-75432306")</f>
        <v>chr1:75375296-75432306</v>
      </c>
      <c r="F1056" t="s">
        <v>30</v>
      </c>
      <c r="G1056">
        <v>0.87593048579565702</v>
      </c>
      <c r="H1056">
        <v>0.21045246261258599</v>
      </c>
      <c r="I1056">
        <v>4.1621298934768198</v>
      </c>
      <c r="J1056" s="1">
        <v>3.1529290560267099E-5</v>
      </c>
      <c r="K1056">
        <v>4.0244098524980498E-4</v>
      </c>
      <c r="L1056" t="s">
        <v>26</v>
      </c>
      <c r="M1056" t="s">
        <v>27</v>
      </c>
      <c r="N1056">
        <v>193.209296423621</v>
      </c>
      <c r="O1056">
        <v>125.986023152914</v>
      </c>
      <c r="P1056">
        <v>243.62675137665099</v>
      </c>
      <c r="Q1056">
        <v>173.71927435378601</v>
      </c>
      <c r="R1056">
        <v>101.261062610273</v>
      </c>
      <c r="S1056">
        <v>102.977732494683</v>
      </c>
      <c r="T1056">
        <v>247.47955464138801</v>
      </c>
      <c r="U1056">
        <v>263.374579743921</v>
      </c>
      <c r="V1056">
        <v>190.534288586016</v>
      </c>
      <c r="W1056">
        <v>273.11858253527902</v>
      </c>
    </row>
    <row r="1057" spans="1:23" x14ac:dyDescent="0.2">
      <c r="A1057" t="s">
        <v>2123</v>
      </c>
      <c r="B1057" s="3" t="str">
        <f>HYPERLINK("http://www.ncbi.nlm.nih.gov/gene/59057","Zfp24")</f>
        <v>Zfp24</v>
      </c>
      <c r="C1057">
        <v>59057</v>
      </c>
      <c r="D1057" t="s">
        <v>2124</v>
      </c>
      <c r="E1057" s="3" t="str">
        <f>HYPERLINK("http://genome.ucsc.edu/cgi-bin/hgTracks?db=mm10&amp;lastVirtModeType=default&amp;lastVirtModeExtraState=&amp;virtModeType=default&amp;virtMode=0&amp;nonVirtPosition=&amp;position=chr18:24012266-24020771","chr18:24012266-24020771")</f>
        <v>chr18:24012266-24020771</v>
      </c>
      <c r="F1057" t="s">
        <v>25</v>
      </c>
      <c r="G1057">
        <v>-0.44676043886713301</v>
      </c>
      <c r="H1057">
        <v>0.107347793528639</v>
      </c>
      <c r="I1057">
        <v>-4.1618036494429198</v>
      </c>
      <c r="J1057" s="1">
        <v>3.1574379003539198E-5</v>
      </c>
      <c r="K1057">
        <v>4.0244098524980498E-4</v>
      </c>
      <c r="L1057" t="s">
        <v>26</v>
      </c>
      <c r="M1057" t="s">
        <v>27</v>
      </c>
      <c r="N1057">
        <v>813.69630761680401</v>
      </c>
      <c r="O1057">
        <v>967.41131775851204</v>
      </c>
      <c r="P1057">
        <v>698.41005001052304</v>
      </c>
      <c r="Q1057">
        <v>943.206572933698</v>
      </c>
      <c r="R1057">
        <v>975.82289923682595</v>
      </c>
      <c r="S1057">
        <v>983.20448110501104</v>
      </c>
      <c r="T1057">
        <v>650.77956961253904</v>
      </c>
      <c r="U1057">
        <v>646.65953725743202</v>
      </c>
      <c r="V1057">
        <v>774.64326595009402</v>
      </c>
      <c r="W1057">
        <v>721.55782722202503</v>
      </c>
    </row>
    <row r="1058" spans="1:23" x14ac:dyDescent="0.2">
      <c r="A1058" t="s">
        <v>2125</v>
      </c>
      <c r="B1058" s="3" t="str">
        <f>HYPERLINK("http://www.ncbi.nlm.nih.gov/gene/107358","Tm9sf3")</f>
        <v>Tm9sf3</v>
      </c>
      <c r="C1058">
        <v>107358</v>
      </c>
      <c r="D1058" t="s">
        <v>2126</v>
      </c>
      <c r="E1058" s="3" t="str">
        <f>HYPERLINK("http://genome.ucsc.edu/cgi-bin/hgTracks?db=mm10&amp;lastVirtModeType=default&amp;lastVirtModeExtraState=&amp;virtModeType=default&amp;virtMode=0&amp;nonVirtPosition=&amp;position=chr19:41210841-41264004","chr19:41210841-41264004")</f>
        <v>chr19:41210841-41264004</v>
      </c>
      <c r="F1058" t="s">
        <v>25</v>
      </c>
      <c r="G1058">
        <v>-0.519536838937943</v>
      </c>
      <c r="H1058">
        <v>0.124840471570048</v>
      </c>
      <c r="I1058">
        <v>-4.1616058671039902</v>
      </c>
      <c r="J1058" s="1">
        <v>3.1601743264926797E-5</v>
      </c>
      <c r="K1058">
        <v>4.0244098524980498E-4</v>
      </c>
      <c r="L1058" t="s">
        <v>26</v>
      </c>
      <c r="M1058" t="s">
        <v>27</v>
      </c>
      <c r="N1058">
        <v>1976.52602540001</v>
      </c>
      <c r="O1058">
        <v>2404.4121528351902</v>
      </c>
      <c r="P1058">
        <v>1655.61142982363</v>
      </c>
      <c r="Q1058">
        <v>2603.5619451227699</v>
      </c>
      <c r="R1058">
        <v>2361.24110790846</v>
      </c>
      <c r="S1058">
        <v>2248.4334054743499</v>
      </c>
      <c r="T1058">
        <v>1498.62619199507</v>
      </c>
      <c r="U1058">
        <v>1698.01659948723</v>
      </c>
      <c r="V1058">
        <v>1907.54984673181</v>
      </c>
      <c r="W1058">
        <v>1518.2530810803901</v>
      </c>
    </row>
    <row r="1059" spans="1:23" x14ac:dyDescent="0.2">
      <c r="A1059" t="s">
        <v>2127</v>
      </c>
      <c r="B1059" s="3" t="str">
        <f>HYPERLINK("http://www.ncbi.nlm.nih.gov/gene/73078","Pmpcb")</f>
        <v>Pmpcb</v>
      </c>
      <c r="C1059">
        <v>73078</v>
      </c>
      <c r="D1059" t="s">
        <v>2128</v>
      </c>
      <c r="E1059" s="3" t="str">
        <f>HYPERLINK("http://genome.ucsc.edu/cgi-bin/hgTracks?db=mm10&amp;lastVirtModeType=default&amp;lastVirtModeExtraState=&amp;virtModeType=default&amp;virtMode=0&amp;nonVirtPosition=&amp;position=chr5:21737159-21757152","chr5:21737159-21757152")</f>
        <v>chr5:21737159-21757152</v>
      </c>
      <c r="F1059" t="s">
        <v>30</v>
      </c>
      <c r="G1059">
        <v>-0.54258050690783299</v>
      </c>
      <c r="H1059">
        <v>0.130380870860168</v>
      </c>
      <c r="I1059">
        <v>-4.1615039332705903</v>
      </c>
      <c r="J1059" s="1">
        <v>3.16158551626312E-5</v>
      </c>
      <c r="K1059">
        <v>4.0244098524980498E-4</v>
      </c>
      <c r="L1059" t="s">
        <v>26</v>
      </c>
      <c r="M1059" t="s">
        <v>27</v>
      </c>
      <c r="N1059">
        <v>257.25311952409601</v>
      </c>
      <c r="O1059">
        <v>313.35917002559103</v>
      </c>
      <c r="P1059">
        <v>215.17358164797599</v>
      </c>
      <c r="Q1059">
        <v>306.23590030314898</v>
      </c>
      <c r="R1059">
        <v>340.950169612867</v>
      </c>
      <c r="S1059">
        <v>292.89144016075602</v>
      </c>
      <c r="T1059">
        <v>238.31364521022601</v>
      </c>
      <c r="U1059">
        <v>192.71310712969799</v>
      </c>
      <c r="V1059">
        <v>212.603897302543</v>
      </c>
      <c r="W1059">
        <v>217.063676949436</v>
      </c>
    </row>
    <row r="1060" spans="1:23" x14ac:dyDescent="0.2">
      <c r="A1060" t="s">
        <v>2129</v>
      </c>
      <c r="B1060" s="3" t="str">
        <f>HYPERLINK("http://www.ncbi.nlm.nih.gov/gene/239839","Ccdc14")</f>
        <v>Ccdc14</v>
      </c>
      <c r="C1060">
        <v>239839</v>
      </c>
      <c r="D1060" t="s">
        <v>2130</v>
      </c>
      <c r="E1060" s="3" t="str">
        <f>HYPERLINK("http://genome.ucsc.edu/cgi-bin/hgTracks?db=mm10&amp;lastVirtModeType=default&amp;lastVirtModeExtraState=&amp;virtModeType=default&amp;virtMode=0&amp;nonVirtPosition=&amp;position=chr16:34690615-34725194","chr16:34690615-34725194")</f>
        <v>chr16:34690615-34725194</v>
      </c>
      <c r="F1060" t="s">
        <v>30</v>
      </c>
      <c r="G1060">
        <v>0.80590190326641198</v>
      </c>
      <c r="H1060">
        <v>0.19366945378386499</v>
      </c>
      <c r="I1060">
        <v>4.1612236081679601</v>
      </c>
      <c r="J1060" s="1">
        <v>3.1654694740468597E-5</v>
      </c>
      <c r="K1060">
        <v>4.0255272295309998E-4</v>
      </c>
      <c r="L1060" t="s">
        <v>26</v>
      </c>
      <c r="M1060" t="s">
        <v>27</v>
      </c>
      <c r="N1060">
        <v>77.127616743266103</v>
      </c>
      <c r="O1060">
        <v>53.437671254460398</v>
      </c>
      <c r="P1060">
        <v>94.895075859870204</v>
      </c>
      <c r="Q1060">
        <v>55.122462054566803</v>
      </c>
      <c r="R1060">
        <v>49.303139098634801</v>
      </c>
      <c r="S1060">
        <v>55.887412610179503</v>
      </c>
      <c r="T1060">
        <v>73.327275449300203</v>
      </c>
      <c r="U1060">
        <v>117.769121023704</v>
      </c>
      <c r="V1060">
        <v>97.841931976602595</v>
      </c>
      <c r="W1060">
        <v>90.6419749898742</v>
      </c>
    </row>
    <row r="1061" spans="1:23" x14ac:dyDescent="0.2">
      <c r="A1061" t="s">
        <v>2131</v>
      </c>
      <c r="B1061" s="3" t="str">
        <f>HYPERLINK("http://www.ncbi.nlm.nih.gov/gene/54411","Atp6ap1")</f>
        <v>Atp6ap1</v>
      </c>
      <c r="C1061">
        <v>54411</v>
      </c>
      <c r="D1061" t="s">
        <v>2132</v>
      </c>
      <c r="E1061" s="3" t="str">
        <f>HYPERLINK("http://genome.ucsc.edu/cgi-bin/hgTracks?db=mm10&amp;lastVirtModeType=default&amp;lastVirtModeExtraState=&amp;virtModeType=default&amp;virtMode=0&amp;nonVirtPosition=&amp;position=chrX:74297096-74304721","chrX:74297096-74304721")</f>
        <v>chrX:74297096-74304721</v>
      </c>
      <c r="F1061" t="s">
        <v>30</v>
      </c>
      <c r="G1061">
        <v>-0.67102784901782497</v>
      </c>
      <c r="H1061">
        <v>0.16154707394623899</v>
      </c>
      <c r="I1061">
        <v>-4.1537604651455</v>
      </c>
      <c r="J1061" s="1">
        <v>3.2705554180656998E-5</v>
      </c>
      <c r="K1061">
        <v>4.1552189376961802E-4</v>
      </c>
      <c r="L1061" t="s">
        <v>26</v>
      </c>
      <c r="M1061" t="s">
        <v>27</v>
      </c>
      <c r="N1061">
        <v>631.56225329432903</v>
      </c>
      <c r="O1061">
        <v>811.85278587156199</v>
      </c>
      <c r="P1061">
        <v>496.34435386140302</v>
      </c>
      <c r="Q1061">
        <v>1022.27111446651</v>
      </c>
      <c r="R1061">
        <v>762.30238144812301</v>
      </c>
      <c r="S1061">
        <v>650.98486170005401</v>
      </c>
      <c r="T1061">
        <v>439.96365269580099</v>
      </c>
      <c r="U1061">
        <v>513.90161901252804</v>
      </c>
      <c r="V1061">
        <v>493.62358162631801</v>
      </c>
      <c r="W1061">
        <v>537.88856211096402</v>
      </c>
    </row>
    <row r="1062" spans="1:23" x14ac:dyDescent="0.2">
      <c r="A1062" t="s">
        <v>2133</v>
      </c>
      <c r="B1062" s="3" t="str">
        <f>HYPERLINK("http://www.ncbi.nlm.nih.gov/gene/74775","Lmbr1l")</f>
        <v>Lmbr1l</v>
      </c>
      <c r="C1062">
        <v>74775</v>
      </c>
      <c r="D1062" t="s">
        <v>2134</v>
      </c>
      <c r="E1062" s="3" t="str">
        <f>HYPERLINK("http://genome.ucsc.edu/cgi-bin/hgTracks?db=mm10&amp;lastVirtModeType=default&amp;lastVirtModeExtraState=&amp;virtModeType=default&amp;virtMode=0&amp;nonVirtPosition=&amp;position=chr15:98903920-98918098","chr15:98903920-98918098")</f>
        <v>chr15:98903920-98918098</v>
      </c>
      <c r="F1062" t="s">
        <v>25</v>
      </c>
      <c r="G1062">
        <v>0.90915744632996198</v>
      </c>
      <c r="H1062">
        <v>0.218891965408369</v>
      </c>
      <c r="I1062">
        <v>4.1534527986617498</v>
      </c>
      <c r="J1062" s="1">
        <v>3.2749579121710298E-5</v>
      </c>
      <c r="K1062">
        <v>4.1568683793253398E-4</v>
      </c>
      <c r="L1062" t="s">
        <v>26</v>
      </c>
      <c r="M1062" t="s">
        <v>27</v>
      </c>
      <c r="N1062">
        <v>75.4480076035005</v>
      </c>
      <c r="O1062">
        <v>49.118217987220198</v>
      </c>
      <c r="P1062">
        <v>95.195349815710799</v>
      </c>
      <c r="Q1062">
        <v>36.7483080363778</v>
      </c>
      <c r="R1062">
        <v>50.0616489309215</v>
      </c>
      <c r="S1062">
        <v>60.544696994361203</v>
      </c>
      <c r="T1062">
        <v>82.493184880462707</v>
      </c>
      <c r="U1062">
        <v>85.650269835421398</v>
      </c>
      <c r="V1062">
        <v>108.876736334866</v>
      </c>
      <c r="W1062">
        <v>103.761208212093</v>
      </c>
    </row>
    <row r="1063" spans="1:23" x14ac:dyDescent="0.2">
      <c r="A1063" t="s">
        <v>2135</v>
      </c>
      <c r="B1063" s="3" t="str">
        <f>HYPERLINK("http://www.ncbi.nlm.nih.gov/gene/71836","Shcbp1l")</f>
        <v>Shcbp1l</v>
      </c>
      <c r="C1063">
        <v>71836</v>
      </c>
      <c r="D1063" t="s">
        <v>2136</v>
      </c>
      <c r="E1063" s="3" t="str">
        <f>HYPERLINK("http://genome.ucsc.edu/cgi-bin/hgTracks?db=mm10&amp;lastVirtModeType=default&amp;lastVirtModeExtraState=&amp;virtModeType=default&amp;virtMode=0&amp;nonVirtPosition=&amp;position=chr1:153425208-153452574","chr1:153425208-153452574")</f>
        <v>chr1:153425208-153452574</v>
      </c>
      <c r="F1063" t="s">
        <v>30</v>
      </c>
      <c r="G1063">
        <v>1.4351930732512199</v>
      </c>
      <c r="H1063">
        <v>0.345789945552119</v>
      </c>
      <c r="I1063">
        <v>4.1504765876279599</v>
      </c>
      <c r="J1063" s="1">
        <v>3.31783706352853E-5</v>
      </c>
      <c r="K1063">
        <v>4.2073064505407701E-4</v>
      </c>
      <c r="L1063" t="s">
        <v>26</v>
      </c>
      <c r="M1063" t="s">
        <v>27</v>
      </c>
      <c r="N1063">
        <v>15.5471838419338</v>
      </c>
      <c r="O1063">
        <v>5.8208512248726301</v>
      </c>
      <c r="P1063">
        <v>22.8419333047297</v>
      </c>
      <c r="Q1063">
        <v>5.0111329140515304</v>
      </c>
      <c r="R1063">
        <v>4.1718040775767902</v>
      </c>
      <c r="S1063">
        <v>8.2796166829895608</v>
      </c>
      <c r="T1063">
        <v>27.497728293487601</v>
      </c>
      <c r="U1063">
        <v>23.553824204740899</v>
      </c>
      <c r="V1063">
        <v>17.655686973221499</v>
      </c>
      <c r="W1063">
        <v>22.6604937474686</v>
      </c>
    </row>
    <row r="1064" spans="1:23" x14ac:dyDescent="0.2">
      <c r="A1064" t="s">
        <v>2137</v>
      </c>
      <c r="B1064" s="3" t="str">
        <f>HYPERLINK("http://www.ncbi.nlm.nih.gov/gene/105239","Rnf44")</f>
        <v>Rnf44</v>
      </c>
      <c r="C1064">
        <v>105239</v>
      </c>
      <c r="D1064" t="s">
        <v>2138</v>
      </c>
      <c r="E1064" s="3" t="str">
        <f>HYPERLINK("http://genome.ucsc.edu/cgi-bin/hgTracks?db=mm10&amp;lastVirtModeType=default&amp;lastVirtModeExtraState=&amp;virtModeType=default&amp;virtMode=0&amp;nonVirtPosition=&amp;position=chr13:54679398-54687808","chr13:54679398-54687808")</f>
        <v>chr13:54679398-54687808</v>
      </c>
      <c r="F1064" t="s">
        <v>25</v>
      </c>
      <c r="G1064">
        <v>0.66928097282173904</v>
      </c>
      <c r="H1064">
        <v>0.16132873707578901</v>
      </c>
      <c r="I1064">
        <v>4.1485539709352803</v>
      </c>
      <c r="J1064" s="1">
        <v>3.3458197282888001E-5</v>
      </c>
      <c r="K1064">
        <v>4.23877691405065E-4</v>
      </c>
      <c r="L1064" t="s">
        <v>26</v>
      </c>
      <c r="M1064" t="s">
        <v>27</v>
      </c>
      <c r="N1064">
        <v>333.09448681726599</v>
      </c>
      <c r="O1064">
        <v>244.87667751218501</v>
      </c>
      <c r="P1064">
        <v>399.257843796077</v>
      </c>
      <c r="Q1064">
        <v>204.899656930107</v>
      </c>
      <c r="R1064">
        <v>217.69232186628</v>
      </c>
      <c r="S1064">
        <v>312.038053740169</v>
      </c>
      <c r="T1064">
        <v>421.63183383347598</v>
      </c>
      <c r="U1064">
        <v>408.98003846413701</v>
      </c>
      <c r="V1064">
        <v>394.31034240194703</v>
      </c>
      <c r="W1064">
        <v>372.10916048474701</v>
      </c>
    </row>
    <row r="1065" spans="1:23" x14ac:dyDescent="0.2">
      <c r="A1065" t="s">
        <v>2139</v>
      </c>
      <c r="B1065" s="3" t="str">
        <f>HYPERLINK("http://www.ncbi.nlm.nih.gov/gene/16145","Igtp")</f>
        <v>Igtp</v>
      </c>
      <c r="C1065">
        <v>16145</v>
      </c>
      <c r="D1065" t="s">
        <v>2140</v>
      </c>
      <c r="E1065" s="3" t="str">
        <f>HYPERLINK("http://genome.ucsc.edu/cgi-bin/hgTracks?db=mm10&amp;lastVirtModeType=default&amp;lastVirtModeExtraState=&amp;virtModeType=default&amp;virtMode=0&amp;nonVirtPosition=&amp;position=chr11:58199555-58207592","chr11:58199555-58207592")</f>
        <v>chr11:58199555-58207592</v>
      </c>
      <c r="F1065" t="s">
        <v>30</v>
      </c>
      <c r="G1065">
        <v>1.6273548044645001</v>
      </c>
      <c r="H1065">
        <v>0.392295370710185</v>
      </c>
      <c r="I1065">
        <v>4.1482895949509899</v>
      </c>
      <c r="J1065" s="1">
        <v>3.3496850677543502E-5</v>
      </c>
      <c r="K1065">
        <v>4.2396628300849301E-4</v>
      </c>
      <c r="L1065" t="s">
        <v>26</v>
      </c>
      <c r="M1065" t="s">
        <v>27</v>
      </c>
      <c r="N1065">
        <v>486.21569335282697</v>
      </c>
      <c r="O1065">
        <v>106.848127677891</v>
      </c>
      <c r="P1065">
        <v>770.74136760902798</v>
      </c>
      <c r="Q1065">
        <v>129.732663219334</v>
      </c>
      <c r="R1065">
        <v>55.750472673071698</v>
      </c>
      <c r="S1065">
        <v>135.06124714126699</v>
      </c>
      <c r="T1065">
        <v>1425.29891654577</v>
      </c>
      <c r="U1065">
        <v>244.103269030951</v>
      </c>
      <c r="V1065">
        <v>587.051591859616</v>
      </c>
      <c r="W1065">
        <v>826.51169299977403</v>
      </c>
    </row>
    <row r="1066" spans="1:23" x14ac:dyDescent="0.2">
      <c r="A1066" t="s">
        <v>2141</v>
      </c>
      <c r="B1066" s="3" t="str">
        <f>HYPERLINK("http://www.ncbi.nlm.nih.gov/gene/58180","Hic2")</f>
        <v>Hic2</v>
      </c>
      <c r="C1066">
        <v>58180</v>
      </c>
      <c r="D1066" t="s">
        <v>2142</v>
      </c>
      <c r="E1066" s="3" t="str">
        <f>HYPERLINK("http://genome.ucsc.edu/cgi-bin/hgTracks?db=mm10&amp;lastVirtModeType=default&amp;lastVirtModeExtraState=&amp;virtModeType=default&amp;virtMode=0&amp;nonVirtPosition=&amp;position=chr16:17233586-17263430","chr16:17233586-17263430")</f>
        <v>chr16:17233586-17263430</v>
      </c>
      <c r="F1066" t="s">
        <v>30</v>
      </c>
      <c r="G1066">
        <v>1.1517690971599199</v>
      </c>
      <c r="H1066">
        <v>0.27771204373000502</v>
      </c>
      <c r="I1066">
        <v>4.1473501893914397</v>
      </c>
      <c r="J1066" s="1">
        <v>3.3634540967180499E-5</v>
      </c>
      <c r="K1066">
        <v>4.25307023693592E-4</v>
      </c>
      <c r="L1066" t="s">
        <v>26</v>
      </c>
      <c r="M1066" t="s">
        <v>27</v>
      </c>
      <c r="N1066">
        <v>84.422439719887095</v>
      </c>
      <c r="O1066">
        <v>45.362455919306797</v>
      </c>
      <c r="P1066">
        <v>113.717427570323</v>
      </c>
      <c r="Q1066">
        <v>49.5545365945095</v>
      </c>
      <c r="R1066">
        <v>39.442511278907801</v>
      </c>
      <c r="S1066">
        <v>47.090319884503103</v>
      </c>
      <c r="T1066">
        <v>100.825003742788</v>
      </c>
      <c r="U1066">
        <v>89.932783327192496</v>
      </c>
      <c r="V1066">
        <v>72.094055140654604</v>
      </c>
      <c r="W1066">
        <v>192.017868070655</v>
      </c>
    </row>
    <row r="1067" spans="1:23" x14ac:dyDescent="0.2">
      <c r="A1067" t="s">
        <v>2143</v>
      </c>
      <c r="B1067" s="3" t="str">
        <f>HYPERLINK("http://www.ncbi.nlm.nih.gov/gene/67974","Ccny")</f>
        <v>Ccny</v>
      </c>
      <c r="C1067">
        <v>67974</v>
      </c>
      <c r="D1067" t="s">
        <v>2144</v>
      </c>
      <c r="E1067" s="3" t="str">
        <f>HYPERLINK("http://genome.ucsc.edu/cgi-bin/hgTracks?db=mm10&amp;lastVirtModeType=default&amp;lastVirtModeExtraState=&amp;virtModeType=default&amp;virtMode=0&amp;nonVirtPosition=&amp;position=chr18:9314043-9450150","chr18:9314043-9450150")</f>
        <v>chr18:9314043-9450150</v>
      </c>
      <c r="F1067" t="s">
        <v>25</v>
      </c>
      <c r="G1067">
        <v>-0.47919056426811302</v>
      </c>
      <c r="H1067">
        <v>0.115591601996808</v>
      </c>
      <c r="I1067">
        <v>-4.1455482577475298</v>
      </c>
      <c r="J1067" s="1">
        <v>3.3900159193717803E-5</v>
      </c>
      <c r="K1067">
        <v>4.2826135071988199E-4</v>
      </c>
      <c r="L1067" t="s">
        <v>26</v>
      </c>
      <c r="M1067" t="s">
        <v>27</v>
      </c>
      <c r="N1067">
        <v>482.27984920962501</v>
      </c>
      <c r="O1067">
        <v>577.86418748179199</v>
      </c>
      <c r="P1067">
        <v>410.59159550549998</v>
      </c>
      <c r="Q1067">
        <v>579.06424784595401</v>
      </c>
      <c r="R1067">
        <v>624.63284688808903</v>
      </c>
      <c r="S1067">
        <v>529.895467711332</v>
      </c>
      <c r="T1067">
        <v>394.13410553998898</v>
      </c>
      <c r="U1067">
        <v>434.67511941476403</v>
      </c>
      <c r="V1067">
        <v>425.94344822896898</v>
      </c>
      <c r="W1067">
        <v>387.613708838278</v>
      </c>
    </row>
    <row r="1068" spans="1:23" x14ac:dyDescent="0.2">
      <c r="A1068" t="s">
        <v>2145</v>
      </c>
      <c r="B1068" s="3" t="str">
        <f>HYPERLINK("http://www.ncbi.nlm.nih.gov/gene/12799","Cnp")</f>
        <v>Cnp</v>
      </c>
      <c r="C1068">
        <v>12799</v>
      </c>
      <c r="D1068" t="s">
        <v>2146</v>
      </c>
      <c r="E1068" s="3" t="str">
        <f>HYPERLINK("http://genome.ucsc.edu/cgi-bin/hgTracks?db=mm10&amp;lastVirtModeType=default&amp;lastVirtModeExtraState=&amp;virtModeType=default&amp;virtMode=0&amp;nonVirtPosition=&amp;position=chr11:100574938-100581739","chr11:100574938-100581739")</f>
        <v>chr11:100574938-100581739</v>
      </c>
      <c r="F1068" t="s">
        <v>30</v>
      </c>
      <c r="G1068">
        <v>-0.53244383302051901</v>
      </c>
      <c r="H1068">
        <v>0.12847451167731799</v>
      </c>
      <c r="I1068">
        <v>-4.1443538182719601</v>
      </c>
      <c r="J1068" s="1">
        <v>3.4077325279554701E-5</v>
      </c>
      <c r="K1068">
        <v>4.29891867663085E-4</v>
      </c>
      <c r="L1068" t="s">
        <v>26</v>
      </c>
      <c r="M1068" t="s">
        <v>27</v>
      </c>
      <c r="N1068">
        <v>1088.02177602151</v>
      </c>
      <c r="O1068">
        <v>1328.6625965990499</v>
      </c>
      <c r="P1068">
        <v>907.541160588357</v>
      </c>
      <c r="Q1068">
        <v>1493.31760838735</v>
      </c>
      <c r="R1068">
        <v>1170.0014163022199</v>
      </c>
      <c r="S1068">
        <v>1322.6687651075799</v>
      </c>
      <c r="T1068">
        <v>916.59094311625302</v>
      </c>
      <c r="U1068">
        <v>852.22018486244303</v>
      </c>
      <c r="V1068">
        <v>1018.14461545577</v>
      </c>
      <c r="W1068">
        <v>843.20889891896195</v>
      </c>
    </row>
    <row r="1069" spans="1:23" x14ac:dyDescent="0.2">
      <c r="A1069" t="s">
        <v>2147</v>
      </c>
      <c r="B1069" s="3" t="str">
        <f>HYPERLINK("http://www.ncbi.nlm.nih.gov/gene/227800","Rabgap1")</f>
        <v>Rabgap1</v>
      </c>
      <c r="C1069">
        <v>227800</v>
      </c>
      <c r="D1069" t="s">
        <v>2148</v>
      </c>
      <c r="E1069" s="3" t="str">
        <f>HYPERLINK("http://genome.ucsc.edu/cgi-bin/hgTracks?db=mm10&amp;lastVirtModeType=default&amp;lastVirtModeExtraState=&amp;virtModeType=default&amp;virtMode=0&amp;nonVirtPosition=&amp;position=chr2:37443284-37566437","chr2:37443284-37566437")</f>
        <v>chr2:37443284-37566437</v>
      </c>
      <c r="F1069" t="s">
        <v>30</v>
      </c>
      <c r="G1069">
        <v>-0.44498564805886998</v>
      </c>
      <c r="H1069">
        <v>0.107374345142435</v>
      </c>
      <c r="I1069">
        <v>-4.1442455129163598</v>
      </c>
      <c r="J1069" s="1">
        <v>3.4093433160943597E-5</v>
      </c>
      <c r="K1069">
        <v>4.29891867663085E-4</v>
      </c>
      <c r="L1069" t="s">
        <v>26</v>
      </c>
      <c r="M1069" t="s">
        <v>27</v>
      </c>
      <c r="N1069">
        <v>648.11349063807802</v>
      </c>
      <c r="O1069">
        <v>770.96750597754101</v>
      </c>
      <c r="P1069">
        <v>555.97297913347995</v>
      </c>
      <c r="Q1069">
        <v>793.98617060416404</v>
      </c>
      <c r="R1069">
        <v>770.64598960327601</v>
      </c>
      <c r="S1069">
        <v>748.27035772518195</v>
      </c>
      <c r="T1069">
        <v>472.04433570486998</v>
      </c>
      <c r="U1069">
        <v>603.83440233972101</v>
      </c>
      <c r="V1069">
        <v>567.18894401474097</v>
      </c>
      <c r="W1069">
        <v>580.82423447458905</v>
      </c>
    </row>
    <row r="1070" spans="1:23" x14ac:dyDescent="0.2">
      <c r="A1070" t="s">
        <v>2149</v>
      </c>
      <c r="B1070" s="3" t="str">
        <f>HYPERLINK("http://www.ncbi.nlm.nih.gov/gene/217379","Ubxn2a")</f>
        <v>Ubxn2a</v>
      </c>
      <c r="C1070">
        <v>217379</v>
      </c>
      <c r="D1070" t="s">
        <v>2150</v>
      </c>
      <c r="E1070" s="3" t="str">
        <f>HYPERLINK("http://genome.ucsc.edu/cgi-bin/hgTracks?db=mm10&amp;lastVirtModeType=default&amp;lastVirtModeExtraState=&amp;virtModeType=default&amp;virtMode=0&amp;nonVirtPosition=&amp;position=chr12:4879031-4907520","chr12:4879031-4907520")</f>
        <v>chr12:4879031-4907520</v>
      </c>
      <c r="F1070" t="s">
        <v>25</v>
      </c>
      <c r="G1070">
        <v>-0.72903097034273201</v>
      </c>
      <c r="H1070">
        <v>0.17595182125809999</v>
      </c>
      <c r="I1070">
        <v>-4.1433556363894102</v>
      </c>
      <c r="J1070" s="1">
        <v>3.42260555059577E-5</v>
      </c>
      <c r="K1070">
        <v>4.31158146077403E-4</v>
      </c>
      <c r="L1070" t="s">
        <v>26</v>
      </c>
      <c r="M1070" t="s">
        <v>27</v>
      </c>
      <c r="N1070">
        <v>141.418446701623</v>
      </c>
      <c r="O1070">
        <v>185.12531434711801</v>
      </c>
      <c r="P1070">
        <v>108.63829596750099</v>
      </c>
      <c r="Q1070">
        <v>214.92192275821</v>
      </c>
      <c r="R1070">
        <v>190.385967903959</v>
      </c>
      <c r="S1070">
        <v>150.06805237918601</v>
      </c>
      <c r="T1070">
        <v>105.407958458369</v>
      </c>
      <c r="U1070">
        <v>113.486607531933</v>
      </c>
      <c r="V1070">
        <v>105.93412183932899</v>
      </c>
      <c r="W1070">
        <v>109.72449604037401</v>
      </c>
    </row>
    <row r="1071" spans="1:23" x14ac:dyDescent="0.2">
      <c r="A1071" t="s">
        <v>2151</v>
      </c>
      <c r="B1071" s="3" t="str">
        <f>HYPERLINK("http://www.ncbi.nlm.nih.gov/gene/81906","Cyp4x1")</f>
        <v>Cyp4x1</v>
      </c>
      <c r="C1071">
        <v>81906</v>
      </c>
      <c r="D1071" t="s">
        <v>2152</v>
      </c>
      <c r="E1071" s="3" t="str">
        <f>HYPERLINK("http://genome.ucsc.edu/cgi-bin/hgTracks?db=mm10&amp;lastVirtModeType=default&amp;lastVirtModeExtraState=&amp;virtModeType=default&amp;virtMode=0&amp;nonVirtPosition=&amp;position=chr4:115108681-115133977","chr4:115108681-115133977")</f>
        <v>chr4:115108681-115133977</v>
      </c>
      <c r="F1071" t="s">
        <v>25</v>
      </c>
      <c r="G1071">
        <v>1.50039496856302</v>
      </c>
      <c r="H1071">
        <v>0.36214132200466598</v>
      </c>
      <c r="I1071">
        <v>4.1431200401474397</v>
      </c>
      <c r="J1071" s="1">
        <v>3.4261249434116702E-5</v>
      </c>
      <c r="K1071">
        <v>4.3119585636490298E-4</v>
      </c>
      <c r="L1071" t="s">
        <v>26</v>
      </c>
      <c r="M1071" t="s">
        <v>27</v>
      </c>
      <c r="N1071">
        <v>22.675584789243999</v>
      </c>
      <c r="O1071">
        <v>7.5412106115693396</v>
      </c>
      <c r="P1071">
        <v>34.0263654225</v>
      </c>
      <c r="Q1071">
        <v>11.692643466120201</v>
      </c>
      <c r="R1071">
        <v>8.3436081551535803</v>
      </c>
      <c r="S1071">
        <v>2.5873802134342401</v>
      </c>
      <c r="T1071">
        <v>36.663637724650101</v>
      </c>
      <c r="U1071">
        <v>51.390161901252803</v>
      </c>
      <c r="V1071">
        <v>30.1617985792534</v>
      </c>
      <c r="W1071">
        <v>17.889863484843598</v>
      </c>
    </row>
    <row r="1072" spans="1:23" x14ac:dyDescent="0.2">
      <c r="A1072" t="s">
        <v>2153</v>
      </c>
      <c r="B1072" s="3" t="str">
        <f>HYPERLINK("http://www.ncbi.nlm.nih.gov/gene/71514","Sfpq")</f>
        <v>Sfpq</v>
      </c>
      <c r="C1072">
        <v>71514</v>
      </c>
      <c r="D1072" t="s">
        <v>2154</v>
      </c>
      <c r="E1072" s="3" t="str">
        <f>HYPERLINK("http://genome.ucsc.edu/cgi-bin/hgTracks?db=mm10&amp;lastVirtModeType=default&amp;lastVirtModeExtraState=&amp;virtModeType=default&amp;virtMode=0&amp;nonVirtPosition=&amp;position=chr4:127021300-127037014","chr4:127021300-127037014")</f>
        <v>chr4:127021300-127037014</v>
      </c>
      <c r="F1072" t="s">
        <v>30</v>
      </c>
      <c r="G1072">
        <v>0.47288298011519803</v>
      </c>
      <c r="H1072">
        <v>0.114171339464051</v>
      </c>
      <c r="I1072">
        <v>4.1418711765582303</v>
      </c>
      <c r="J1072" s="1">
        <v>3.4448382385102897E-5</v>
      </c>
      <c r="K1072">
        <v>4.3314393288160902E-4</v>
      </c>
      <c r="L1072" t="s">
        <v>26</v>
      </c>
      <c r="M1072" t="s">
        <v>27</v>
      </c>
      <c r="N1072">
        <v>1693.2055105167899</v>
      </c>
      <c r="O1072">
        <v>1382.5769732712599</v>
      </c>
      <c r="P1072">
        <v>1926.17691345094</v>
      </c>
      <c r="Q1072">
        <v>1230.51152667265</v>
      </c>
      <c r="R1072">
        <v>1437.75538709942</v>
      </c>
      <c r="S1072">
        <v>1479.4640060417</v>
      </c>
      <c r="T1072">
        <v>1791.9352937922699</v>
      </c>
      <c r="U1072">
        <v>1830.7745177321301</v>
      </c>
      <c r="V1072">
        <v>2047.3240352698101</v>
      </c>
      <c r="W1072">
        <v>2034.67380700955</v>
      </c>
    </row>
    <row r="1073" spans="1:23" x14ac:dyDescent="0.2">
      <c r="A1073" t="s">
        <v>2155</v>
      </c>
      <c r="B1073" s="3" t="str">
        <f>HYPERLINK("http://www.ncbi.nlm.nih.gov/gene/56486","Gabarap")</f>
        <v>Gabarap</v>
      </c>
      <c r="C1073">
        <v>56486</v>
      </c>
      <c r="D1073" t="s">
        <v>2156</v>
      </c>
      <c r="E1073" s="3" t="str">
        <f>HYPERLINK("http://genome.ucsc.edu/cgi-bin/hgTracks?db=mm10&amp;lastVirtModeType=default&amp;lastVirtModeExtraState=&amp;virtModeType=default&amp;virtMode=0&amp;nonVirtPosition=&amp;position=chr11:69991369-69994949","chr11:69991369-69994949")</f>
        <v>chr11:69991369-69994949</v>
      </c>
      <c r="F1073" t="s">
        <v>30</v>
      </c>
      <c r="G1073">
        <v>-0.57680108769929395</v>
      </c>
      <c r="H1073">
        <v>0.13935330437169399</v>
      </c>
      <c r="I1073">
        <v>-4.1391274523408903</v>
      </c>
      <c r="J1073" s="1">
        <v>3.4862923923794303E-5</v>
      </c>
      <c r="K1073">
        <v>4.3794504152300999E-4</v>
      </c>
      <c r="L1073" t="s">
        <v>26</v>
      </c>
      <c r="M1073" t="s">
        <v>27</v>
      </c>
      <c r="N1073">
        <v>505.46297550956399</v>
      </c>
      <c r="O1073">
        <v>628.05974835389998</v>
      </c>
      <c r="P1073">
        <v>413.51539587631203</v>
      </c>
      <c r="Q1073">
        <v>744.43163400965398</v>
      </c>
      <c r="R1073">
        <v>592.77543393204803</v>
      </c>
      <c r="S1073">
        <v>546.97217711999804</v>
      </c>
      <c r="T1073">
        <v>380.385241393245</v>
      </c>
      <c r="U1073">
        <v>449.66391663596198</v>
      </c>
      <c r="V1073">
        <v>424.47214098120099</v>
      </c>
      <c r="W1073">
        <v>399.54028449484002</v>
      </c>
    </row>
    <row r="1074" spans="1:23" x14ac:dyDescent="0.2">
      <c r="A1074" t="s">
        <v>2157</v>
      </c>
      <c r="B1074" s="3" t="str">
        <f>HYPERLINK("http://www.ncbi.nlm.nih.gov/gene/21802","Tgfa")</f>
        <v>Tgfa</v>
      </c>
      <c r="C1074">
        <v>21802</v>
      </c>
      <c r="D1074" t="s">
        <v>2158</v>
      </c>
      <c r="E1074" s="3" t="str">
        <f>HYPERLINK("http://genome.ucsc.edu/cgi-bin/hgTracks?db=mm10&amp;lastVirtModeType=default&amp;lastVirtModeExtraState=&amp;virtModeType=default&amp;virtMode=0&amp;nonVirtPosition=&amp;position=chr6:86195226-86275743","chr6:86195226-86275743")</f>
        <v>chr6:86195226-86275743</v>
      </c>
      <c r="F1074" t="s">
        <v>30</v>
      </c>
      <c r="G1074">
        <v>-0.55822829005104602</v>
      </c>
      <c r="H1074">
        <v>0.13489958536168201</v>
      </c>
      <c r="I1074">
        <v>-4.1381023414888096</v>
      </c>
      <c r="J1074" s="1">
        <v>3.5019017243889603E-5</v>
      </c>
      <c r="K1074">
        <v>4.3949358942167401E-4</v>
      </c>
      <c r="L1074" t="s">
        <v>26</v>
      </c>
      <c r="M1074" t="s">
        <v>27</v>
      </c>
      <c r="N1074">
        <v>1240.5993152578001</v>
      </c>
      <c r="O1074">
        <v>1529.6129610872299</v>
      </c>
      <c r="P1074">
        <v>1023.83908088573</v>
      </c>
      <c r="Q1074">
        <v>1701.5580205935</v>
      </c>
      <c r="R1074">
        <v>1312.60126477212</v>
      </c>
      <c r="S1074">
        <v>1574.6795978960799</v>
      </c>
      <c r="T1074">
        <v>953.25458084090303</v>
      </c>
      <c r="U1074">
        <v>1113.4535078604799</v>
      </c>
      <c r="V1074">
        <v>1117.4578546801499</v>
      </c>
      <c r="W1074">
        <v>911.19038016136699</v>
      </c>
    </row>
    <row r="1075" spans="1:23" x14ac:dyDescent="0.2">
      <c r="A1075" t="s">
        <v>2159</v>
      </c>
      <c r="B1075" s="3" t="str">
        <f>HYPERLINK("http://www.ncbi.nlm.nih.gov/gene/68059","Tm9sf2")</f>
        <v>Tm9sf2</v>
      </c>
      <c r="C1075">
        <v>68059</v>
      </c>
      <c r="D1075" t="s">
        <v>2160</v>
      </c>
      <c r="E1075" s="3" t="str">
        <f>HYPERLINK("http://genome.ucsc.edu/cgi-bin/hgTracks?db=mm10&amp;lastVirtModeType=default&amp;lastVirtModeExtraState=&amp;virtModeType=default&amp;virtMode=0&amp;nonVirtPosition=&amp;position=chr14:122107081-122159603","chr14:122107081-122159603")</f>
        <v>chr14:122107081-122159603</v>
      </c>
      <c r="F1075" t="s">
        <v>30</v>
      </c>
      <c r="G1075">
        <v>-0.47391186091237603</v>
      </c>
      <c r="H1075">
        <v>0.114632112753943</v>
      </c>
      <c r="I1075">
        <v>-4.1341980840013504</v>
      </c>
      <c r="J1075" s="1">
        <v>3.5619616409224701E-5</v>
      </c>
      <c r="K1075">
        <v>4.4661262484637401E-4</v>
      </c>
      <c r="L1075" t="s">
        <v>26</v>
      </c>
      <c r="M1075" t="s">
        <v>27</v>
      </c>
      <c r="N1075">
        <v>710.67260029639704</v>
      </c>
      <c r="O1075">
        <v>850.52445336851599</v>
      </c>
      <c r="P1075">
        <v>605.78371049230896</v>
      </c>
      <c r="Q1075">
        <v>797.88371842620404</v>
      </c>
      <c r="R1075">
        <v>866.21822847139902</v>
      </c>
      <c r="S1075">
        <v>887.47141320794401</v>
      </c>
      <c r="T1075">
        <v>618.69888660347101</v>
      </c>
      <c r="U1075">
        <v>522.46664599607095</v>
      </c>
      <c r="V1075">
        <v>651.053457137544</v>
      </c>
      <c r="W1075">
        <v>630.915852232151</v>
      </c>
    </row>
    <row r="1076" spans="1:23" x14ac:dyDescent="0.2">
      <c r="A1076" t="s">
        <v>2161</v>
      </c>
      <c r="B1076" s="3" t="str">
        <f>HYPERLINK("http://www.ncbi.nlm.nih.gov/gene/192169","Ufsp2")</f>
        <v>Ufsp2</v>
      </c>
      <c r="C1076">
        <v>192169</v>
      </c>
      <c r="D1076" t="s">
        <v>2162</v>
      </c>
      <c r="E1076" s="3" t="str">
        <f>HYPERLINK("http://genome.ucsc.edu/cgi-bin/hgTracks?db=mm10&amp;lastVirtModeType=default&amp;lastVirtModeExtraState=&amp;virtModeType=default&amp;virtMode=0&amp;nonVirtPosition=&amp;position=chr8:45975527-45996956","chr8:45975527-45996956")</f>
        <v>chr8:45975527-45996956</v>
      </c>
      <c r="F1076" t="s">
        <v>30</v>
      </c>
      <c r="G1076">
        <v>-0.69225340059394003</v>
      </c>
      <c r="H1076">
        <v>0.16745768910620901</v>
      </c>
      <c r="I1076">
        <v>-4.1339003558975502</v>
      </c>
      <c r="J1076" s="1">
        <v>3.56658156412879E-5</v>
      </c>
      <c r="K1076">
        <v>4.4677356150840599E-4</v>
      </c>
      <c r="L1076" t="s">
        <v>26</v>
      </c>
      <c r="M1076" t="s">
        <v>27</v>
      </c>
      <c r="N1076">
        <v>148.744705167685</v>
      </c>
      <c r="O1076">
        <v>193.67300409420901</v>
      </c>
      <c r="P1076">
        <v>115.04848097279201</v>
      </c>
      <c r="Q1076">
        <v>201.558901654072</v>
      </c>
      <c r="R1076">
        <v>209.72796862727</v>
      </c>
      <c r="S1076">
        <v>169.73214200128601</v>
      </c>
      <c r="T1076">
        <v>114.573867889532</v>
      </c>
      <c r="U1076">
        <v>94.215296818963594</v>
      </c>
      <c r="V1076">
        <v>130.946345051393</v>
      </c>
      <c r="W1076">
        <v>120.45841413127999</v>
      </c>
    </row>
    <row r="1077" spans="1:23" x14ac:dyDescent="0.2">
      <c r="A1077" t="s">
        <v>2163</v>
      </c>
      <c r="B1077" s="3" t="str">
        <f>HYPERLINK("http://www.ncbi.nlm.nih.gov/gene/18628","Per3")</f>
        <v>Per3</v>
      </c>
      <c r="C1077">
        <v>18628</v>
      </c>
      <c r="D1077" t="s">
        <v>2164</v>
      </c>
      <c r="E1077" s="3" t="str">
        <f>HYPERLINK("http://genome.ucsc.edu/cgi-bin/hgTracks?db=mm10&amp;lastVirtModeType=default&amp;lastVirtModeExtraState=&amp;virtModeType=default&amp;virtMode=0&amp;nonVirtPosition=&amp;position=chr4:151003654-151044665","chr4:151003654-151044665")</f>
        <v>chr4:151003654-151044665</v>
      </c>
      <c r="F1077" t="s">
        <v>25</v>
      </c>
      <c r="G1077">
        <v>0.89241018530972405</v>
      </c>
      <c r="H1077">
        <v>0.21601908111460699</v>
      </c>
      <c r="I1077">
        <v>4.1311636949157498</v>
      </c>
      <c r="J1077" s="1">
        <v>3.6093143829836701E-5</v>
      </c>
      <c r="K1077">
        <v>4.5170400843490001E-4</v>
      </c>
      <c r="L1077" t="s">
        <v>26</v>
      </c>
      <c r="M1077" t="s">
        <v>27</v>
      </c>
      <c r="N1077">
        <v>178.082185438713</v>
      </c>
      <c r="O1077">
        <v>113.37166170402701</v>
      </c>
      <c r="P1077">
        <v>226.61507823972701</v>
      </c>
      <c r="Q1077">
        <v>143.095684323471</v>
      </c>
      <c r="R1077">
        <v>116.81051417214999</v>
      </c>
      <c r="S1077">
        <v>80.208786616461396</v>
      </c>
      <c r="T1077">
        <v>297.89205651278201</v>
      </c>
      <c r="U1077">
        <v>188.43059363792699</v>
      </c>
      <c r="V1077">
        <v>178.02817697998401</v>
      </c>
      <c r="W1077">
        <v>242.109485828217</v>
      </c>
    </row>
    <row r="1078" spans="1:23" x14ac:dyDescent="0.2">
      <c r="A1078" t="s">
        <v>2165</v>
      </c>
      <c r="B1078" s="3" t="str">
        <f>HYPERLINK("http://www.ncbi.nlm.nih.gov/gene/12166","Bmpr1a")</f>
        <v>Bmpr1a</v>
      </c>
      <c r="C1078">
        <v>12166</v>
      </c>
      <c r="D1078" t="s">
        <v>2166</v>
      </c>
      <c r="E1078" s="3" t="str">
        <f>HYPERLINK("http://genome.ucsc.edu/cgi-bin/hgTracks?db=mm10&amp;lastVirtModeType=default&amp;lastVirtModeExtraState=&amp;virtModeType=default&amp;virtMode=0&amp;nonVirtPosition=&amp;position=chr14:34411067-34502546","chr14:34411067-34502546")</f>
        <v>chr14:34411067-34502546</v>
      </c>
      <c r="F1078" t="s">
        <v>25</v>
      </c>
      <c r="G1078">
        <v>-0.440674097115</v>
      </c>
      <c r="H1078">
        <v>0.106733033462647</v>
      </c>
      <c r="I1078">
        <v>-4.1287507983104597</v>
      </c>
      <c r="J1078" s="1">
        <v>3.6473945088292702E-5</v>
      </c>
      <c r="K1078">
        <v>4.5604350950264E-4</v>
      </c>
      <c r="L1078" t="s">
        <v>26</v>
      </c>
      <c r="M1078" t="s">
        <v>27</v>
      </c>
      <c r="N1078">
        <v>792.12913144576396</v>
      </c>
      <c r="O1078">
        <v>938.43649696094701</v>
      </c>
      <c r="P1078">
        <v>682.39860730937698</v>
      </c>
      <c r="Q1078">
        <v>898.10637670723395</v>
      </c>
      <c r="R1078">
        <v>938.65591745477798</v>
      </c>
      <c r="S1078">
        <v>978.54719672082899</v>
      </c>
      <c r="T1078">
        <v>659.94547904370199</v>
      </c>
      <c r="U1078">
        <v>620.964456306805</v>
      </c>
      <c r="V1078">
        <v>737.860584755883</v>
      </c>
      <c r="W1078">
        <v>710.82390913111897</v>
      </c>
    </row>
    <row r="1079" spans="1:23" x14ac:dyDescent="0.2">
      <c r="A1079" t="s">
        <v>2167</v>
      </c>
      <c r="B1079" s="3" t="str">
        <f>HYPERLINK("http://www.ncbi.nlm.nih.gov/gene/11938","Atp2a2")</f>
        <v>Atp2a2</v>
      </c>
      <c r="C1079">
        <v>11938</v>
      </c>
      <c r="D1079" t="s">
        <v>2168</v>
      </c>
      <c r="E1079" s="3" t="str">
        <f>HYPERLINK("http://genome.ucsc.edu/cgi-bin/hgTracks?db=mm10&amp;lastVirtModeType=default&amp;lastVirtModeExtraState=&amp;virtModeType=default&amp;virtMode=0&amp;nonVirtPosition=&amp;position=chr5:122453512-122502225","chr5:122453512-122502225")</f>
        <v>chr5:122453512-122502225</v>
      </c>
      <c r="F1079" t="s">
        <v>25</v>
      </c>
      <c r="G1079">
        <v>-0.51420448621961501</v>
      </c>
      <c r="H1079">
        <v>0.12457971197005301</v>
      </c>
      <c r="I1079">
        <v>-4.1275138470638</v>
      </c>
      <c r="J1079" s="1">
        <v>3.6670635636271502E-5</v>
      </c>
      <c r="K1079">
        <v>4.5807507631092498E-4</v>
      </c>
      <c r="L1079" t="s">
        <v>26</v>
      </c>
      <c r="M1079" t="s">
        <v>27</v>
      </c>
      <c r="N1079">
        <v>2215.26924193796</v>
      </c>
      <c r="O1079">
        <v>2690.7931208723599</v>
      </c>
      <c r="P1079">
        <v>1858.6263327371601</v>
      </c>
      <c r="Q1079">
        <v>2499.4417390197</v>
      </c>
      <c r="R1079">
        <v>2938.4670902786302</v>
      </c>
      <c r="S1079">
        <v>2634.4705333187399</v>
      </c>
      <c r="T1079">
        <v>1549.0386938664701</v>
      </c>
      <c r="U1079">
        <v>1978.52123319823</v>
      </c>
      <c r="V1079">
        <v>1925.94118732891</v>
      </c>
      <c r="W1079">
        <v>1981.0042165550101</v>
      </c>
    </row>
    <row r="1080" spans="1:23" x14ac:dyDescent="0.2">
      <c r="A1080" t="s">
        <v>2169</v>
      </c>
      <c r="B1080" s="3" t="str">
        <f>HYPERLINK("http://www.ncbi.nlm.nih.gov/gene/67216","Mboat2")</f>
        <v>Mboat2</v>
      </c>
      <c r="C1080">
        <v>67216</v>
      </c>
      <c r="D1080" t="s">
        <v>2170</v>
      </c>
      <c r="E1080" s="3" t="str">
        <f>HYPERLINK("http://genome.ucsc.edu/cgi-bin/hgTracks?db=mm10&amp;lastVirtModeType=default&amp;lastVirtModeExtraState=&amp;virtModeType=default&amp;virtMode=0&amp;nonVirtPosition=&amp;position=chr12:24831598-24960299","chr12:24831598-24960299")</f>
        <v>chr12:24831598-24960299</v>
      </c>
      <c r="F1080" t="s">
        <v>30</v>
      </c>
      <c r="G1080">
        <v>-0.60975356766268796</v>
      </c>
      <c r="H1080">
        <v>0.14774593434241301</v>
      </c>
      <c r="I1080">
        <v>-4.1270412642931698</v>
      </c>
      <c r="J1080" s="1">
        <v>3.6746047678406799E-5</v>
      </c>
      <c r="K1080">
        <v>4.5858930518317297E-4</v>
      </c>
      <c r="L1080" t="s">
        <v>26</v>
      </c>
      <c r="M1080" t="s">
        <v>27</v>
      </c>
      <c r="N1080">
        <v>560.41577959835695</v>
      </c>
      <c r="O1080">
        <v>702.97130556537002</v>
      </c>
      <c r="P1080">
        <v>453.49913512309797</v>
      </c>
      <c r="Q1080">
        <v>858.01731339482205</v>
      </c>
      <c r="R1080">
        <v>658.38653442484599</v>
      </c>
      <c r="S1080">
        <v>592.51006887644098</v>
      </c>
      <c r="T1080">
        <v>472.04433570486998</v>
      </c>
      <c r="U1080">
        <v>417.54506544767901</v>
      </c>
      <c r="V1080">
        <v>475.96789465309701</v>
      </c>
      <c r="W1080">
        <v>448.43924468674601</v>
      </c>
    </row>
    <row r="1081" spans="1:23" x14ac:dyDescent="0.2">
      <c r="A1081" t="s">
        <v>2171</v>
      </c>
      <c r="B1081" s="3" t="str">
        <f>HYPERLINK("http://www.ncbi.nlm.nih.gov/gene/20646","Snrpn")</f>
        <v>Snrpn</v>
      </c>
      <c r="C1081">
        <v>20646</v>
      </c>
      <c r="D1081" t="s">
        <v>2172</v>
      </c>
      <c r="E1081" s="3" t="str">
        <f>HYPERLINK("http://genome.ucsc.edu/cgi-bin/hgTracks?db=mm10&amp;lastVirtModeType=default&amp;lastVirtModeExtraState=&amp;virtModeType=default&amp;virtMode=0&amp;nonVirtPosition=&amp;position=chr7:59982501-60097608","chr7:59982501-60097608")</f>
        <v>chr7:59982501-60097608</v>
      </c>
      <c r="F1081" t="s">
        <v>25</v>
      </c>
      <c r="G1081">
        <v>-0.79476491766874802</v>
      </c>
      <c r="H1081">
        <v>0.19264005305461299</v>
      </c>
      <c r="I1081">
        <v>-4.1256473151169297</v>
      </c>
      <c r="J1081" s="1">
        <v>3.6969344685800001E-5</v>
      </c>
      <c r="K1081">
        <v>4.6094645687853598E-4</v>
      </c>
      <c r="L1081" t="s">
        <v>26</v>
      </c>
      <c r="M1081" t="s">
        <v>27</v>
      </c>
      <c r="N1081">
        <v>334.85540168700197</v>
      </c>
      <c r="O1081">
        <v>451.809383696927</v>
      </c>
      <c r="P1081">
        <v>247.13991517955901</v>
      </c>
      <c r="Q1081">
        <v>437.6389411605</v>
      </c>
      <c r="R1081">
        <v>585.56959052532397</v>
      </c>
      <c r="S1081">
        <v>332.21961940495601</v>
      </c>
      <c r="T1081">
        <v>187.90114333883199</v>
      </c>
      <c r="U1081">
        <v>261.23332299803502</v>
      </c>
      <c r="V1081">
        <v>266.30661184609102</v>
      </c>
      <c r="W1081">
        <v>273.11858253527902</v>
      </c>
    </row>
    <row r="1082" spans="1:23" x14ac:dyDescent="0.2">
      <c r="A1082" t="s">
        <v>2173</v>
      </c>
      <c r="B1082" s="3" t="str">
        <f>HYPERLINK("http://www.ncbi.nlm.nih.gov/gene/80286","Tusc3")</f>
        <v>Tusc3</v>
      </c>
      <c r="C1082">
        <v>80286</v>
      </c>
      <c r="D1082" t="s">
        <v>2174</v>
      </c>
      <c r="E1082" s="3" t="str">
        <f>HYPERLINK("http://genome.ucsc.edu/cgi-bin/hgTracks?db=mm10&amp;lastVirtModeType=default&amp;lastVirtModeExtraState=&amp;virtModeType=default&amp;virtMode=0&amp;nonVirtPosition=&amp;position=chr8:39005866-39130817","chr8:39005866-39130817")</f>
        <v>chr8:39005866-39130817</v>
      </c>
      <c r="F1082" t="s">
        <v>30</v>
      </c>
      <c r="G1082">
        <v>-0.57958158120106096</v>
      </c>
      <c r="H1082">
        <v>0.14057759507926401</v>
      </c>
      <c r="I1082">
        <v>-4.12285884442871</v>
      </c>
      <c r="J1082" s="1">
        <v>3.7419902302649503E-5</v>
      </c>
      <c r="K1082">
        <v>4.65492301408637E-4</v>
      </c>
      <c r="L1082" t="s">
        <v>26</v>
      </c>
      <c r="M1082" t="s">
        <v>27</v>
      </c>
      <c r="N1082">
        <v>250.513630631339</v>
      </c>
      <c r="O1082">
        <v>311.97827464406299</v>
      </c>
      <c r="P1082">
        <v>204.415147621795</v>
      </c>
      <c r="Q1082">
        <v>282.85061337090798</v>
      </c>
      <c r="R1082">
        <v>353.465581845597</v>
      </c>
      <c r="S1082">
        <v>299.61862871568502</v>
      </c>
      <c r="T1082">
        <v>183.31818862325099</v>
      </c>
      <c r="U1082">
        <v>216.26693133443899</v>
      </c>
      <c r="V1082">
        <v>198.62647844874201</v>
      </c>
      <c r="W1082">
        <v>219.44899208074801</v>
      </c>
    </row>
    <row r="1083" spans="1:23" x14ac:dyDescent="0.2">
      <c r="A1083" t="s">
        <v>2175</v>
      </c>
      <c r="B1083" s="3" t="str">
        <f>HYPERLINK("http://www.ncbi.nlm.nih.gov/gene/54446","Nfat5")</f>
        <v>Nfat5</v>
      </c>
      <c r="C1083">
        <v>54446</v>
      </c>
      <c r="D1083" t="s">
        <v>2176</v>
      </c>
      <c r="E1083" s="3" t="str">
        <f>HYPERLINK("http://genome.ucsc.edu/cgi-bin/hgTracks?db=mm10&amp;lastVirtModeType=default&amp;lastVirtModeExtraState=&amp;virtModeType=default&amp;virtMode=0&amp;nonVirtPosition=&amp;position=chr8:107293469-107379517","chr8:107293469-107379517")</f>
        <v>chr8:107293469-107379517</v>
      </c>
      <c r="F1083" t="s">
        <v>30</v>
      </c>
      <c r="G1083">
        <v>0.60521890129368805</v>
      </c>
      <c r="H1083">
        <v>0.146799943327316</v>
      </c>
      <c r="I1083">
        <v>4.1227461508227501</v>
      </c>
      <c r="J1083" s="1">
        <v>3.7438220343297898E-5</v>
      </c>
      <c r="K1083">
        <v>4.65492301408637E-4</v>
      </c>
      <c r="L1083" t="s">
        <v>26</v>
      </c>
      <c r="M1083" t="s">
        <v>27</v>
      </c>
      <c r="N1083">
        <v>799.79676585020695</v>
      </c>
      <c r="O1083">
        <v>610.10313332077703</v>
      </c>
      <c r="P1083">
        <v>942.06699024727902</v>
      </c>
      <c r="Q1083">
        <v>714.36483652534503</v>
      </c>
      <c r="R1083">
        <v>476.34417467604101</v>
      </c>
      <c r="S1083">
        <v>639.60038876094404</v>
      </c>
      <c r="T1083">
        <v>985.33526384997197</v>
      </c>
      <c r="U1083">
        <v>884.33903605072601</v>
      </c>
      <c r="V1083">
        <v>975.47670527048899</v>
      </c>
      <c r="W1083">
        <v>923.11695581793003</v>
      </c>
    </row>
    <row r="1084" spans="1:23" x14ac:dyDescent="0.2">
      <c r="A1084" t="s">
        <v>2177</v>
      </c>
      <c r="B1084" s="3" t="str">
        <f>HYPERLINK("http://www.ncbi.nlm.nih.gov/gene/667118","Zbed6")</f>
        <v>Zbed6</v>
      </c>
      <c r="C1084">
        <v>667118</v>
      </c>
      <c r="D1084" t="s">
        <v>2178</v>
      </c>
      <c r="E1084" s="3" t="str">
        <f>HYPERLINK("http://genome.ucsc.edu/cgi-bin/hgTracks?db=mm10&amp;lastVirtModeType=default&amp;lastVirtModeExtraState=&amp;virtModeType=default&amp;virtMode=0&amp;nonVirtPosition=&amp;position=chr1:133655878-133660885","chr1:133655878-133660885")</f>
        <v>chr1:133655878-133660885</v>
      </c>
      <c r="F1084" t="s">
        <v>25</v>
      </c>
      <c r="G1084">
        <v>0.77883884730650099</v>
      </c>
      <c r="H1084">
        <v>0.189010484985453</v>
      </c>
      <c r="I1084">
        <v>4.1206118664075504</v>
      </c>
      <c r="J1084" s="1">
        <v>3.77867539774739E-5</v>
      </c>
      <c r="K1084">
        <v>4.6911650468693699E-4</v>
      </c>
      <c r="L1084" t="s">
        <v>26</v>
      </c>
      <c r="M1084" t="s">
        <v>27</v>
      </c>
      <c r="N1084">
        <v>597.42174653395898</v>
      </c>
      <c r="O1084">
        <v>413.90064697003203</v>
      </c>
      <c r="P1084">
        <v>735.06257120690395</v>
      </c>
      <c r="Q1084">
        <v>360.80156981171001</v>
      </c>
      <c r="R1084">
        <v>314.78158039897602</v>
      </c>
      <c r="S1084">
        <v>566.11879069941097</v>
      </c>
      <c r="T1084">
        <v>802.01707522672098</v>
      </c>
      <c r="U1084">
        <v>623.10571305269104</v>
      </c>
      <c r="V1084">
        <v>786.41372393224196</v>
      </c>
      <c r="W1084">
        <v>728.71377261596297</v>
      </c>
    </row>
    <row r="1085" spans="1:23" x14ac:dyDescent="0.2">
      <c r="A1085" t="s">
        <v>2179</v>
      </c>
      <c r="B1085" s="3" t="str">
        <f>HYPERLINK("http://www.ncbi.nlm.nih.gov/gene/74103","Nebl")</f>
        <v>Nebl</v>
      </c>
      <c r="C1085">
        <v>74103</v>
      </c>
      <c r="D1085" t="s">
        <v>2180</v>
      </c>
      <c r="E1085" s="3" t="str">
        <f>HYPERLINK("http://genome.ucsc.edu/cgi-bin/hgTracks?db=mm10&amp;lastVirtModeType=default&amp;lastVirtModeExtraState=&amp;virtModeType=default&amp;virtMode=0&amp;nonVirtPosition=&amp;position=chr2:17346733-17731068","chr2:17346733-17731068")</f>
        <v>chr2:17346733-17731068</v>
      </c>
      <c r="F1085" t="s">
        <v>25</v>
      </c>
      <c r="G1085">
        <v>-0.62152195689100798</v>
      </c>
      <c r="H1085">
        <v>0.15083534773836901</v>
      </c>
      <c r="I1085">
        <v>-4.1205325290797798</v>
      </c>
      <c r="J1085" s="1">
        <v>3.7799769140258802E-5</v>
      </c>
      <c r="K1085">
        <v>4.6911650468693699E-4</v>
      </c>
      <c r="L1085" t="s">
        <v>26</v>
      </c>
      <c r="M1085" t="s">
        <v>27</v>
      </c>
      <c r="N1085">
        <v>920.60431709829697</v>
      </c>
      <c r="O1085">
        <v>1163.5573887385699</v>
      </c>
      <c r="P1085">
        <v>738.38951336809396</v>
      </c>
      <c r="Q1085">
        <v>1086.3022572571699</v>
      </c>
      <c r="R1085">
        <v>1028.91858749689</v>
      </c>
      <c r="S1085">
        <v>1375.45132146164</v>
      </c>
      <c r="T1085">
        <v>678.277297906027</v>
      </c>
      <c r="U1085">
        <v>650.94205074920296</v>
      </c>
      <c r="V1085">
        <v>881.31304141330804</v>
      </c>
      <c r="W1085">
        <v>743.02566340383703</v>
      </c>
    </row>
    <row r="1086" spans="1:23" x14ac:dyDescent="0.2">
      <c r="A1086" t="s">
        <v>2181</v>
      </c>
      <c r="B1086" s="3" t="str">
        <f>HYPERLINK("http://www.ncbi.nlm.nih.gov/gene/20443","St3gal4")</f>
        <v>St3gal4</v>
      </c>
      <c r="C1086">
        <v>20443</v>
      </c>
      <c r="D1086" t="s">
        <v>2182</v>
      </c>
      <c r="E1086" s="3" t="str">
        <f>HYPERLINK("http://genome.ucsc.edu/cgi-bin/hgTracks?db=mm10&amp;lastVirtModeType=default&amp;lastVirtModeExtraState=&amp;virtModeType=default&amp;virtMode=0&amp;nonVirtPosition=&amp;position=chr9:35046578-35116810","chr9:35046578-35116810")</f>
        <v>chr9:35046578-35116810</v>
      </c>
      <c r="F1086" t="s">
        <v>25</v>
      </c>
      <c r="G1086">
        <v>0.62259788407657002</v>
      </c>
      <c r="H1086">
        <v>0.151125275359447</v>
      </c>
      <c r="I1086">
        <v>4.1197468960485901</v>
      </c>
      <c r="J1086" s="1">
        <v>3.79288809167533E-5</v>
      </c>
      <c r="K1086">
        <v>4.7028300403355799E-4</v>
      </c>
      <c r="L1086" t="s">
        <v>26</v>
      </c>
      <c r="M1086" t="s">
        <v>27</v>
      </c>
      <c r="N1086">
        <v>281.52518597372102</v>
      </c>
      <c r="O1086">
        <v>210.63902971483901</v>
      </c>
      <c r="P1086">
        <v>334.68980316788299</v>
      </c>
      <c r="Q1086">
        <v>172.60568926177501</v>
      </c>
      <c r="R1086">
        <v>230.58698901515399</v>
      </c>
      <c r="S1086">
        <v>228.72441086758701</v>
      </c>
      <c r="T1086">
        <v>362.05342253091999</v>
      </c>
      <c r="U1086">
        <v>368.29616029231198</v>
      </c>
      <c r="V1086">
        <v>303.08929304030301</v>
      </c>
      <c r="W1086">
        <v>305.32033680799702</v>
      </c>
    </row>
    <row r="1087" spans="1:23" x14ac:dyDescent="0.2">
      <c r="A1087" t="s">
        <v>2183</v>
      </c>
      <c r="B1087" s="3" t="str">
        <f>HYPERLINK("http://www.ncbi.nlm.nih.gov/gene/235344","Sik2")</f>
        <v>Sik2</v>
      </c>
      <c r="C1087">
        <v>235344</v>
      </c>
      <c r="D1087" t="s">
        <v>2184</v>
      </c>
      <c r="E1087" s="3" t="str">
        <f>HYPERLINK("http://genome.ucsc.edu/cgi-bin/hgTracks?db=mm10&amp;lastVirtModeType=default&amp;lastVirtModeExtraState=&amp;virtModeType=default&amp;virtMode=0&amp;nonVirtPosition=&amp;position=chr9:50892800-51009073","chr9:50892800-51009073")</f>
        <v>chr9:50892800-51009073</v>
      </c>
      <c r="F1087" t="s">
        <v>25</v>
      </c>
      <c r="G1087">
        <v>0.71775797204495295</v>
      </c>
      <c r="H1087">
        <v>0.174238865711244</v>
      </c>
      <c r="I1087">
        <v>4.1193907519717898</v>
      </c>
      <c r="J1087" s="1">
        <v>3.7987547819001297E-5</v>
      </c>
      <c r="K1087">
        <v>4.7057470198357698E-4</v>
      </c>
      <c r="L1087" t="s">
        <v>26</v>
      </c>
      <c r="M1087" t="s">
        <v>27</v>
      </c>
      <c r="N1087">
        <v>264.564851764016</v>
      </c>
      <c r="O1087">
        <v>192.84348087364901</v>
      </c>
      <c r="P1087">
        <v>318.35587993179098</v>
      </c>
      <c r="Q1087">
        <v>221.04664076427301</v>
      </c>
      <c r="R1087">
        <v>153.59824103805499</v>
      </c>
      <c r="S1087">
        <v>203.88556081861799</v>
      </c>
      <c r="T1087">
        <v>247.47955464138801</v>
      </c>
      <c r="U1087">
        <v>295.49343093220398</v>
      </c>
      <c r="V1087">
        <v>352.37808584054602</v>
      </c>
      <c r="W1087">
        <v>378.07244831302802</v>
      </c>
    </row>
    <row r="1088" spans="1:23" x14ac:dyDescent="0.2">
      <c r="A1088" t="s">
        <v>2185</v>
      </c>
      <c r="B1088" s="3" t="str">
        <f>HYPERLINK("http://www.ncbi.nlm.nih.gov/gene/52184","Odf2l")</f>
        <v>Odf2l</v>
      </c>
      <c r="C1088">
        <v>52184</v>
      </c>
      <c r="D1088" t="s">
        <v>2186</v>
      </c>
      <c r="E1088" s="3" t="str">
        <f>HYPERLINK("http://genome.ucsc.edu/cgi-bin/hgTracks?db=mm10&amp;lastVirtModeType=default&amp;lastVirtModeExtraState=&amp;virtModeType=default&amp;virtMode=0&amp;nonVirtPosition=&amp;position=chr3:145118599-145153915","chr3:145118599-145153915")</f>
        <v>chr3:145118599-145153915</v>
      </c>
      <c r="F1088" t="s">
        <v>30</v>
      </c>
      <c r="G1088">
        <v>0.73099975882142199</v>
      </c>
      <c r="H1088">
        <v>0.17748347704857001</v>
      </c>
      <c r="I1088">
        <v>4.1186918972822202</v>
      </c>
      <c r="J1088" s="1">
        <v>3.8102919205369802E-5</v>
      </c>
      <c r="K1088">
        <v>4.7156764425056001E-4</v>
      </c>
      <c r="L1088" t="s">
        <v>26</v>
      </c>
      <c r="M1088" t="s">
        <v>27</v>
      </c>
      <c r="N1088">
        <v>135.176469381733</v>
      </c>
      <c r="O1088">
        <v>97.042991145936398</v>
      </c>
      <c r="P1088">
        <v>163.77657805857999</v>
      </c>
      <c r="Q1088">
        <v>78.507748986807201</v>
      </c>
      <c r="R1088">
        <v>102.398827358703</v>
      </c>
      <c r="S1088">
        <v>110.222397092299</v>
      </c>
      <c r="T1088">
        <v>160.40341504534399</v>
      </c>
      <c r="U1088">
        <v>137.04043173667401</v>
      </c>
      <c r="V1088">
        <v>178.763830603868</v>
      </c>
      <c r="W1088">
        <v>178.89863484843599</v>
      </c>
    </row>
    <row r="1089" spans="1:23" x14ac:dyDescent="0.2">
      <c r="A1089" t="s">
        <v>2187</v>
      </c>
      <c r="B1089" s="3" t="str">
        <f>HYPERLINK("http://www.ncbi.nlm.nih.gov/gene/11601","Angpt2")</f>
        <v>Angpt2</v>
      </c>
      <c r="C1089">
        <v>11601</v>
      </c>
      <c r="D1089" t="s">
        <v>2188</v>
      </c>
      <c r="E1089" s="3" t="str">
        <f>HYPERLINK("http://genome.ucsc.edu/cgi-bin/hgTracks?db=mm10&amp;lastVirtModeType=default&amp;lastVirtModeExtraState=&amp;virtModeType=default&amp;virtMode=0&amp;nonVirtPosition=&amp;position=chr8:18690262-18741562","chr8:18690262-18741562")</f>
        <v>chr8:18690262-18741562</v>
      </c>
      <c r="F1089" t="s">
        <v>25</v>
      </c>
      <c r="G1089">
        <v>-0.66088503109438201</v>
      </c>
      <c r="H1089">
        <v>0.16053939988468699</v>
      </c>
      <c r="I1089">
        <v>-4.1166531802727802</v>
      </c>
      <c r="J1089" s="1">
        <v>3.8441387049696099E-5</v>
      </c>
      <c r="K1089">
        <v>4.75317279762216E-4</v>
      </c>
      <c r="L1089" t="s">
        <v>26</v>
      </c>
      <c r="M1089" t="s">
        <v>27</v>
      </c>
      <c r="N1089">
        <v>357.34837127081101</v>
      </c>
      <c r="O1089">
        <v>457.49603742887803</v>
      </c>
      <c r="P1089">
        <v>282.237621652261</v>
      </c>
      <c r="Q1089">
        <v>461.02422809273997</v>
      </c>
      <c r="R1089">
        <v>490.75586148948798</v>
      </c>
      <c r="S1089">
        <v>420.70802270440697</v>
      </c>
      <c r="T1089">
        <v>302.47501122836297</v>
      </c>
      <c r="U1089">
        <v>224.83195831798099</v>
      </c>
      <c r="V1089">
        <v>352.37808584054602</v>
      </c>
      <c r="W1089">
        <v>249.26543122215401</v>
      </c>
    </row>
    <row r="1090" spans="1:23" x14ac:dyDescent="0.2">
      <c r="A1090" t="s">
        <v>2189</v>
      </c>
      <c r="B1090" s="3" t="str">
        <f>HYPERLINK("http://www.ncbi.nlm.nih.gov/gene/105638","Dph3")</f>
        <v>Dph3</v>
      </c>
      <c r="C1090">
        <v>105638</v>
      </c>
      <c r="D1090" t="s">
        <v>2190</v>
      </c>
      <c r="E1090" s="3" t="str">
        <f>HYPERLINK("http://genome.ucsc.edu/cgi-bin/hgTracks?db=mm10&amp;lastVirtModeType=default&amp;lastVirtModeExtraState=&amp;virtModeType=default&amp;virtMode=0&amp;nonVirtPosition=&amp;position=chr14:32080516-32085692","chr14:32080516-32085692")</f>
        <v>chr14:32080516-32085692</v>
      </c>
      <c r="F1090" t="s">
        <v>25</v>
      </c>
      <c r="G1090">
        <v>-0.60262825697712497</v>
      </c>
      <c r="H1090">
        <v>0.146423838645764</v>
      </c>
      <c r="I1090">
        <v>-4.1156430711739098</v>
      </c>
      <c r="J1090" s="1">
        <v>3.8610140796090103E-5</v>
      </c>
      <c r="K1090">
        <v>4.7696291142359999E-4</v>
      </c>
      <c r="L1090" t="s">
        <v>26</v>
      </c>
      <c r="M1090" t="s">
        <v>27</v>
      </c>
      <c r="N1090">
        <v>165.92436383341601</v>
      </c>
      <c r="O1090">
        <v>205.54313289645299</v>
      </c>
      <c r="P1090">
        <v>136.21028703613899</v>
      </c>
      <c r="Q1090">
        <v>195.434183648009</v>
      </c>
      <c r="R1090">
        <v>223.00189069228699</v>
      </c>
      <c r="S1090">
        <v>198.193324349063</v>
      </c>
      <c r="T1090">
        <v>151.237505614182</v>
      </c>
      <c r="U1090">
        <v>132.75791824490301</v>
      </c>
      <c r="V1090">
        <v>127.268076931972</v>
      </c>
      <c r="W1090">
        <v>133.577647353499</v>
      </c>
    </row>
    <row r="1091" spans="1:23" x14ac:dyDescent="0.2">
      <c r="A1091" t="s">
        <v>2191</v>
      </c>
      <c r="B1091" s="3" t="str">
        <f>HYPERLINK("http://www.ncbi.nlm.nih.gov/gene/26450","Rbbp9")</f>
        <v>Rbbp9</v>
      </c>
      <c r="C1091">
        <v>26450</v>
      </c>
      <c r="D1091" t="s">
        <v>2192</v>
      </c>
      <c r="E1091" s="3" t="str">
        <f>HYPERLINK("http://genome.ucsc.edu/cgi-bin/hgTracks?db=mm10&amp;lastVirtModeType=default&amp;lastVirtModeExtraState=&amp;virtModeType=default&amp;virtMode=0&amp;nonVirtPosition=&amp;position=chr2:144542264-144550859","chr2:144542264-144550859")</f>
        <v>chr2:144542264-144550859</v>
      </c>
      <c r="F1091" t="s">
        <v>25</v>
      </c>
      <c r="G1091">
        <v>-0.84385559378668795</v>
      </c>
      <c r="H1091">
        <v>0.20504672792666701</v>
      </c>
      <c r="I1091">
        <v>-4.1154306743606499</v>
      </c>
      <c r="J1091" s="1">
        <v>3.8645714203166802E-5</v>
      </c>
      <c r="K1091">
        <v>4.7696291142359999E-4</v>
      </c>
      <c r="L1091" t="s">
        <v>26</v>
      </c>
      <c r="M1091" t="s">
        <v>27</v>
      </c>
      <c r="N1091">
        <v>145.81029645390399</v>
      </c>
      <c r="O1091">
        <v>197.865761141523</v>
      </c>
      <c r="P1091">
        <v>106.76869793819</v>
      </c>
      <c r="Q1091">
        <v>261.69249662269101</v>
      </c>
      <c r="R1091">
        <v>179.76683025194501</v>
      </c>
      <c r="S1091">
        <v>152.13795654993299</v>
      </c>
      <c r="T1091">
        <v>119.15682260511301</v>
      </c>
      <c r="U1091">
        <v>104.92158054839101</v>
      </c>
      <c r="V1091">
        <v>105.198468215445</v>
      </c>
      <c r="W1091">
        <v>97.7979203838117</v>
      </c>
    </row>
    <row r="1092" spans="1:23" x14ac:dyDescent="0.2">
      <c r="A1092" t="s">
        <v>2193</v>
      </c>
      <c r="B1092" s="3" t="str">
        <f>HYPERLINK("http://www.ncbi.nlm.nih.gov/gene/73739","Cby1")</f>
        <v>Cby1</v>
      </c>
      <c r="C1092">
        <v>73739</v>
      </c>
      <c r="D1092" t="s">
        <v>2194</v>
      </c>
      <c r="E1092" s="3" t="str">
        <f>HYPERLINK("http://genome.ucsc.edu/cgi-bin/hgTracks?db=mm10&amp;lastVirtModeType=default&amp;lastVirtModeExtraState=&amp;virtModeType=default&amp;virtMode=0&amp;nonVirtPosition=&amp;position=chr15:79659226-79667660","chr15:79659226-79667660")</f>
        <v>chr15:79659226-79667660</v>
      </c>
      <c r="F1092" t="s">
        <v>30</v>
      </c>
      <c r="G1092">
        <v>-0.79312358355170198</v>
      </c>
      <c r="H1092">
        <v>0.192804454580075</v>
      </c>
      <c r="I1092">
        <v>-4.1136164891994396</v>
      </c>
      <c r="J1092" s="1">
        <v>3.8950834360412403E-5</v>
      </c>
      <c r="K1092">
        <v>4.8028602478847402E-4</v>
      </c>
      <c r="L1092" t="s">
        <v>26</v>
      </c>
      <c r="M1092" t="s">
        <v>27</v>
      </c>
      <c r="N1092">
        <v>90.724016700221696</v>
      </c>
      <c r="O1092">
        <v>122.096569325083</v>
      </c>
      <c r="P1092">
        <v>67.1946022315759</v>
      </c>
      <c r="Q1092">
        <v>123.60794521327099</v>
      </c>
      <c r="R1092">
        <v>139.18655422460699</v>
      </c>
      <c r="S1092">
        <v>103.49520853737</v>
      </c>
      <c r="T1092">
        <v>59.578411302556397</v>
      </c>
      <c r="U1092">
        <v>72.802729360108202</v>
      </c>
      <c r="V1092">
        <v>68.415787021233399</v>
      </c>
      <c r="W1092">
        <v>67.981481242405707</v>
      </c>
    </row>
    <row r="1093" spans="1:23" x14ac:dyDescent="0.2">
      <c r="A1093" t="s">
        <v>2195</v>
      </c>
      <c r="B1093" s="3" t="str">
        <f>HYPERLINK("http://www.ncbi.nlm.nih.gov/gene/69320","1700007J10Rik")</f>
        <v>1700007J10Rik</v>
      </c>
      <c r="C1093">
        <v>69320</v>
      </c>
      <c r="D1093" t="s">
        <v>2196</v>
      </c>
      <c r="E1093" s="3" t="str">
        <f>HYPERLINK("http://genome.ucsc.edu/cgi-bin/hgTracks?db=mm10&amp;lastVirtModeType=default&amp;lastVirtModeExtraState=&amp;virtModeType=default&amp;virtMode=0&amp;nonVirtPosition=&amp;position=chr11:59725916-59740154","chr11:59725916-59740154")</f>
        <v>chr11:59725916-59740154</v>
      </c>
      <c r="F1093" t="s">
        <v>25</v>
      </c>
      <c r="G1093">
        <v>1.52087026234734</v>
      </c>
      <c r="H1093">
        <v>0.36980866654014999</v>
      </c>
      <c r="I1093">
        <v>4.1125868589729704</v>
      </c>
      <c r="J1093" s="1">
        <v>3.9125019186109199E-5</v>
      </c>
      <c r="K1093">
        <v>4.81990001767422E-4</v>
      </c>
      <c r="L1093" t="s">
        <v>26</v>
      </c>
      <c r="M1093" t="s">
        <v>27</v>
      </c>
      <c r="N1093">
        <v>16.6643328622681</v>
      </c>
      <c r="O1093">
        <v>5.1769568768046703</v>
      </c>
      <c r="P1093">
        <v>25.279864851365598</v>
      </c>
      <c r="Q1093">
        <v>5.0111329140515304</v>
      </c>
      <c r="R1093">
        <v>3.7925491614334499</v>
      </c>
      <c r="S1093">
        <v>6.72718855492902</v>
      </c>
      <c r="T1093">
        <v>22.914773577906299</v>
      </c>
      <c r="U1093">
        <v>44.966391663596198</v>
      </c>
      <c r="V1093">
        <v>11.7704579821477</v>
      </c>
      <c r="W1093">
        <v>21.467836181812299</v>
      </c>
    </row>
    <row r="1094" spans="1:23" x14ac:dyDescent="0.2">
      <c r="A1094" t="s">
        <v>2197</v>
      </c>
      <c r="B1094" s="3" t="str">
        <f>HYPERLINK("http://www.ncbi.nlm.nih.gov/gene/20815","Srpk1")</f>
        <v>Srpk1</v>
      </c>
      <c r="C1094">
        <v>20815</v>
      </c>
      <c r="D1094" t="s">
        <v>2198</v>
      </c>
      <c r="E1094" s="3" t="str">
        <f>HYPERLINK("http://genome.ucsc.edu/cgi-bin/hgTracks?db=mm10&amp;lastVirtModeType=default&amp;lastVirtModeExtraState=&amp;virtModeType=default&amp;virtMode=0&amp;nonVirtPosition=&amp;position=chr17:28589591-28622454","chr17:28589591-28622454")</f>
        <v>chr17:28589591-28622454</v>
      </c>
      <c r="F1094" t="s">
        <v>25</v>
      </c>
      <c r="G1094">
        <v>0.469418193853675</v>
      </c>
      <c r="H1094">
        <v>0.11422996863257801</v>
      </c>
      <c r="I1094">
        <v>4.1094136632704998</v>
      </c>
      <c r="J1094" s="1">
        <v>3.9666497756389203E-5</v>
      </c>
      <c r="K1094">
        <v>4.8821146273511802E-4</v>
      </c>
      <c r="L1094" t="s">
        <v>26</v>
      </c>
      <c r="M1094" t="s">
        <v>27</v>
      </c>
      <c r="N1094">
        <v>395.53596810768801</v>
      </c>
      <c r="O1094">
        <v>321.92222997300502</v>
      </c>
      <c r="P1094">
        <v>450.74627170870002</v>
      </c>
      <c r="Q1094">
        <v>300.11118229708597</v>
      </c>
      <c r="R1094">
        <v>330.33103196085301</v>
      </c>
      <c r="S1094">
        <v>335.32447566107697</v>
      </c>
      <c r="T1094">
        <v>476.627290420451</v>
      </c>
      <c r="U1094">
        <v>436.81637616064899</v>
      </c>
      <c r="V1094">
        <v>474.496587405328</v>
      </c>
      <c r="W1094">
        <v>415.04483284837102</v>
      </c>
    </row>
    <row r="1095" spans="1:23" x14ac:dyDescent="0.2">
      <c r="A1095" t="s">
        <v>2199</v>
      </c>
      <c r="B1095" s="3" t="str">
        <f>HYPERLINK("http://www.ncbi.nlm.nih.gov/gene/68691","Kansl1l")</f>
        <v>Kansl1l</v>
      </c>
      <c r="C1095">
        <v>68691</v>
      </c>
      <c r="D1095" t="s">
        <v>2200</v>
      </c>
      <c r="E1095" s="3" t="str">
        <f>HYPERLINK("http://genome.ucsc.edu/cgi-bin/hgTracks?db=mm10&amp;lastVirtModeType=default&amp;lastVirtModeExtraState=&amp;virtModeType=default&amp;virtMode=0&amp;nonVirtPosition=&amp;position=chr1:66719242-66817595","chr1:66719242-66817595")</f>
        <v>chr1:66719242-66817595</v>
      </c>
      <c r="F1095" t="s">
        <v>25</v>
      </c>
      <c r="G1095">
        <v>0.608872767714015</v>
      </c>
      <c r="H1095">
        <v>0.148230058208874</v>
      </c>
      <c r="I1095">
        <v>4.1076201080353201</v>
      </c>
      <c r="J1095" s="1">
        <v>3.9975690747573299E-5</v>
      </c>
      <c r="K1095">
        <v>4.9156517428903005E-4</v>
      </c>
      <c r="L1095" t="s">
        <v>26</v>
      </c>
      <c r="M1095" t="s">
        <v>27</v>
      </c>
      <c r="N1095">
        <v>146.889911327889</v>
      </c>
      <c r="O1095">
        <v>113.55336438349499</v>
      </c>
      <c r="P1095">
        <v>171.892321536184</v>
      </c>
      <c r="Q1095">
        <v>118.040019753214</v>
      </c>
      <c r="R1095">
        <v>111.880200262287</v>
      </c>
      <c r="S1095">
        <v>110.739873134985</v>
      </c>
      <c r="T1095">
        <v>142.07159618301901</v>
      </c>
      <c r="U1095">
        <v>179.86556665438499</v>
      </c>
      <c r="V1095">
        <v>173.61425523667799</v>
      </c>
      <c r="W1095">
        <v>192.017868070655</v>
      </c>
    </row>
    <row r="1096" spans="1:23" x14ac:dyDescent="0.2">
      <c r="A1096" t="s">
        <v>2201</v>
      </c>
      <c r="B1096" s="3" t="str">
        <f>HYPERLINK("http://www.ncbi.nlm.nih.gov/gene/18032","Nfix")</f>
        <v>Nfix</v>
      </c>
      <c r="C1096">
        <v>18032</v>
      </c>
      <c r="D1096" t="s">
        <v>2202</v>
      </c>
      <c r="E1096" s="3" t="str">
        <f>HYPERLINK("http://genome.ucsc.edu/cgi-bin/hgTracks?db=mm10&amp;lastVirtModeType=default&amp;lastVirtModeExtraState=&amp;virtModeType=default&amp;virtMode=0&amp;nonVirtPosition=&amp;position=chr8:84704711-84774369","chr8:84704711-84774369")</f>
        <v>chr8:84704711-84774369</v>
      </c>
      <c r="F1096" t="s">
        <v>25</v>
      </c>
      <c r="G1096">
        <v>0.67190228865562995</v>
      </c>
      <c r="H1096">
        <v>0.16360620363165901</v>
      </c>
      <c r="I1096">
        <v>4.1068264756533504</v>
      </c>
      <c r="J1096" s="1">
        <v>4.0113234644606202E-5</v>
      </c>
      <c r="K1096">
        <v>4.9252474568569401E-4</v>
      </c>
      <c r="L1096" t="s">
        <v>26</v>
      </c>
      <c r="M1096" t="s">
        <v>27</v>
      </c>
      <c r="N1096">
        <v>784.644840087631</v>
      </c>
      <c r="O1096">
        <v>576.24128590262399</v>
      </c>
      <c r="P1096">
        <v>940.94750572638497</v>
      </c>
      <c r="Q1096">
        <v>708.79691106528799</v>
      </c>
      <c r="R1096">
        <v>433.10911423570002</v>
      </c>
      <c r="S1096">
        <v>586.81783240688503</v>
      </c>
      <c r="T1096">
        <v>1063.24549401485</v>
      </c>
      <c r="U1096">
        <v>914.31663049312397</v>
      </c>
      <c r="V1096">
        <v>904.85395737760302</v>
      </c>
      <c r="W1096">
        <v>881.37394101996097</v>
      </c>
    </row>
    <row r="1097" spans="1:23" x14ac:dyDescent="0.2">
      <c r="A1097" t="s">
        <v>2203</v>
      </c>
      <c r="B1097" s="3" t="str">
        <f>HYPERLINK("http://www.ncbi.nlm.nih.gov/gene/73095","Slc25a42")</f>
        <v>Slc25a42</v>
      </c>
      <c r="C1097">
        <v>73095</v>
      </c>
      <c r="D1097" t="s">
        <v>2204</v>
      </c>
      <c r="E1097" s="3" t="str">
        <f>HYPERLINK("http://genome.ucsc.edu/cgi-bin/hgTracks?db=mm10&amp;lastVirtModeType=default&amp;lastVirtModeExtraState=&amp;virtModeType=default&amp;virtMode=0&amp;nonVirtPosition=&amp;position=chr8:70184339-70212281","chr8:70184339-70212281")</f>
        <v>chr8:70184339-70212281</v>
      </c>
      <c r="F1097" t="s">
        <v>25</v>
      </c>
      <c r="G1097">
        <v>0.98478250310502102</v>
      </c>
      <c r="H1097">
        <v>0.23979632864355499</v>
      </c>
      <c r="I1097">
        <v>4.1067455397486397</v>
      </c>
      <c r="J1097" s="1">
        <v>4.0127286800320503E-5</v>
      </c>
      <c r="K1097">
        <v>4.9252474568569401E-4</v>
      </c>
      <c r="L1097" t="s">
        <v>26</v>
      </c>
      <c r="M1097" t="s">
        <v>27</v>
      </c>
      <c r="N1097">
        <v>62.762910617989697</v>
      </c>
      <c r="O1097">
        <v>36.880637089995602</v>
      </c>
      <c r="P1097">
        <v>82.174615763985301</v>
      </c>
      <c r="Q1097">
        <v>42.873026042440799</v>
      </c>
      <c r="R1097">
        <v>34.132942452900998</v>
      </c>
      <c r="S1097">
        <v>33.635942774645102</v>
      </c>
      <c r="T1097">
        <v>96.242049027206505</v>
      </c>
      <c r="U1097">
        <v>102.780323802506</v>
      </c>
      <c r="V1097">
        <v>58.116636286854202</v>
      </c>
      <c r="W1097">
        <v>71.559453939374393</v>
      </c>
    </row>
    <row r="1098" spans="1:23" x14ac:dyDescent="0.2">
      <c r="A1098" t="s">
        <v>2205</v>
      </c>
      <c r="B1098" s="3" t="str">
        <f>HYPERLINK("http://www.ncbi.nlm.nih.gov/gene/16432","Itm2b")</f>
        <v>Itm2b</v>
      </c>
      <c r="C1098">
        <v>16432</v>
      </c>
      <c r="D1098" t="s">
        <v>2206</v>
      </c>
      <c r="E1098" s="3" t="str">
        <f>HYPERLINK("http://genome.ucsc.edu/cgi-bin/hgTracks?db=mm10&amp;lastVirtModeType=default&amp;lastVirtModeExtraState=&amp;virtModeType=default&amp;virtMode=0&amp;nonVirtPosition=&amp;position=chr14:73362231-73385271","chr14:73362231-73385271")</f>
        <v>chr14:73362231-73385271</v>
      </c>
      <c r="F1098" t="s">
        <v>25</v>
      </c>
      <c r="G1098">
        <v>-0.77590816758924097</v>
      </c>
      <c r="H1098">
        <v>0.18932696679073099</v>
      </c>
      <c r="I1098">
        <v>-4.0982443269525204</v>
      </c>
      <c r="J1098" s="1">
        <v>4.16295730162492E-5</v>
      </c>
      <c r="K1098">
        <v>5.1049598192362002E-4</v>
      </c>
      <c r="L1098" t="s">
        <v>26</v>
      </c>
      <c r="M1098" t="s">
        <v>27</v>
      </c>
      <c r="N1098">
        <v>1849.3948919675599</v>
      </c>
      <c r="O1098">
        <v>2462.1019965611099</v>
      </c>
      <c r="P1098">
        <v>1389.86456352239</v>
      </c>
      <c r="Q1098">
        <v>3304.0069679979702</v>
      </c>
      <c r="R1098">
        <v>2358.58632349546</v>
      </c>
      <c r="S1098">
        <v>1723.71269818989</v>
      </c>
      <c r="T1098">
        <v>1434.4648259769399</v>
      </c>
      <c r="U1098">
        <v>1254.7764530889201</v>
      </c>
      <c r="V1098">
        <v>1398.4775390039199</v>
      </c>
      <c r="W1098">
        <v>1471.7394360198</v>
      </c>
    </row>
    <row r="1099" spans="1:23" x14ac:dyDescent="0.2">
      <c r="A1099" t="s">
        <v>2207</v>
      </c>
      <c r="B1099" s="3" t="str">
        <f>HYPERLINK("http://www.ncbi.nlm.nih.gov/gene/78177","Ninl")</f>
        <v>Ninl</v>
      </c>
      <c r="C1099">
        <v>78177</v>
      </c>
      <c r="D1099" t="s">
        <v>2208</v>
      </c>
      <c r="E1099" s="3" t="str">
        <f>HYPERLINK("http://genome.ucsc.edu/cgi-bin/hgTracks?db=mm10&amp;lastVirtModeType=default&amp;lastVirtModeExtraState=&amp;virtModeType=default&amp;virtMode=0&amp;nonVirtPosition=&amp;position=chr2:150934518-151009398","chr2:150934518-151009398")</f>
        <v>chr2:150934518-151009398</v>
      </c>
      <c r="F1099" t="s">
        <v>25</v>
      </c>
      <c r="G1099">
        <v>0.93260006036904597</v>
      </c>
      <c r="H1099">
        <v>0.227625669114425</v>
      </c>
      <c r="I1099">
        <v>4.09707773291702</v>
      </c>
      <c r="J1099" s="1">
        <v>4.1839843677770797E-5</v>
      </c>
      <c r="K1099">
        <v>5.1260507473836097E-4</v>
      </c>
      <c r="L1099" t="s">
        <v>26</v>
      </c>
      <c r="M1099" t="s">
        <v>27</v>
      </c>
      <c r="N1099">
        <v>106.847255354708</v>
      </c>
      <c r="O1099">
        <v>66.729084019648397</v>
      </c>
      <c r="P1099">
        <v>136.93588385600199</v>
      </c>
      <c r="Q1099">
        <v>55.122462054566803</v>
      </c>
      <c r="R1099">
        <v>59.163766918361802</v>
      </c>
      <c r="S1099">
        <v>85.901023086016707</v>
      </c>
      <c r="T1099">
        <v>128.322732036275</v>
      </c>
      <c r="U1099">
        <v>177.72430990849901</v>
      </c>
      <c r="V1099">
        <v>98.577585600486799</v>
      </c>
      <c r="W1099">
        <v>143.11890787874901</v>
      </c>
    </row>
    <row r="1100" spans="1:23" x14ac:dyDescent="0.2">
      <c r="A1100" t="s">
        <v>2209</v>
      </c>
      <c r="B1100" s="3" t="str">
        <f>HYPERLINK("http://www.ncbi.nlm.nih.gov/gene/12343","Capza2")</f>
        <v>Capza2</v>
      </c>
      <c r="C1100">
        <v>12343</v>
      </c>
      <c r="D1100" t="s">
        <v>2210</v>
      </c>
      <c r="E1100" s="3" t="str">
        <f>HYPERLINK("http://genome.ucsc.edu/cgi-bin/hgTracks?db=mm10&amp;lastVirtModeType=default&amp;lastVirtModeExtraState=&amp;virtModeType=default&amp;virtMode=0&amp;nonVirtPosition=&amp;position=chr6:17637097-17666536","chr6:17637097-17666536")</f>
        <v>chr6:17637097-17666536</v>
      </c>
      <c r="F1100" t="s">
        <v>30</v>
      </c>
      <c r="G1100">
        <v>-0.44073700862347198</v>
      </c>
      <c r="H1100">
        <v>0.107616520687325</v>
      </c>
      <c r="I1100">
        <v>-4.0954400477600599</v>
      </c>
      <c r="J1100" s="1">
        <v>4.2136726129612098E-5</v>
      </c>
      <c r="K1100">
        <v>5.1577047495579098E-4</v>
      </c>
      <c r="L1100" t="s">
        <v>26</v>
      </c>
      <c r="M1100" t="s">
        <v>27</v>
      </c>
      <c r="N1100">
        <v>875.13151953377906</v>
      </c>
      <c r="O1100">
        <v>1032.0680518485101</v>
      </c>
      <c r="P1100">
        <v>757.42912029773004</v>
      </c>
      <c r="Q1100">
        <v>1032.29338029461</v>
      </c>
      <c r="R1100">
        <v>1077.0839618471</v>
      </c>
      <c r="S1100">
        <v>986.82681340381896</v>
      </c>
      <c r="T1100">
        <v>774.51934693323403</v>
      </c>
      <c r="U1100">
        <v>777.27619875644905</v>
      </c>
      <c r="V1100">
        <v>804.069410905464</v>
      </c>
      <c r="W1100">
        <v>673.851524595775</v>
      </c>
    </row>
    <row r="1101" spans="1:23" x14ac:dyDescent="0.2">
      <c r="A1101" t="s">
        <v>2211</v>
      </c>
      <c r="B1101" s="3" t="str">
        <f>HYPERLINK("http://www.ncbi.nlm.nih.gov/gene/114715","Spred1")</f>
        <v>Spred1</v>
      </c>
      <c r="C1101">
        <v>114715</v>
      </c>
      <c r="D1101" t="s">
        <v>2212</v>
      </c>
      <c r="E1101" s="3" t="str">
        <f>HYPERLINK("http://genome.ucsc.edu/cgi-bin/hgTracks?db=mm10&amp;lastVirtModeType=default&amp;lastVirtModeExtraState=&amp;virtModeType=default&amp;virtMode=0&amp;nonVirtPosition=&amp;position=chr2:117121070-117182277","chr2:117121070-117182277")</f>
        <v>chr2:117121070-117182277</v>
      </c>
      <c r="F1101" t="s">
        <v>30</v>
      </c>
      <c r="G1101">
        <v>-0.55949394787787099</v>
      </c>
      <c r="H1101">
        <v>0.13664962447211901</v>
      </c>
      <c r="I1101">
        <v>-4.0943687188253204</v>
      </c>
      <c r="J1101" s="1">
        <v>4.2332018716219899E-5</v>
      </c>
      <c r="K1101">
        <v>5.1768772842822005E-4</v>
      </c>
      <c r="L1101" t="s">
        <v>26</v>
      </c>
      <c r="M1101" t="s">
        <v>27</v>
      </c>
      <c r="N1101">
        <v>1870.6779346611299</v>
      </c>
      <c r="O1101">
        <v>2304.3373530142098</v>
      </c>
      <c r="P1101">
        <v>1545.43337089632</v>
      </c>
      <c r="Q1101">
        <v>2721.6019648759798</v>
      </c>
      <c r="R1101">
        <v>1968.3330147839599</v>
      </c>
      <c r="S1101">
        <v>2223.0770793827</v>
      </c>
      <c r="T1101">
        <v>1622.3659693157699</v>
      </c>
      <c r="U1101">
        <v>1445.3483034727401</v>
      </c>
      <c r="V1101">
        <v>1653.0136928678701</v>
      </c>
      <c r="W1101">
        <v>1461.00551792889</v>
      </c>
    </row>
    <row r="1102" spans="1:23" x14ac:dyDescent="0.2">
      <c r="A1102" t="s">
        <v>2213</v>
      </c>
      <c r="B1102" s="3" t="str">
        <f>HYPERLINK("http://www.ncbi.nlm.nih.gov/gene/104082","Wdr7")</f>
        <v>Wdr7</v>
      </c>
      <c r="C1102">
        <v>104082</v>
      </c>
      <c r="D1102" t="s">
        <v>2214</v>
      </c>
      <c r="E1102" s="3" t="str">
        <f>HYPERLINK("http://genome.ucsc.edu/cgi-bin/hgTracks?db=mm10&amp;lastVirtModeType=default&amp;lastVirtModeExtraState=&amp;virtModeType=default&amp;virtMode=0&amp;nonVirtPosition=&amp;position=chr18:63708694-63989759","chr18:63708694-63989759")</f>
        <v>chr18:63708694-63989759</v>
      </c>
      <c r="F1102" t="s">
        <v>30</v>
      </c>
      <c r="G1102">
        <v>-0.46703211238378201</v>
      </c>
      <c r="H1102">
        <v>0.11408343611637101</v>
      </c>
      <c r="I1102">
        <v>-4.0937766978493402</v>
      </c>
      <c r="J1102" s="1">
        <v>4.2440306305597599E-5</v>
      </c>
      <c r="K1102">
        <v>5.1853845049111102E-4</v>
      </c>
      <c r="L1102" t="s">
        <v>26</v>
      </c>
      <c r="M1102" t="s">
        <v>27</v>
      </c>
      <c r="N1102">
        <v>648.25258280265996</v>
      </c>
      <c r="O1102">
        <v>779.03360255308701</v>
      </c>
      <c r="P1102">
        <v>550.16681798984098</v>
      </c>
      <c r="Q1102">
        <v>795.65654824218097</v>
      </c>
      <c r="R1102">
        <v>769.88747977099001</v>
      </c>
      <c r="S1102">
        <v>771.55677964609004</v>
      </c>
      <c r="T1102">
        <v>444.54660741138298</v>
      </c>
      <c r="U1102">
        <v>590.98686186440796</v>
      </c>
      <c r="V1102">
        <v>591.46551360292096</v>
      </c>
      <c r="W1102">
        <v>573.66828908065099</v>
      </c>
    </row>
    <row r="1103" spans="1:23" x14ac:dyDescent="0.2">
      <c r="A1103" t="s">
        <v>2215</v>
      </c>
      <c r="B1103" s="3" t="str">
        <f>HYPERLINK("http://www.ncbi.nlm.nih.gov/gene/142980","Tlr3")</f>
        <v>Tlr3</v>
      </c>
      <c r="C1103">
        <v>142980</v>
      </c>
      <c r="D1103" t="s">
        <v>2216</v>
      </c>
      <c r="E1103" s="3" t="str">
        <f>HYPERLINK("http://genome.ucsc.edu/cgi-bin/hgTracks?db=mm10&amp;lastVirtModeType=default&amp;lastVirtModeExtraState=&amp;virtModeType=default&amp;virtMode=0&amp;nonVirtPosition=&amp;position=chr8:45395664-45410539","chr8:45395664-45410539")</f>
        <v>chr8:45395664-45410539</v>
      </c>
      <c r="F1103" t="s">
        <v>25</v>
      </c>
      <c r="G1103">
        <v>0.94141276682198705</v>
      </c>
      <c r="H1103">
        <v>0.230086706184506</v>
      </c>
      <c r="I1103">
        <v>4.0915565372432798</v>
      </c>
      <c r="J1103" s="1">
        <v>4.2848745052708799E-5</v>
      </c>
      <c r="K1103">
        <v>5.2233468259903801E-4</v>
      </c>
      <c r="L1103" t="s">
        <v>26</v>
      </c>
      <c r="M1103" t="s">
        <v>27</v>
      </c>
      <c r="N1103">
        <v>124.07100374039101</v>
      </c>
      <c r="O1103">
        <v>78.244100701853299</v>
      </c>
      <c r="P1103">
        <v>158.44118101929499</v>
      </c>
      <c r="Q1103">
        <v>100.222658281031</v>
      </c>
      <c r="R1103">
        <v>56.888237421501699</v>
      </c>
      <c r="S1103">
        <v>77.621406403027194</v>
      </c>
      <c r="T1103">
        <v>146.65455089860001</v>
      </c>
      <c r="U1103">
        <v>132.75791824490301</v>
      </c>
      <c r="V1103">
        <v>136.09592041858301</v>
      </c>
      <c r="W1103">
        <v>218.25633451509199</v>
      </c>
    </row>
    <row r="1104" spans="1:23" x14ac:dyDescent="0.2">
      <c r="A1104" t="s">
        <v>2217</v>
      </c>
      <c r="B1104" s="3" t="str">
        <f>HYPERLINK("http://www.ncbi.nlm.nih.gov/gene/226499","BC003331")</f>
        <v>BC003331</v>
      </c>
      <c r="C1104">
        <v>226499</v>
      </c>
      <c r="D1104" t="s">
        <v>2218</v>
      </c>
      <c r="E1104" s="3" t="str">
        <f>HYPERLINK("http://genome.ucsc.edu/cgi-bin/hgTracks?db=mm10&amp;lastVirtModeType=default&amp;lastVirtModeExtraState=&amp;virtModeType=default&amp;virtMode=0&amp;nonVirtPosition=&amp;position=chr1:150361310-150393055","chr1:150361310-150393055")</f>
        <v>chr1:150361310-150393055</v>
      </c>
      <c r="F1104" t="s">
        <v>25</v>
      </c>
      <c r="G1104">
        <v>-0.73260830860833903</v>
      </c>
      <c r="H1104">
        <v>0.179060919876356</v>
      </c>
      <c r="I1104">
        <v>-4.0913914053061804</v>
      </c>
      <c r="J1104" s="1">
        <v>4.2879272588481803E-5</v>
      </c>
      <c r="K1104">
        <v>5.2233468259903801E-4</v>
      </c>
      <c r="L1104" t="s">
        <v>26</v>
      </c>
      <c r="M1104" t="s">
        <v>27</v>
      </c>
      <c r="N1104">
        <v>207.66132258771199</v>
      </c>
      <c r="O1104">
        <v>273.64877939230303</v>
      </c>
      <c r="P1104">
        <v>158.17072998426801</v>
      </c>
      <c r="Q1104">
        <v>317.371751223263</v>
      </c>
      <c r="R1104">
        <v>285.19969693979499</v>
      </c>
      <c r="S1104">
        <v>218.37489001385001</v>
      </c>
      <c r="T1104">
        <v>160.40341504534399</v>
      </c>
      <c r="U1104">
        <v>122.051634515476</v>
      </c>
      <c r="V1104">
        <v>177.292523356099</v>
      </c>
      <c r="W1104">
        <v>172.93534702015501</v>
      </c>
    </row>
    <row r="1105" spans="1:23" x14ac:dyDescent="0.2">
      <c r="A1105" t="s">
        <v>2219</v>
      </c>
      <c r="B1105" s="3" t="str">
        <f>HYPERLINK("http://www.ncbi.nlm.nih.gov/gene/78733","Troap")</f>
        <v>Troap</v>
      </c>
      <c r="C1105">
        <v>78733</v>
      </c>
      <c r="D1105" t="s">
        <v>2220</v>
      </c>
      <c r="E1105" s="3" t="str">
        <f>HYPERLINK("http://genome.ucsc.edu/cgi-bin/hgTracks?db=mm10&amp;lastVirtModeType=default&amp;lastVirtModeExtraState=&amp;virtModeType=default&amp;virtMode=0&amp;nonVirtPosition=&amp;position=chr15:99074972-99083409","chr15:99074972-99083409")</f>
        <v>chr15:99074972-99083409</v>
      </c>
      <c r="F1105" t="s">
        <v>30</v>
      </c>
      <c r="G1105">
        <v>1.0538004336770599</v>
      </c>
      <c r="H1105">
        <v>0.257571458000114</v>
      </c>
      <c r="I1105">
        <v>4.0912935068938898</v>
      </c>
      <c r="J1105" s="1">
        <v>4.2897380568350297E-5</v>
      </c>
      <c r="K1105">
        <v>5.2233468259903801E-4</v>
      </c>
      <c r="L1105" t="s">
        <v>26</v>
      </c>
      <c r="M1105" t="s">
        <v>27</v>
      </c>
      <c r="N1105">
        <v>89.233692829380303</v>
      </c>
      <c r="O1105">
        <v>51.575117203685302</v>
      </c>
      <c r="P1105">
        <v>117.477624548652</v>
      </c>
      <c r="Q1105">
        <v>27.8396273002862</v>
      </c>
      <c r="R1105">
        <v>56.508982505358297</v>
      </c>
      <c r="S1105">
        <v>70.376741805411299</v>
      </c>
      <c r="T1105">
        <v>105.407958458369</v>
      </c>
      <c r="U1105">
        <v>115.627864277819</v>
      </c>
      <c r="V1105">
        <v>108.141082710982</v>
      </c>
      <c r="W1105">
        <v>140.73359274743601</v>
      </c>
    </row>
    <row r="1106" spans="1:23" x14ac:dyDescent="0.2">
      <c r="A1106" t="s">
        <v>2221</v>
      </c>
      <c r="B1106" s="3" t="str">
        <f>HYPERLINK("http://www.ncbi.nlm.nih.gov/gene/66259","Camk2n1")</f>
        <v>Camk2n1</v>
      </c>
      <c r="C1106">
        <v>66259</v>
      </c>
      <c r="D1106" t="s">
        <v>2222</v>
      </c>
      <c r="E1106" s="3" t="str">
        <f>HYPERLINK("http://genome.ucsc.edu/cgi-bin/hgTracks?db=mm10&amp;lastVirtModeType=default&amp;lastVirtModeExtraState=&amp;virtModeType=default&amp;virtMode=0&amp;nonVirtPosition=&amp;position=chr4:138455147-138460126","chr4:138455147-138460126")</f>
        <v>chr4:138455147-138460126</v>
      </c>
      <c r="F1106" t="s">
        <v>30</v>
      </c>
      <c r="G1106">
        <v>-0.64593317530716998</v>
      </c>
      <c r="H1106">
        <v>0.157883341345813</v>
      </c>
      <c r="I1106">
        <v>-4.0912053786116598</v>
      </c>
      <c r="J1106" s="1">
        <v>4.29136876005105E-5</v>
      </c>
      <c r="K1106">
        <v>5.2233468259903801E-4</v>
      </c>
      <c r="L1106" t="s">
        <v>26</v>
      </c>
      <c r="M1106" t="s">
        <v>27</v>
      </c>
      <c r="N1106">
        <v>312.22397854846798</v>
      </c>
      <c r="O1106">
        <v>400.02683550576</v>
      </c>
      <c r="P1106">
        <v>246.37183583049901</v>
      </c>
      <c r="Q1106">
        <v>473.27366410486599</v>
      </c>
      <c r="R1106">
        <v>354.22409167788402</v>
      </c>
      <c r="S1106">
        <v>372.58275073453001</v>
      </c>
      <c r="T1106">
        <v>210.81591691673799</v>
      </c>
      <c r="U1106">
        <v>231.255728555638</v>
      </c>
      <c r="V1106">
        <v>246.44396400121701</v>
      </c>
      <c r="W1106">
        <v>296.97173384840403</v>
      </c>
    </row>
    <row r="1107" spans="1:23" x14ac:dyDescent="0.2">
      <c r="A1107" t="s">
        <v>2223</v>
      </c>
      <c r="B1107" s="3" t="str">
        <f>HYPERLINK("http://www.ncbi.nlm.nih.gov/gene/13869","Erbb4")</f>
        <v>Erbb4</v>
      </c>
      <c r="C1107">
        <v>13869</v>
      </c>
      <c r="D1107" t="s">
        <v>2224</v>
      </c>
      <c r="E1107" s="3" t="str">
        <f>HYPERLINK("http://genome.ucsc.edu/cgi-bin/hgTracks?db=mm10&amp;lastVirtModeType=default&amp;lastVirtModeExtraState=&amp;virtModeType=default&amp;virtMode=0&amp;nonVirtPosition=&amp;position=chr1:68032186-69108059","chr1:68032186-69108059")</f>
        <v>chr1:68032186-69108059</v>
      </c>
      <c r="F1107" t="s">
        <v>25</v>
      </c>
      <c r="G1107">
        <v>-0.84870723213827104</v>
      </c>
      <c r="H1107">
        <v>0.20746377918789999</v>
      </c>
      <c r="I1107">
        <v>-4.0908694301263901</v>
      </c>
      <c r="J1107" s="1">
        <v>4.2975904602663997E-5</v>
      </c>
      <c r="K1107">
        <v>5.2233468259903801E-4</v>
      </c>
      <c r="L1107" t="s">
        <v>26</v>
      </c>
      <c r="M1107" t="s">
        <v>27</v>
      </c>
      <c r="N1107">
        <v>864.65362556252603</v>
      </c>
      <c r="O1107">
        <v>1180.6148965520899</v>
      </c>
      <c r="P1107">
        <v>627.68267232035601</v>
      </c>
      <c r="Q1107">
        <v>1703.22839823151</v>
      </c>
      <c r="R1107">
        <v>880.25066036870305</v>
      </c>
      <c r="S1107">
        <v>958.36563105604205</v>
      </c>
      <c r="T1107">
        <v>669.11138847486404</v>
      </c>
      <c r="U1107">
        <v>685.20215868337095</v>
      </c>
      <c r="V1107">
        <v>630.45515566878498</v>
      </c>
      <c r="W1107">
        <v>525.96198645440199</v>
      </c>
    </row>
    <row r="1108" spans="1:23" x14ac:dyDescent="0.2">
      <c r="A1108" t="s">
        <v>2225</v>
      </c>
      <c r="B1108" s="3" t="str">
        <f>HYPERLINK("http://www.ncbi.nlm.nih.gov/gene/57874","Hacd3")</f>
        <v>Hacd3</v>
      </c>
      <c r="C1108">
        <v>57874</v>
      </c>
      <c r="D1108" t="s">
        <v>2226</v>
      </c>
      <c r="E1108" s="3" t="str">
        <f>HYPERLINK("http://genome.ucsc.edu/cgi-bin/hgTracks?db=mm10&amp;lastVirtModeType=default&amp;lastVirtModeExtraState=&amp;virtModeType=default&amp;virtMode=0&amp;nonVirtPosition=&amp;position=chr9:64986982-65021717","chr9:64986982-65021717")</f>
        <v>chr9:64986982-65021717</v>
      </c>
      <c r="F1108" t="s">
        <v>25</v>
      </c>
      <c r="G1108">
        <v>-0.41395096592802799</v>
      </c>
      <c r="H1108">
        <v>0.101190215588132</v>
      </c>
      <c r="I1108">
        <v>-4.0908200809938604</v>
      </c>
      <c r="J1108" s="1">
        <v>4.2985051170498099E-5</v>
      </c>
      <c r="K1108">
        <v>5.2233468259903801E-4</v>
      </c>
      <c r="L1108" t="s">
        <v>26</v>
      </c>
      <c r="M1108" t="s">
        <v>27</v>
      </c>
      <c r="N1108">
        <v>738.131783272696</v>
      </c>
      <c r="O1108">
        <v>863.67945348372598</v>
      </c>
      <c r="P1108">
        <v>643.97103061442397</v>
      </c>
      <c r="Q1108">
        <v>869.70995686094204</v>
      </c>
      <c r="R1108">
        <v>811.60552054675702</v>
      </c>
      <c r="S1108">
        <v>909.72288304347796</v>
      </c>
      <c r="T1108">
        <v>637.03070546579602</v>
      </c>
      <c r="U1108">
        <v>653.08330749508798</v>
      </c>
      <c r="V1108">
        <v>667.97349048688102</v>
      </c>
      <c r="W1108">
        <v>617.79661900993199</v>
      </c>
    </row>
    <row r="1109" spans="1:23" x14ac:dyDescent="0.2">
      <c r="A1109" t="s">
        <v>2227</v>
      </c>
      <c r="B1109" s="3" t="str">
        <f>HYPERLINK("http://www.ncbi.nlm.nih.gov/gene/229700","Rbm15")</f>
        <v>Rbm15</v>
      </c>
      <c r="C1109">
        <v>229700</v>
      </c>
      <c r="D1109" t="s">
        <v>2228</v>
      </c>
      <c r="E1109" s="3" t="str">
        <f>HYPERLINK("http://genome.ucsc.edu/cgi-bin/hgTracks?db=mm10&amp;lastVirtModeType=default&amp;lastVirtModeExtraState=&amp;virtModeType=default&amp;virtMode=0&amp;nonVirtPosition=&amp;position=chr3:107326109-107333289","chr3:107326109-107333289")</f>
        <v>chr3:107326109-107333289</v>
      </c>
      <c r="F1109" t="s">
        <v>25</v>
      </c>
      <c r="G1109">
        <v>0.71551398663460697</v>
      </c>
      <c r="H1109">
        <v>0.17492306833489499</v>
      </c>
      <c r="I1109">
        <v>4.0904495527412896</v>
      </c>
      <c r="J1109" s="1">
        <v>4.3053785385548198E-5</v>
      </c>
      <c r="K1109">
        <v>5.2269559392373202E-4</v>
      </c>
      <c r="L1109" t="s">
        <v>26</v>
      </c>
      <c r="M1109" t="s">
        <v>27</v>
      </c>
      <c r="N1109">
        <v>437.06553593132401</v>
      </c>
      <c r="O1109">
        <v>313.62863272603801</v>
      </c>
      <c r="P1109">
        <v>529.64321333528801</v>
      </c>
      <c r="Q1109">
        <v>236.63683205243299</v>
      </c>
      <c r="R1109">
        <v>289.75075593351499</v>
      </c>
      <c r="S1109">
        <v>414.49831019216498</v>
      </c>
      <c r="T1109">
        <v>549.95456586975195</v>
      </c>
      <c r="U1109">
        <v>531.03167297961295</v>
      </c>
      <c r="V1109">
        <v>541.44106717879299</v>
      </c>
      <c r="W1109">
        <v>496.14554731299597</v>
      </c>
    </row>
    <row r="1110" spans="1:23" x14ac:dyDescent="0.2">
      <c r="A1110" t="s">
        <v>2229</v>
      </c>
      <c r="B1110" s="3" t="str">
        <f>HYPERLINK("http://www.ncbi.nlm.nih.gov/gene/108030","Lin7a")</f>
        <v>Lin7a</v>
      </c>
      <c r="C1110">
        <v>108030</v>
      </c>
      <c r="D1110" t="s">
        <v>2230</v>
      </c>
      <c r="E1110" s="3" t="str">
        <f>HYPERLINK("http://genome.ucsc.edu/cgi-bin/hgTracks?db=mm10&amp;lastVirtModeType=default&amp;lastVirtModeExtraState=&amp;virtModeType=default&amp;virtMode=0&amp;nonVirtPosition=&amp;position=chr10:107272393-107425143","chr10:107272393-107425143")</f>
        <v>chr10:107272393-107425143</v>
      </c>
      <c r="F1110" t="s">
        <v>30</v>
      </c>
      <c r="G1110">
        <v>-1.1105700775337399</v>
      </c>
      <c r="H1110">
        <v>0.27155947151362397</v>
      </c>
      <c r="I1110">
        <v>-4.0896017043472099</v>
      </c>
      <c r="J1110" s="1">
        <v>4.3211456516731803E-5</v>
      </c>
      <c r="K1110">
        <v>5.2413461432568396E-4</v>
      </c>
      <c r="L1110" t="s">
        <v>26</v>
      </c>
      <c r="M1110" t="s">
        <v>27</v>
      </c>
      <c r="N1110">
        <v>63.272074644164398</v>
      </c>
      <c r="O1110">
        <v>94.718281764757705</v>
      </c>
      <c r="P1110">
        <v>39.687419303719501</v>
      </c>
      <c r="Q1110">
        <v>110.244924109134</v>
      </c>
      <c r="R1110">
        <v>109.225415849283</v>
      </c>
      <c r="S1110">
        <v>64.684505335856002</v>
      </c>
      <c r="T1110">
        <v>41.246592440231403</v>
      </c>
      <c r="U1110">
        <v>38.5426214259396</v>
      </c>
      <c r="V1110">
        <v>26.483530459832298</v>
      </c>
      <c r="W1110">
        <v>52.4769328888746</v>
      </c>
    </row>
    <row r="1111" spans="1:23" x14ac:dyDescent="0.2">
      <c r="A1111" t="s">
        <v>2231</v>
      </c>
      <c r="B1111" s="3" t="str">
        <f>HYPERLINK("http://www.ncbi.nlm.nih.gov/gene/14590","Ggh")</f>
        <v>Ggh</v>
      </c>
      <c r="C1111">
        <v>14590</v>
      </c>
      <c r="D1111" t="s">
        <v>2232</v>
      </c>
      <c r="E1111" s="3" t="str">
        <f>HYPERLINK("http://genome.ucsc.edu/cgi-bin/hgTracks?db=mm10&amp;lastVirtModeType=default&amp;lastVirtModeExtraState=&amp;virtModeType=default&amp;virtMode=0&amp;nonVirtPosition=&amp;position=chr4:20042051-20066111","chr4:20042051-20066111")</f>
        <v>chr4:20042051-20066111</v>
      </c>
      <c r="F1111" t="s">
        <v>30</v>
      </c>
      <c r="G1111">
        <v>-0.70211417786792696</v>
      </c>
      <c r="H1111">
        <v>0.17178498557459301</v>
      </c>
      <c r="I1111">
        <v>-4.0871684770323196</v>
      </c>
      <c r="J1111" s="1">
        <v>4.3667001854799701E-5</v>
      </c>
      <c r="K1111">
        <v>5.2918083424219201E-4</v>
      </c>
      <c r="L1111" t="s">
        <v>26</v>
      </c>
      <c r="M1111" t="s">
        <v>27</v>
      </c>
      <c r="N1111">
        <v>140.69959571483199</v>
      </c>
      <c r="O1111">
        <v>179.544272933569</v>
      </c>
      <c r="P1111">
        <v>111.56608780078</v>
      </c>
      <c r="Q1111">
        <v>204.34286438410101</v>
      </c>
      <c r="R1111">
        <v>171.80247701293499</v>
      </c>
      <c r="S1111">
        <v>162.48747740367</v>
      </c>
      <c r="T1111">
        <v>142.07159618301901</v>
      </c>
      <c r="U1111">
        <v>100.63906705661999</v>
      </c>
      <c r="V1111">
        <v>108.141082710982</v>
      </c>
      <c r="W1111">
        <v>95.412605252499205</v>
      </c>
    </row>
    <row r="1112" spans="1:23" x14ac:dyDescent="0.2">
      <c r="A1112" t="s">
        <v>2233</v>
      </c>
      <c r="B1112" s="3" t="str">
        <f>HYPERLINK("http://www.ncbi.nlm.nih.gov/gene/14734","Gpc3")</f>
        <v>Gpc3</v>
      </c>
      <c r="C1112">
        <v>14734</v>
      </c>
      <c r="D1112" t="s">
        <v>2234</v>
      </c>
      <c r="E1112" s="3" t="str">
        <f>HYPERLINK("http://genome.ucsc.edu/cgi-bin/hgTracks?db=mm10&amp;lastVirtModeType=default&amp;lastVirtModeExtraState=&amp;virtModeType=default&amp;virtMode=0&amp;nonVirtPosition=&amp;position=chrX:52272426-52613974","chrX:52272426-52613974")</f>
        <v>chrX:52272426-52613974</v>
      </c>
      <c r="F1112" t="s">
        <v>25</v>
      </c>
      <c r="G1112">
        <v>1.47136389935256</v>
      </c>
      <c r="H1112">
        <v>0.36049626258151601</v>
      </c>
      <c r="I1112">
        <v>4.0814955717324599</v>
      </c>
      <c r="J1112" s="1">
        <v>4.4746830424133797E-5</v>
      </c>
      <c r="K1112">
        <v>5.4177649747701303E-4</v>
      </c>
      <c r="L1112" t="s">
        <v>26</v>
      </c>
      <c r="M1112" t="s">
        <v>27</v>
      </c>
      <c r="N1112">
        <v>20.252219509292299</v>
      </c>
      <c r="O1112">
        <v>6.5907549683700797</v>
      </c>
      <c r="P1112">
        <v>30.4983179149839</v>
      </c>
      <c r="Q1112">
        <v>8.9086807360916005</v>
      </c>
      <c r="R1112">
        <v>5.6888237421501699</v>
      </c>
      <c r="S1112">
        <v>5.1747604268684801</v>
      </c>
      <c r="T1112">
        <v>45.829547155812598</v>
      </c>
      <c r="U1112">
        <v>42.825134917710699</v>
      </c>
      <c r="V1112">
        <v>15.4487261015688</v>
      </c>
      <c r="W1112">
        <v>17.889863484843598</v>
      </c>
    </row>
    <row r="1113" spans="1:23" x14ac:dyDescent="0.2">
      <c r="A1113" t="s">
        <v>2235</v>
      </c>
      <c r="B1113" s="3" t="str">
        <f>HYPERLINK("http://www.ncbi.nlm.nih.gov/gene/380785","Begain")</f>
        <v>Begain</v>
      </c>
      <c r="C1113">
        <v>380785</v>
      </c>
      <c r="D1113" t="s">
        <v>2236</v>
      </c>
      <c r="E1113" s="3" t="str">
        <f>HYPERLINK("http://genome.ucsc.edu/cgi-bin/hgTracks?db=mm10&amp;lastVirtModeType=default&amp;lastVirtModeExtraState=&amp;virtModeType=default&amp;virtMode=0&amp;nonVirtPosition=&amp;position=chr12:109032181-109068217","chr12:109032181-109068217")</f>
        <v>chr12:109032181-109068217</v>
      </c>
      <c r="F1113" t="s">
        <v>25</v>
      </c>
      <c r="G1113">
        <v>1.1598950835959501</v>
      </c>
      <c r="H1113">
        <v>0.28431660428880201</v>
      </c>
      <c r="I1113">
        <v>4.07958967608434</v>
      </c>
      <c r="J1113" s="1">
        <v>4.5115263681666302E-5</v>
      </c>
      <c r="K1113">
        <v>5.4574389879059903E-4</v>
      </c>
      <c r="L1113" t="s">
        <v>26</v>
      </c>
      <c r="M1113" t="s">
        <v>27</v>
      </c>
      <c r="N1113">
        <v>50.8831112730401</v>
      </c>
      <c r="O1113">
        <v>26.550009222812601</v>
      </c>
      <c r="P1113">
        <v>69.132937810710601</v>
      </c>
      <c r="Q1113">
        <v>25.055664570257601</v>
      </c>
      <c r="R1113">
        <v>27.685608878464201</v>
      </c>
      <c r="S1113">
        <v>26.908754219716101</v>
      </c>
      <c r="T1113">
        <v>64.161366018137699</v>
      </c>
      <c r="U1113">
        <v>81.367756343650299</v>
      </c>
      <c r="V1113">
        <v>36.782681194211499</v>
      </c>
      <c r="W1113">
        <v>94.2199476868429</v>
      </c>
    </row>
    <row r="1114" spans="1:23" x14ac:dyDescent="0.2">
      <c r="A1114" t="s">
        <v>2237</v>
      </c>
      <c r="B1114" s="3" t="str">
        <f>HYPERLINK("http://www.ncbi.nlm.nih.gov/gene/66625","Pnisr")</f>
        <v>Pnisr</v>
      </c>
      <c r="C1114">
        <v>66625</v>
      </c>
      <c r="D1114" t="s">
        <v>2238</v>
      </c>
      <c r="E1114" s="3" t="str">
        <f>HYPERLINK("http://genome.ucsc.edu/cgi-bin/hgTracks?db=mm10&amp;lastVirtModeType=default&amp;lastVirtModeExtraState=&amp;virtModeType=default&amp;virtMode=0&amp;nonVirtPosition=&amp;position=chr4:21847582-21876475","chr4:21847582-21876475")</f>
        <v>chr4:21847582-21876475</v>
      </c>
      <c r="F1114" t="s">
        <v>30</v>
      </c>
      <c r="G1114">
        <v>0.67048304276196602</v>
      </c>
      <c r="H1114">
        <v>0.16438743299241501</v>
      </c>
      <c r="I1114">
        <v>4.0786757877830304</v>
      </c>
      <c r="J1114" s="1">
        <v>4.5292948430047199E-5</v>
      </c>
      <c r="K1114">
        <v>5.47398801829208E-4</v>
      </c>
      <c r="L1114" t="s">
        <v>26</v>
      </c>
      <c r="M1114" t="s">
        <v>27</v>
      </c>
      <c r="N1114">
        <v>726.44664398370298</v>
      </c>
      <c r="O1114">
        <v>534.71069561625995</v>
      </c>
      <c r="P1114">
        <v>870.24860525928398</v>
      </c>
      <c r="Q1114">
        <v>584.63217330601105</v>
      </c>
      <c r="R1114">
        <v>512.37339170965902</v>
      </c>
      <c r="S1114">
        <v>507.12652183311098</v>
      </c>
      <c r="T1114">
        <v>962.42049027206497</v>
      </c>
      <c r="U1114">
        <v>633.81199678211794</v>
      </c>
      <c r="V1114">
        <v>826.87467324587499</v>
      </c>
      <c r="W1114">
        <v>1057.8872607370799</v>
      </c>
    </row>
    <row r="1115" spans="1:23" x14ac:dyDescent="0.2">
      <c r="A1115" t="s">
        <v>2239</v>
      </c>
      <c r="B1115" s="3" t="str">
        <f>HYPERLINK("http://www.ncbi.nlm.nih.gov/gene/12450","Ccng1")</f>
        <v>Ccng1</v>
      </c>
      <c r="C1115">
        <v>12450</v>
      </c>
      <c r="D1115" t="s">
        <v>2240</v>
      </c>
      <c r="E1115" s="3" t="str">
        <f>HYPERLINK("http://genome.ucsc.edu/cgi-bin/hgTracks?db=mm10&amp;lastVirtModeType=default&amp;lastVirtModeExtraState=&amp;virtModeType=default&amp;virtMode=0&amp;nonVirtPosition=&amp;position=chr11:40748551-40755286","chr11:40748551-40755286")</f>
        <v>chr11:40748551-40755286</v>
      </c>
      <c r="F1115" t="s">
        <v>25</v>
      </c>
      <c r="G1115">
        <v>-0.66119775573843098</v>
      </c>
      <c r="H1115">
        <v>0.16216759531084901</v>
      </c>
      <c r="I1115">
        <v>-4.0772495545180902</v>
      </c>
      <c r="J1115" s="1">
        <v>4.5571573667768699E-5</v>
      </c>
      <c r="K1115">
        <v>5.5026956085220098E-4</v>
      </c>
      <c r="L1115" t="s">
        <v>26</v>
      </c>
      <c r="M1115" t="s">
        <v>27</v>
      </c>
      <c r="N1115">
        <v>315.994816754711</v>
      </c>
      <c r="O1115">
        <v>404.68572912181997</v>
      </c>
      <c r="P1115">
        <v>249.47663247937899</v>
      </c>
      <c r="Q1115">
        <v>505.567631773198</v>
      </c>
      <c r="R1115">
        <v>351.94856218102399</v>
      </c>
      <c r="S1115">
        <v>356.54099341123799</v>
      </c>
      <c r="T1115">
        <v>247.47955464138801</v>
      </c>
      <c r="U1115">
        <v>229.11447180975199</v>
      </c>
      <c r="V1115">
        <v>249.386578496754</v>
      </c>
      <c r="W1115">
        <v>271.925924969623</v>
      </c>
    </row>
    <row r="1116" spans="1:23" x14ac:dyDescent="0.2">
      <c r="A1116" t="s">
        <v>2241</v>
      </c>
      <c r="B1116" s="3" t="str">
        <f>HYPERLINK("http://www.ncbi.nlm.nih.gov/gene/69091","Vps26b")</f>
        <v>Vps26b</v>
      </c>
      <c r="C1116">
        <v>69091</v>
      </c>
      <c r="D1116" t="s">
        <v>2242</v>
      </c>
      <c r="E1116" s="3" t="str">
        <f>HYPERLINK("http://genome.ucsc.edu/cgi-bin/hgTracks?db=mm10&amp;lastVirtModeType=default&amp;lastVirtModeExtraState=&amp;virtModeType=default&amp;virtMode=0&amp;nonVirtPosition=&amp;position=chr9:27004501-27030094","chr9:27004501-27030094")</f>
        <v>chr9:27004501-27030094</v>
      </c>
      <c r="F1116" t="s">
        <v>25</v>
      </c>
      <c r="G1116">
        <v>-0.45154303144232899</v>
      </c>
      <c r="H1116">
        <v>0.110772495956006</v>
      </c>
      <c r="I1116">
        <v>-4.0763099860245102</v>
      </c>
      <c r="J1116" s="1">
        <v>4.5756012628707901E-5</v>
      </c>
      <c r="K1116">
        <v>5.5199888748741195E-4</v>
      </c>
      <c r="L1116" t="s">
        <v>26</v>
      </c>
      <c r="M1116" t="s">
        <v>27</v>
      </c>
      <c r="N1116">
        <v>481.22329578765698</v>
      </c>
      <c r="O1116">
        <v>570.950423990638</v>
      </c>
      <c r="P1116">
        <v>413.92794963542099</v>
      </c>
      <c r="Q1116">
        <v>551.22462054566802</v>
      </c>
      <c r="R1116">
        <v>581.01853153160403</v>
      </c>
      <c r="S1116">
        <v>580.60811989464298</v>
      </c>
      <c r="T1116">
        <v>380.385241393245</v>
      </c>
      <c r="U1116">
        <v>471.076484094818</v>
      </c>
      <c r="V1116">
        <v>408.28776125574802</v>
      </c>
      <c r="W1116">
        <v>395.96231179787202</v>
      </c>
    </row>
    <row r="1117" spans="1:23" x14ac:dyDescent="0.2">
      <c r="A1117" t="s">
        <v>2243</v>
      </c>
      <c r="B1117" s="3" t="str">
        <f>HYPERLINK("http://www.ncbi.nlm.nih.gov/gene/58251","BC100451")</f>
        <v>BC100451</v>
      </c>
      <c r="C1117">
        <v>58251</v>
      </c>
      <c r="D1117" t="s">
        <v>2244</v>
      </c>
      <c r="E1117" s="3" t="str">
        <f>HYPERLINK("http://genome.ucsc.edu/cgi-bin/hgTracks?db=mm10&amp;lastVirtModeType=default&amp;lastVirtModeExtraState=&amp;virtModeType=default&amp;virtMode=0&amp;nonVirtPosition=&amp;position=chr11:118332359-118342534","chr11:118332359-118342534")</f>
        <v>chr11:118332359-118342534</v>
      </c>
      <c r="F1117" t="s">
        <v>25</v>
      </c>
      <c r="G1117">
        <v>1.38104405393468</v>
      </c>
      <c r="H1117">
        <v>0.33893763393522902</v>
      </c>
      <c r="I1117">
        <v>4.0746258770384802</v>
      </c>
      <c r="J1117" s="1">
        <v>4.6088379120753403E-5</v>
      </c>
      <c r="K1117">
        <v>5.5550808713412199E-4</v>
      </c>
      <c r="L1117" t="s">
        <v>26</v>
      </c>
      <c r="M1117" t="s">
        <v>27</v>
      </c>
      <c r="N1117">
        <v>14.841419373959599</v>
      </c>
      <c r="O1117">
        <v>5.8352594059228204</v>
      </c>
      <c r="P1117">
        <v>21.596039349987201</v>
      </c>
      <c r="Q1117">
        <v>6.1247180060629702</v>
      </c>
      <c r="R1117">
        <v>5.6888237421501699</v>
      </c>
      <c r="S1117">
        <v>5.6922364695553203</v>
      </c>
      <c r="T1117">
        <v>27.497728293487601</v>
      </c>
      <c r="U1117">
        <v>21.412567458855399</v>
      </c>
      <c r="V1117">
        <v>18.391340597105799</v>
      </c>
      <c r="W1117">
        <v>19.0825210504998</v>
      </c>
    </row>
    <row r="1118" spans="1:23" x14ac:dyDescent="0.2">
      <c r="A1118" t="s">
        <v>2245</v>
      </c>
      <c r="B1118" s="3" t="str">
        <f>HYPERLINK("http://www.ncbi.nlm.nih.gov/gene/83924","Gpr137b")</f>
        <v>Gpr137b</v>
      </c>
      <c r="C1118">
        <v>83924</v>
      </c>
      <c r="D1118" t="s">
        <v>2246</v>
      </c>
      <c r="E1118" s="3" t="str">
        <f>HYPERLINK("http://genome.ucsc.edu/cgi-bin/hgTracks?db=mm10&amp;lastVirtModeType=default&amp;lastVirtModeExtraState=&amp;virtModeType=default&amp;virtMode=0&amp;nonVirtPosition=&amp;position=chr13:13357619-13393624","chr13:13357619-13393624")</f>
        <v>chr13:13357619-13393624</v>
      </c>
      <c r="F1118" t="s">
        <v>25</v>
      </c>
      <c r="G1118">
        <v>-1.32843216587917</v>
      </c>
      <c r="H1118">
        <v>0.32612579995262397</v>
      </c>
      <c r="I1118">
        <v>-4.07337342237917</v>
      </c>
      <c r="J1118" s="1">
        <v>4.6337039743276399E-5</v>
      </c>
      <c r="K1118">
        <v>5.5800296690846599E-4</v>
      </c>
      <c r="L1118" t="s">
        <v>26</v>
      </c>
      <c r="M1118" t="s">
        <v>27</v>
      </c>
      <c r="N1118">
        <v>42.505119106693797</v>
      </c>
      <c r="O1118">
        <v>67.666651559622494</v>
      </c>
      <c r="P1118">
        <v>23.633969766997101</v>
      </c>
      <c r="Q1118">
        <v>100.779450827036</v>
      </c>
      <c r="R1118">
        <v>54.612707924641597</v>
      </c>
      <c r="S1118">
        <v>47.607795927189997</v>
      </c>
      <c r="T1118">
        <v>45.829547155812598</v>
      </c>
      <c r="U1118">
        <v>14.9887972211987</v>
      </c>
      <c r="V1118">
        <v>20.5983014687584</v>
      </c>
      <c r="W1118">
        <v>13.1192332222186</v>
      </c>
    </row>
    <row r="1119" spans="1:23" x14ac:dyDescent="0.2">
      <c r="A1119" t="s">
        <v>2247</v>
      </c>
      <c r="B1119" s="3" t="str">
        <f>HYPERLINK("http://www.ncbi.nlm.nih.gov/gene/93842","Igsf9")</f>
        <v>Igsf9</v>
      </c>
      <c r="C1119">
        <v>93842</v>
      </c>
      <c r="D1119" t="s">
        <v>2248</v>
      </c>
      <c r="E1119" s="3" t="str">
        <f>HYPERLINK("http://genome.ucsc.edu/cgi-bin/hgTracks?db=mm10&amp;lastVirtModeType=default&amp;lastVirtModeExtraState=&amp;virtModeType=default&amp;virtMode=0&amp;nonVirtPosition=&amp;position=chr1:172482316-172498877","chr1:172482316-172498877")</f>
        <v>chr1:172482316-172498877</v>
      </c>
      <c r="F1119" t="s">
        <v>30</v>
      </c>
      <c r="G1119">
        <v>1.2083859471268901</v>
      </c>
      <c r="H1119">
        <v>0.29670805775415499</v>
      </c>
      <c r="I1119">
        <v>4.0726428404857504</v>
      </c>
      <c r="J1119" s="1">
        <v>4.6482675397628497E-5</v>
      </c>
      <c r="K1119">
        <v>5.5925382412366895E-4</v>
      </c>
      <c r="L1119" t="s">
        <v>26</v>
      </c>
      <c r="M1119" t="s">
        <v>27</v>
      </c>
      <c r="N1119">
        <v>37.797881837422601</v>
      </c>
      <c r="O1119">
        <v>19.0910853995174</v>
      </c>
      <c r="P1119">
        <v>51.827979165851502</v>
      </c>
      <c r="Q1119">
        <v>29.5100049383034</v>
      </c>
      <c r="R1119">
        <v>13.2739220650171</v>
      </c>
      <c r="S1119">
        <v>14.489329195231701</v>
      </c>
      <c r="T1119">
        <v>54.995456586975202</v>
      </c>
      <c r="U1119">
        <v>44.966391663596198</v>
      </c>
      <c r="V1119">
        <v>44.139217433053801</v>
      </c>
      <c r="W1119">
        <v>63.210850979780702</v>
      </c>
    </row>
    <row r="1120" spans="1:23" x14ac:dyDescent="0.2">
      <c r="A1120" t="s">
        <v>2249</v>
      </c>
      <c r="B1120" s="3" t="str">
        <f>HYPERLINK("http://www.ncbi.nlm.nih.gov/gene/20474","Six4")</f>
        <v>Six4</v>
      </c>
      <c r="C1120">
        <v>20474</v>
      </c>
      <c r="D1120" t="s">
        <v>2250</v>
      </c>
      <c r="E1120" s="3" t="str">
        <f>HYPERLINK("http://genome.ucsc.edu/cgi-bin/hgTracks?db=mm10&amp;lastVirtModeType=default&amp;lastVirtModeExtraState=&amp;virtModeType=default&amp;virtMode=0&amp;nonVirtPosition=&amp;position=chr12:73100258-73113245","chr12:73100258-73113245")</f>
        <v>chr12:73100258-73113245</v>
      </c>
      <c r="F1120" t="s">
        <v>25</v>
      </c>
      <c r="G1120">
        <v>0.82679311035476799</v>
      </c>
      <c r="H1120">
        <v>0.20306895818002399</v>
      </c>
      <c r="I1120">
        <v>4.0714893983047897</v>
      </c>
      <c r="J1120" s="1">
        <v>4.6713488776703903E-5</v>
      </c>
      <c r="K1120">
        <v>5.6152632693792E-4</v>
      </c>
      <c r="L1120" t="s">
        <v>26</v>
      </c>
      <c r="M1120" t="s">
        <v>27</v>
      </c>
      <c r="N1120">
        <v>85.832280954022494</v>
      </c>
      <c r="O1120">
        <v>57.8507529274465</v>
      </c>
      <c r="P1120">
        <v>106.818426973955</v>
      </c>
      <c r="Q1120">
        <v>50.668121686520998</v>
      </c>
      <c r="R1120">
        <v>56.129727589215001</v>
      </c>
      <c r="S1120">
        <v>66.754409506603395</v>
      </c>
      <c r="T1120">
        <v>109.99091317395001</v>
      </c>
      <c r="U1120">
        <v>87.791526581306996</v>
      </c>
      <c r="V1120">
        <v>97.106278352718405</v>
      </c>
      <c r="W1120">
        <v>132.38498978784301</v>
      </c>
    </row>
    <row r="1121" spans="1:23" x14ac:dyDescent="0.2">
      <c r="A1121" t="s">
        <v>2251</v>
      </c>
      <c r="B1121" s="3" t="str">
        <f>HYPERLINK("http://www.ncbi.nlm.nih.gov/gene/65106","Arl6ip5")</f>
        <v>Arl6ip5</v>
      </c>
      <c r="C1121">
        <v>65106</v>
      </c>
      <c r="D1121" t="s">
        <v>2252</v>
      </c>
      <c r="E1121" s="3" t="str">
        <f>HYPERLINK("http://genome.ucsc.edu/cgi-bin/hgTracks?db=mm10&amp;lastVirtModeType=default&amp;lastVirtModeExtraState=&amp;virtModeType=default&amp;virtMode=0&amp;nonVirtPosition=&amp;position=chr6:97210791-97233315","chr6:97210791-97233315")</f>
        <v>chr6:97210791-97233315</v>
      </c>
      <c r="F1121" t="s">
        <v>30</v>
      </c>
      <c r="G1121">
        <v>-0.53734511413338104</v>
      </c>
      <c r="H1121">
        <v>0.13202376202961899</v>
      </c>
      <c r="I1121">
        <v>-4.0700636451552601</v>
      </c>
      <c r="J1121" s="1">
        <v>4.7000295909684699E-5</v>
      </c>
      <c r="K1121">
        <v>5.6446723096554902E-4</v>
      </c>
      <c r="L1121" t="s">
        <v>26</v>
      </c>
      <c r="M1121" t="s">
        <v>27</v>
      </c>
      <c r="N1121">
        <v>235.619958467896</v>
      </c>
      <c r="O1121">
        <v>288.93805542298702</v>
      </c>
      <c r="P1121">
        <v>195.631385751577</v>
      </c>
      <c r="Q1121">
        <v>311.80382576320602</v>
      </c>
      <c r="R1121">
        <v>287.47522643665502</v>
      </c>
      <c r="S1121">
        <v>267.53511406910002</v>
      </c>
      <c r="T1121">
        <v>178.735233907669</v>
      </c>
      <c r="U1121">
        <v>216.26693133443899</v>
      </c>
      <c r="V1121">
        <v>197.89082482485799</v>
      </c>
      <c r="W1121">
        <v>189.63255293934199</v>
      </c>
    </row>
    <row r="1122" spans="1:23" x14ac:dyDescent="0.2">
      <c r="A1122" t="s">
        <v>2253</v>
      </c>
      <c r="B1122" s="3" t="str">
        <f>HYPERLINK("http://www.ncbi.nlm.nih.gov/gene/93880","Pcdhb9")</f>
        <v>Pcdhb9</v>
      </c>
      <c r="C1122">
        <v>93880</v>
      </c>
      <c r="D1122" t="s">
        <v>2254</v>
      </c>
      <c r="E1122" s="3" t="str">
        <f>HYPERLINK("http://genome.ucsc.edu/cgi-bin/hgTracks?db=mm10&amp;lastVirtModeType=default&amp;lastVirtModeExtraState=&amp;virtModeType=default&amp;virtMode=0&amp;nonVirtPosition=&amp;position=chr18:37400854-37403909","chr18:37400854-37403909")</f>
        <v>chr18:37400854-37403909</v>
      </c>
      <c r="F1122" t="s">
        <v>30</v>
      </c>
      <c r="G1122">
        <v>-0.98680984660215798</v>
      </c>
      <c r="H1122">
        <v>0.24257988774454001</v>
      </c>
      <c r="I1122">
        <v>-4.06797882453208</v>
      </c>
      <c r="J1122" s="1">
        <v>4.7422689660336802E-5</v>
      </c>
      <c r="K1122">
        <v>5.68844918248026E-4</v>
      </c>
      <c r="L1122" t="s">
        <v>26</v>
      </c>
      <c r="M1122" t="s">
        <v>27</v>
      </c>
      <c r="N1122">
        <v>58.209731246168502</v>
      </c>
      <c r="O1122">
        <v>85.192216533937398</v>
      </c>
      <c r="P1122">
        <v>37.972867280341902</v>
      </c>
      <c r="Q1122">
        <v>105.790583741088</v>
      </c>
      <c r="R1122">
        <v>67.507375073515306</v>
      </c>
      <c r="S1122">
        <v>82.278690787208802</v>
      </c>
      <c r="T1122">
        <v>27.497728293487601</v>
      </c>
      <c r="U1122">
        <v>42.825134917710699</v>
      </c>
      <c r="V1122">
        <v>43.403563809169597</v>
      </c>
      <c r="W1122">
        <v>38.165042100999699</v>
      </c>
    </row>
    <row r="1123" spans="1:23" x14ac:dyDescent="0.2">
      <c r="A1123" t="s">
        <v>2255</v>
      </c>
      <c r="B1123" s="3" t="str">
        <f>HYPERLINK("http://www.ncbi.nlm.nih.gov/gene/27377","Yme1l1")</f>
        <v>Yme1l1</v>
      </c>
      <c r="C1123">
        <v>27377</v>
      </c>
      <c r="D1123" t="s">
        <v>2256</v>
      </c>
      <c r="E1123" s="3" t="str">
        <f>HYPERLINK("http://genome.ucsc.edu/cgi-bin/hgTracks?db=mm10&amp;lastVirtModeType=default&amp;lastVirtModeExtraState=&amp;virtModeType=default&amp;virtMode=0&amp;nonVirtPosition=&amp;position=chr2:23156504-23199260","chr2:23156504-23199260")</f>
        <v>chr2:23156504-23199260</v>
      </c>
      <c r="F1123" t="s">
        <v>30</v>
      </c>
      <c r="G1123">
        <v>-0.462401991469858</v>
      </c>
      <c r="H1123">
        <v>0.11367244831873</v>
      </c>
      <c r="I1123">
        <v>-4.0678458000070004</v>
      </c>
      <c r="J1123" s="1">
        <v>4.7449762802109298E-5</v>
      </c>
      <c r="K1123">
        <v>5.68844918248026E-4</v>
      </c>
      <c r="L1123" t="s">
        <v>26</v>
      </c>
      <c r="M1123" t="s">
        <v>27</v>
      </c>
      <c r="N1123">
        <v>634.590486795679</v>
      </c>
      <c r="O1123">
        <v>758.180356414877</v>
      </c>
      <c r="P1123">
        <v>541.89808458128005</v>
      </c>
      <c r="Q1123">
        <v>724.94389489945399</v>
      </c>
      <c r="R1123">
        <v>808.57148121761099</v>
      </c>
      <c r="S1123">
        <v>741.025693127566</v>
      </c>
      <c r="T1123">
        <v>522.45683757626398</v>
      </c>
      <c r="U1123">
        <v>486.06528131601698</v>
      </c>
      <c r="V1123">
        <v>587.78724548349999</v>
      </c>
      <c r="W1123">
        <v>571.28297394933895</v>
      </c>
    </row>
    <row r="1124" spans="1:23" x14ac:dyDescent="0.2">
      <c r="A1124" t="s">
        <v>2257</v>
      </c>
      <c r="B1124" s="3" t="str">
        <f>HYPERLINK("http://www.ncbi.nlm.nih.gov/gene/11852","Rhob")</f>
        <v>Rhob</v>
      </c>
      <c r="C1124">
        <v>11852</v>
      </c>
      <c r="D1124" t="s">
        <v>2258</v>
      </c>
      <c r="E1124" s="3" t="str">
        <f>HYPERLINK("http://genome.ucsc.edu/cgi-bin/hgTracks?db=mm10&amp;lastVirtModeType=default&amp;lastVirtModeExtraState=&amp;virtModeType=default&amp;virtMode=0&amp;nonVirtPosition=&amp;position=chr12:8497758-8499985","chr12:8497758-8499985")</f>
        <v>chr12:8497758-8499985</v>
      </c>
      <c r="F1124" t="s">
        <v>25</v>
      </c>
      <c r="G1124">
        <v>-0.63232069803371205</v>
      </c>
      <c r="H1124">
        <v>0.15545481372046099</v>
      </c>
      <c r="I1124">
        <v>-4.0675530265067898</v>
      </c>
      <c r="J1124" s="1">
        <v>4.7509399671503299E-5</v>
      </c>
      <c r="K1124">
        <v>5.6905042128899803E-4</v>
      </c>
      <c r="L1124" t="s">
        <v>26</v>
      </c>
      <c r="M1124" t="s">
        <v>27</v>
      </c>
      <c r="N1124">
        <v>600.47646676623401</v>
      </c>
      <c r="O1124">
        <v>765.09147276840804</v>
      </c>
      <c r="P1124">
        <v>477.01521226460397</v>
      </c>
      <c r="Q1124">
        <v>854.67655811878797</v>
      </c>
      <c r="R1124">
        <v>667.48865241228702</v>
      </c>
      <c r="S1124">
        <v>773.10920777415004</v>
      </c>
      <c r="T1124">
        <v>339.13864895301401</v>
      </c>
      <c r="U1124">
        <v>556.72675393023906</v>
      </c>
      <c r="V1124">
        <v>511.27926859953999</v>
      </c>
      <c r="W1124">
        <v>500.91617757562102</v>
      </c>
    </row>
    <row r="1125" spans="1:23" x14ac:dyDescent="0.2">
      <c r="A1125" t="s">
        <v>2259</v>
      </c>
      <c r="B1125" s="3" t="str">
        <f>HYPERLINK("http://www.ncbi.nlm.nih.gov/gene/12484","Cd24a")</f>
        <v>Cd24a</v>
      </c>
      <c r="C1125">
        <v>12484</v>
      </c>
      <c r="D1125" t="s">
        <v>2260</v>
      </c>
      <c r="E1125" s="3" t="str">
        <f>HYPERLINK("http://genome.ucsc.edu/cgi-bin/hgTracks?db=mm10&amp;lastVirtModeType=default&amp;lastVirtModeExtraState=&amp;virtModeType=default&amp;virtMode=0&amp;nonVirtPosition=&amp;position=chr10:43579168-43584265","chr10:43579168-43584265")</f>
        <v>chr10:43579168-43584265</v>
      </c>
      <c r="F1125" t="s">
        <v>30</v>
      </c>
      <c r="G1125">
        <v>-0.993346967304504</v>
      </c>
      <c r="H1125">
        <v>0.24426186665972999</v>
      </c>
      <c r="I1125">
        <v>-4.0667296164091304</v>
      </c>
      <c r="J1125" s="1">
        <v>4.76775064684697E-5</v>
      </c>
      <c r="K1125">
        <v>5.70553609579337E-4</v>
      </c>
      <c r="L1125" t="s">
        <v>26</v>
      </c>
      <c r="M1125" t="s">
        <v>27</v>
      </c>
      <c r="N1125">
        <v>143.30159385564099</v>
      </c>
      <c r="O1125">
        <v>206.998902393386</v>
      </c>
      <c r="P1125">
        <v>95.528612452332297</v>
      </c>
      <c r="Q1125">
        <v>262.24928916869601</v>
      </c>
      <c r="R1125">
        <v>232.48326359587</v>
      </c>
      <c r="S1125">
        <v>126.26415441559099</v>
      </c>
      <c r="T1125">
        <v>87.076139596044001</v>
      </c>
      <c r="U1125">
        <v>94.215296818963594</v>
      </c>
      <c r="V1125">
        <v>77.979284131728406</v>
      </c>
      <c r="W1125">
        <v>122.843729262593</v>
      </c>
    </row>
    <row r="1126" spans="1:23" x14ac:dyDescent="0.2">
      <c r="A1126" t="s">
        <v>2261</v>
      </c>
      <c r="B1126" s="3" t="str">
        <f>HYPERLINK("http://www.ncbi.nlm.nih.gov/gene/114679","Selm")</f>
        <v>Selm</v>
      </c>
      <c r="C1126">
        <v>114679</v>
      </c>
      <c r="D1126" t="s">
        <v>2262</v>
      </c>
      <c r="E1126" s="3" t="str">
        <f>HYPERLINK("http://genome.ucsc.edu/cgi-bin/hgTracks?db=mm10&amp;lastVirtModeType=default&amp;lastVirtModeExtraState=&amp;virtModeType=default&amp;virtMode=0&amp;nonVirtPosition=&amp;position=chr11:3514701-3517351","chr11:3514701-3517351")</f>
        <v>chr11:3514701-3517351</v>
      </c>
      <c r="F1126" t="s">
        <v>30</v>
      </c>
      <c r="G1126">
        <v>-0.64468485044539403</v>
      </c>
      <c r="H1126">
        <v>0.15860213726997399</v>
      </c>
      <c r="I1126">
        <v>-4.0647929564026297</v>
      </c>
      <c r="J1126" s="1">
        <v>4.8075119423194901E-5</v>
      </c>
      <c r="K1126">
        <v>5.7419029487918805E-4</v>
      </c>
      <c r="L1126" t="s">
        <v>26</v>
      </c>
      <c r="M1126" t="s">
        <v>27</v>
      </c>
      <c r="N1126">
        <v>158.36167296948</v>
      </c>
      <c r="O1126">
        <v>204.495229961729</v>
      </c>
      <c r="P1126">
        <v>123.76150522529301</v>
      </c>
      <c r="Q1126">
        <v>202.115694200078</v>
      </c>
      <c r="R1126">
        <v>211.62424320798601</v>
      </c>
      <c r="S1126">
        <v>199.74575247712301</v>
      </c>
      <c r="T1126">
        <v>82.493184880462707</v>
      </c>
      <c r="U1126">
        <v>154.170485703759</v>
      </c>
      <c r="V1126">
        <v>133.15330592304599</v>
      </c>
      <c r="W1126">
        <v>125.229044393905</v>
      </c>
    </row>
    <row r="1127" spans="1:23" x14ac:dyDescent="0.2">
      <c r="A1127" t="s">
        <v>2263</v>
      </c>
      <c r="B1127" s="3" t="str">
        <f>HYPERLINK("http://www.ncbi.nlm.nih.gov/gene/225995","D030056L22Rik")</f>
        <v>D030056L22Rik</v>
      </c>
      <c r="C1127">
        <v>225995</v>
      </c>
      <c r="D1127" t="s">
        <v>2264</v>
      </c>
      <c r="E1127" s="3" t="str">
        <f>HYPERLINK("http://genome.ucsc.edu/cgi-bin/hgTracks?db=mm10&amp;lastVirtModeType=default&amp;lastVirtModeExtraState=&amp;virtModeType=default&amp;virtMode=0&amp;nonVirtPosition=&amp;position=chr19:18713235-18718428","chr19:18713235-18718428")</f>
        <v>chr19:18713235-18718428</v>
      </c>
      <c r="F1127" t="s">
        <v>30</v>
      </c>
      <c r="G1127">
        <v>-0.86664181967406995</v>
      </c>
      <c r="H1127">
        <v>0.213209066777274</v>
      </c>
      <c r="I1127">
        <v>-4.0647512452150796</v>
      </c>
      <c r="J1127" s="1">
        <v>4.8083717574287303E-5</v>
      </c>
      <c r="K1127">
        <v>5.7419029487918805E-4</v>
      </c>
      <c r="L1127" t="s">
        <v>26</v>
      </c>
      <c r="M1127" t="s">
        <v>27</v>
      </c>
      <c r="N1127">
        <v>68.767820110077295</v>
      </c>
      <c r="O1127">
        <v>93.832473061061506</v>
      </c>
      <c r="P1127">
        <v>49.969330396839098</v>
      </c>
      <c r="Q1127">
        <v>81.848504262841601</v>
      </c>
      <c r="R1127">
        <v>103.915847023276</v>
      </c>
      <c r="S1127">
        <v>95.733067897066803</v>
      </c>
      <c r="T1127">
        <v>54.995456586975202</v>
      </c>
      <c r="U1127">
        <v>44.966391663596198</v>
      </c>
      <c r="V1127">
        <v>42.6679101852854</v>
      </c>
      <c r="W1127">
        <v>57.247563151499499</v>
      </c>
    </row>
    <row r="1128" spans="1:23" x14ac:dyDescent="0.2">
      <c r="A1128" t="s">
        <v>2265</v>
      </c>
      <c r="B1128" s="3" t="str">
        <f>HYPERLINK("http://www.ncbi.nlm.nih.gov/gene/225887","Ndufs8")</f>
        <v>Ndufs8</v>
      </c>
      <c r="C1128">
        <v>225887</v>
      </c>
      <c r="D1128" t="s">
        <v>2266</v>
      </c>
      <c r="E1128" s="3" t="str">
        <f>HYPERLINK("http://genome.ucsc.edu/cgi-bin/hgTracks?db=mm10&amp;lastVirtModeType=default&amp;lastVirtModeExtraState=&amp;virtModeType=default&amp;virtMode=0&amp;nonVirtPosition=&amp;position=chr19:3908862-3912774","chr19:3908862-3912774")</f>
        <v>chr19:3908862-3912774</v>
      </c>
      <c r="F1128" t="s">
        <v>25</v>
      </c>
      <c r="G1128">
        <v>-0.57267352792894499</v>
      </c>
      <c r="H1128">
        <v>0.14089214237605299</v>
      </c>
      <c r="I1128">
        <v>-4.06462360690373</v>
      </c>
      <c r="J1128" s="1">
        <v>4.8110037402318701E-5</v>
      </c>
      <c r="K1128">
        <v>5.7419029487918805E-4</v>
      </c>
      <c r="L1128" t="s">
        <v>26</v>
      </c>
      <c r="M1128" t="s">
        <v>27</v>
      </c>
      <c r="N1128">
        <v>199.36429821349901</v>
      </c>
      <c r="O1128">
        <v>247.69614280898401</v>
      </c>
      <c r="P1128">
        <v>163.115414766886</v>
      </c>
      <c r="Q1128">
        <v>229.39852895435899</v>
      </c>
      <c r="R1128">
        <v>273.06353962320799</v>
      </c>
      <c r="S1128">
        <v>240.62635984938399</v>
      </c>
      <c r="T1128">
        <v>160.40341504534399</v>
      </c>
      <c r="U1128">
        <v>152.02922895787299</v>
      </c>
      <c r="V1128">
        <v>170.671640741141</v>
      </c>
      <c r="W1128">
        <v>169.35737432318601</v>
      </c>
    </row>
    <row r="1129" spans="1:23" x14ac:dyDescent="0.2">
      <c r="A1129" t="s">
        <v>2267</v>
      </c>
      <c r="B1129" s="3" t="str">
        <f>HYPERLINK("http://www.ncbi.nlm.nih.gov/gene/381157","Greb1l")</f>
        <v>Greb1l</v>
      </c>
      <c r="C1129">
        <v>381157</v>
      </c>
      <c r="D1129" t="s">
        <v>2268</v>
      </c>
      <c r="E1129" s="3" t="str">
        <f>HYPERLINK("http://genome.ucsc.edu/cgi-bin/hgTracks?db=mm10&amp;lastVirtModeType=default&amp;lastVirtModeExtraState=&amp;virtModeType=default&amp;virtMode=0&amp;nonVirtPosition=&amp;position=chr18:10325178-10562941","chr18:10325178-10562941")</f>
        <v>chr18:10325178-10562941</v>
      </c>
      <c r="F1129" t="s">
        <v>30</v>
      </c>
      <c r="G1129">
        <v>1.02085248390379</v>
      </c>
      <c r="H1129">
        <v>0.25117651669242402</v>
      </c>
      <c r="I1129">
        <v>4.0642831477508796</v>
      </c>
      <c r="J1129" s="1">
        <v>4.8180309058179801E-5</v>
      </c>
      <c r="K1129">
        <v>5.7451693552812595E-4</v>
      </c>
      <c r="L1129" t="s">
        <v>26</v>
      </c>
      <c r="M1129" t="s">
        <v>27</v>
      </c>
      <c r="N1129">
        <v>49.238804107367997</v>
      </c>
      <c r="O1129">
        <v>29.167917388242799</v>
      </c>
      <c r="P1129">
        <v>64.291969146711807</v>
      </c>
      <c r="Q1129">
        <v>23.9420794782462</v>
      </c>
      <c r="R1129">
        <v>31.4781580398976</v>
      </c>
      <c r="S1129">
        <v>32.083514646584597</v>
      </c>
      <c r="T1129">
        <v>45.829547155812598</v>
      </c>
      <c r="U1129">
        <v>89.932783327192496</v>
      </c>
      <c r="V1129">
        <v>52.231407295780301</v>
      </c>
      <c r="W1129">
        <v>69.174138808061898</v>
      </c>
    </row>
    <row r="1130" spans="1:23" x14ac:dyDescent="0.2">
      <c r="A1130" t="s">
        <v>2269</v>
      </c>
      <c r="B1130" s="3" t="str">
        <f>HYPERLINK("http://www.ncbi.nlm.nih.gov/gene/12972","Cryz")</f>
        <v>Cryz</v>
      </c>
      <c r="C1130">
        <v>12972</v>
      </c>
      <c r="D1130" t="s">
        <v>2270</v>
      </c>
      <c r="E1130" s="3" t="str">
        <f>HYPERLINK("http://genome.ucsc.edu/cgi-bin/hgTracks?db=mm10&amp;lastVirtModeType=default&amp;lastVirtModeExtraState=&amp;virtModeType=default&amp;virtMode=0&amp;nonVirtPosition=&amp;position=chr3:154596710-154623182","chr3:154596710-154623182")</f>
        <v>chr3:154596710-154623182</v>
      </c>
      <c r="F1130" t="s">
        <v>30</v>
      </c>
      <c r="G1130">
        <v>-0.726526233354155</v>
      </c>
      <c r="H1130">
        <v>0.17878837780714299</v>
      </c>
      <c r="I1130">
        <v>-4.0636099631590703</v>
      </c>
      <c r="J1130" s="1">
        <v>4.8319542643211198E-5</v>
      </c>
      <c r="K1130">
        <v>5.7566458677512603E-4</v>
      </c>
      <c r="L1130" t="s">
        <v>26</v>
      </c>
      <c r="M1130" t="s">
        <v>27</v>
      </c>
      <c r="N1130">
        <v>95.997168884881205</v>
      </c>
      <c r="O1130">
        <v>127.88412213393001</v>
      </c>
      <c r="P1130">
        <v>72.081953948095105</v>
      </c>
      <c r="Q1130">
        <v>128.06228558131701</v>
      </c>
      <c r="R1130">
        <v>129.32592640488099</v>
      </c>
      <c r="S1130">
        <v>126.26415441559099</v>
      </c>
      <c r="T1130">
        <v>59.578411302556397</v>
      </c>
      <c r="U1130">
        <v>70.661472614222703</v>
      </c>
      <c r="V1130">
        <v>85.335820370570701</v>
      </c>
      <c r="W1130">
        <v>72.752111505030598</v>
      </c>
    </row>
    <row r="1131" spans="1:23" x14ac:dyDescent="0.2">
      <c r="A1131" t="s">
        <v>2271</v>
      </c>
      <c r="B1131" s="3" t="str">
        <f>HYPERLINK("http://www.ncbi.nlm.nih.gov/gene/17968","Ncam2")</f>
        <v>Ncam2</v>
      </c>
      <c r="C1131">
        <v>17968</v>
      </c>
      <c r="D1131" t="s">
        <v>2272</v>
      </c>
      <c r="E1131" s="3" t="str">
        <f>HYPERLINK("http://genome.ucsc.edu/cgi-bin/hgTracks?db=mm10&amp;lastVirtModeType=default&amp;lastVirtModeExtraState=&amp;virtModeType=default&amp;virtMode=0&amp;nonVirtPosition=&amp;position=chr16:81200696-81597805","chr16:81200696-81597805")</f>
        <v>chr16:81200696-81597805</v>
      </c>
      <c r="F1131" t="s">
        <v>30</v>
      </c>
      <c r="G1131">
        <v>-0.72691072292058401</v>
      </c>
      <c r="H1131">
        <v>0.178938293490224</v>
      </c>
      <c r="I1131">
        <v>-4.0623541710500097</v>
      </c>
      <c r="J1131" s="1">
        <v>4.8580296040210201E-5</v>
      </c>
      <c r="K1131">
        <v>5.7825666157729303E-4</v>
      </c>
      <c r="L1131" t="s">
        <v>26</v>
      </c>
      <c r="M1131" t="s">
        <v>27</v>
      </c>
      <c r="N1131">
        <v>978.29621777747604</v>
      </c>
      <c r="O1131">
        <v>1278.8111354253699</v>
      </c>
      <c r="P1131">
        <v>752.91002954155601</v>
      </c>
      <c r="Q1131">
        <v>1670.3776380171801</v>
      </c>
      <c r="R1131">
        <v>1085.0483150861101</v>
      </c>
      <c r="S1131">
        <v>1081.0074531728201</v>
      </c>
      <c r="T1131">
        <v>847.84662238253395</v>
      </c>
      <c r="U1131">
        <v>668.07210471628696</v>
      </c>
      <c r="V1131">
        <v>844.530360219096</v>
      </c>
      <c r="W1131">
        <v>651.19103084830704</v>
      </c>
    </row>
    <row r="1132" spans="1:23" x14ac:dyDescent="0.2">
      <c r="A1132" t="s">
        <v>2273</v>
      </c>
      <c r="B1132" s="3" t="str">
        <f>HYPERLINK("http://www.ncbi.nlm.nih.gov/gene/76709","Arpc2")</f>
        <v>Arpc2</v>
      </c>
      <c r="C1132">
        <v>76709</v>
      </c>
      <c r="D1132" t="s">
        <v>2274</v>
      </c>
      <c r="E1132" s="3" t="str">
        <f>HYPERLINK("http://genome.ucsc.edu/cgi-bin/hgTracks?db=mm10&amp;lastVirtModeType=default&amp;lastVirtModeExtraState=&amp;virtModeType=default&amp;virtMode=0&amp;nonVirtPosition=&amp;position=chr1:74236549-74268213","chr1:74236549-74268213")</f>
        <v>chr1:74236549-74268213</v>
      </c>
      <c r="F1132" t="s">
        <v>30</v>
      </c>
      <c r="G1132">
        <v>-0.487305704936637</v>
      </c>
      <c r="H1132">
        <v>0.11997050739779699</v>
      </c>
      <c r="I1132">
        <v>-4.0618791693597904</v>
      </c>
      <c r="J1132" s="1">
        <v>4.8679272942556597E-5</v>
      </c>
      <c r="K1132">
        <v>5.78920198910991E-4</v>
      </c>
      <c r="L1132" t="s">
        <v>26</v>
      </c>
      <c r="M1132" t="s">
        <v>27</v>
      </c>
      <c r="N1132">
        <v>560.72562666666704</v>
      </c>
      <c r="O1132">
        <v>672.23515777274895</v>
      </c>
      <c r="P1132">
        <v>477.09347833710598</v>
      </c>
      <c r="Q1132">
        <v>646.43614591264702</v>
      </c>
      <c r="R1132">
        <v>759.64759703511902</v>
      </c>
      <c r="S1132">
        <v>610.62173037048001</v>
      </c>
      <c r="T1132">
        <v>476.627290420451</v>
      </c>
      <c r="U1132">
        <v>498.91282179132997</v>
      </c>
      <c r="V1132">
        <v>470.08266566202298</v>
      </c>
      <c r="W1132">
        <v>462.75113547462098</v>
      </c>
    </row>
    <row r="1133" spans="1:23" x14ac:dyDescent="0.2">
      <c r="A1133" t="s">
        <v>2275</v>
      </c>
      <c r="B1133" s="3" t="str">
        <f>HYPERLINK("http://www.ncbi.nlm.nih.gov/gene/52132","Ccdc97")</f>
        <v>Ccdc97</v>
      </c>
      <c r="C1133">
        <v>52132</v>
      </c>
      <c r="D1133" t="s">
        <v>2276</v>
      </c>
      <c r="E1133" s="3" t="str">
        <f>HYPERLINK("http://genome.ucsc.edu/cgi-bin/hgTracks?db=mm10&amp;lastVirtModeType=default&amp;lastVirtModeExtraState=&amp;virtModeType=default&amp;virtMode=0&amp;nonVirtPosition=&amp;position=chr7:25711116-25719053","chr7:25711116-25719053")</f>
        <v>chr7:25711116-25719053</v>
      </c>
      <c r="F1133" t="s">
        <v>25</v>
      </c>
      <c r="G1133">
        <v>0.64684193626398601</v>
      </c>
      <c r="H1133">
        <v>0.15944561884660799</v>
      </c>
      <c r="I1133">
        <v>4.0568184998941197</v>
      </c>
      <c r="J1133" s="1">
        <v>4.9745709470253798E-5</v>
      </c>
      <c r="K1133">
        <v>5.9107790196643098E-4</v>
      </c>
      <c r="L1133" t="s">
        <v>26</v>
      </c>
      <c r="M1133" t="s">
        <v>27</v>
      </c>
      <c r="N1133">
        <v>155.415389321866</v>
      </c>
      <c r="O1133">
        <v>116.042901599418</v>
      </c>
      <c r="P1133">
        <v>184.944755113703</v>
      </c>
      <c r="Q1133">
        <v>107.460961379105</v>
      </c>
      <c r="R1133">
        <v>103.536592107133</v>
      </c>
      <c r="S1133">
        <v>137.13115131201499</v>
      </c>
      <c r="T1133">
        <v>178.735233907669</v>
      </c>
      <c r="U1133">
        <v>194.854363875584</v>
      </c>
      <c r="V1133">
        <v>176.55686973221501</v>
      </c>
      <c r="W1133">
        <v>189.63255293934199</v>
      </c>
    </row>
    <row r="1134" spans="1:23" x14ac:dyDescent="0.2">
      <c r="A1134" t="s">
        <v>2277</v>
      </c>
      <c r="B1134" s="3" t="str">
        <f>HYPERLINK("http://www.ncbi.nlm.nih.gov/gene/20014","Rpn2")</f>
        <v>Rpn2</v>
      </c>
      <c r="C1134">
        <v>20014</v>
      </c>
      <c r="D1134" t="s">
        <v>2278</v>
      </c>
      <c r="E1134" s="3" t="str">
        <f>HYPERLINK("http://genome.ucsc.edu/cgi-bin/hgTracks?db=mm10&amp;lastVirtModeType=default&amp;lastVirtModeExtraState=&amp;virtModeType=default&amp;virtMode=0&amp;nonVirtPosition=&amp;position=chr2:157279097-157326318","chr2:157279097-157326318")</f>
        <v>chr2:157279097-157326318</v>
      </c>
      <c r="F1134" t="s">
        <v>30</v>
      </c>
      <c r="G1134">
        <v>-0.43421058707242799</v>
      </c>
      <c r="H1134">
        <v>0.10704592500424601</v>
      </c>
      <c r="I1134">
        <v>-4.0563018821613896</v>
      </c>
      <c r="J1134" s="1">
        <v>4.9855813650686401E-5</v>
      </c>
      <c r="K1134">
        <v>5.9137649710936096E-4</v>
      </c>
      <c r="L1134" t="s">
        <v>26</v>
      </c>
      <c r="M1134" t="s">
        <v>27</v>
      </c>
      <c r="N1134">
        <v>1180.6929844267099</v>
      </c>
      <c r="O1134">
        <v>1397.3703261288899</v>
      </c>
      <c r="P1134">
        <v>1018.18497815008</v>
      </c>
      <c r="Q1134">
        <v>1372.4936259041101</v>
      </c>
      <c r="R1134">
        <v>1390.3485225815</v>
      </c>
      <c r="S1134">
        <v>1429.2688299010699</v>
      </c>
      <c r="T1134">
        <v>884.51026010718397</v>
      </c>
      <c r="U1134">
        <v>997.82564358265904</v>
      </c>
      <c r="V1134">
        <v>1083.61778798147</v>
      </c>
      <c r="W1134">
        <v>1106.7862209289899</v>
      </c>
    </row>
    <row r="1135" spans="1:23" x14ac:dyDescent="0.2">
      <c r="A1135" t="s">
        <v>2279</v>
      </c>
      <c r="B1135" s="3" t="str">
        <f>HYPERLINK("http://www.ncbi.nlm.nih.gov/gene/60596","Gucy1a3")</f>
        <v>Gucy1a3</v>
      </c>
      <c r="C1135">
        <v>60596</v>
      </c>
      <c r="D1135" t="s">
        <v>2280</v>
      </c>
      <c r="E1135" s="3" t="str">
        <f>HYPERLINK("http://genome.ucsc.edu/cgi-bin/hgTracks?db=mm10&amp;lastVirtModeType=default&amp;lastVirtModeExtraState=&amp;virtModeType=default&amp;virtMode=0&amp;nonVirtPosition=&amp;position=chr3:82092426-82145877","chr3:82092426-82145877")</f>
        <v>chr3:82092426-82145877</v>
      </c>
      <c r="F1135" t="s">
        <v>25</v>
      </c>
      <c r="G1135">
        <v>-1.02491305288127</v>
      </c>
      <c r="H1135">
        <v>0.25267276707309699</v>
      </c>
      <c r="I1135">
        <v>-4.0562861789721998</v>
      </c>
      <c r="J1135" s="1">
        <v>4.9859164008398799E-5</v>
      </c>
      <c r="K1135">
        <v>5.9137649710936096E-4</v>
      </c>
      <c r="L1135" t="s">
        <v>26</v>
      </c>
      <c r="M1135" t="s">
        <v>27</v>
      </c>
      <c r="N1135">
        <v>324.14582319602101</v>
      </c>
      <c r="O1135">
        <v>473.07823108738302</v>
      </c>
      <c r="P1135">
        <v>212.446517277499</v>
      </c>
      <c r="Q1135">
        <v>760.02182529781498</v>
      </c>
      <c r="R1135">
        <v>373.566092401194</v>
      </c>
      <c r="S1135">
        <v>285.64677556314001</v>
      </c>
      <c r="T1135">
        <v>197.06705276999401</v>
      </c>
      <c r="U1135">
        <v>250.52703926860801</v>
      </c>
      <c r="V1135">
        <v>193.47690308155299</v>
      </c>
      <c r="W1135">
        <v>208.71507398984201</v>
      </c>
    </row>
    <row r="1136" spans="1:23" x14ac:dyDescent="0.2">
      <c r="A1136" t="s">
        <v>2281</v>
      </c>
      <c r="B1136" s="3" t="str">
        <f>HYPERLINK("http://www.ncbi.nlm.nih.gov/gene/50797","Copb2")</f>
        <v>Copb2</v>
      </c>
      <c r="C1136">
        <v>50797</v>
      </c>
      <c r="D1136" t="s">
        <v>2282</v>
      </c>
      <c r="E1136" s="3" t="str">
        <f>HYPERLINK("http://genome.ucsc.edu/cgi-bin/hgTracks?db=mm10&amp;lastVirtModeType=default&amp;lastVirtModeExtraState=&amp;virtModeType=default&amp;virtMode=0&amp;nonVirtPosition=&amp;position=chr9:98563730-98588375","chr9:98563730-98588375")</f>
        <v>chr9:98563730-98588375</v>
      </c>
      <c r="F1136" t="s">
        <v>30</v>
      </c>
      <c r="G1136">
        <v>-0.46221076696695501</v>
      </c>
      <c r="H1136">
        <v>0.11400118992753</v>
      </c>
      <c r="I1136">
        <v>-4.05443809192501</v>
      </c>
      <c r="J1136" s="1">
        <v>5.02549570506947E-5</v>
      </c>
      <c r="K1136">
        <v>5.9554347775739205E-4</v>
      </c>
      <c r="L1136" t="s">
        <v>26</v>
      </c>
      <c r="M1136" t="s">
        <v>27</v>
      </c>
      <c r="N1136">
        <v>808.95700848017896</v>
      </c>
      <c r="O1136">
        <v>967.19634526859602</v>
      </c>
      <c r="P1136">
        <v>690.27750588886602</v>
      </c>
      <c r="Q1136">
        <v>964.92148222792105</v>
      </c>
      <c r="R1136">
        <v>1041.4339997296199</v>
      </c>
      <c r="S1136">
        <v>895.23355384824595</v>
      </c>
      <c r="T1136">
        <v>618.69888660347101</v>
      </c>
      <c r="U1136">
        <v>680.91964519160001</v>
      </c>
      <c r="V1136">
        <v>761.40150072017798</v>
      </c>
      <c r="W1136">
        <v>700.08999104021302</v>
      </c>
    </row>
    <row r="1137" spans="1:23" x14ac:dyDescent="0.2">
      <c r="A1137" t="s">
        <v>2283</v>
      </c>
      <c r="B1137" s="3" t="str">
        <f>HYPERLINK("http://www.ncbi.nlm.nih.gov/gene/52679","E2f7")</f>
        <v>E2f7</v>
      </c>
      <c r="C1137">
        <v>52679</v>
      </c>
      <c r="D1137" t="s">
        <v>2284</v>
      </c>
      <c r="E1137" s="3" t="str">
        <f>HYPERLINK("http://genome.ucsc.edu/cgi-bin/hgTracks?db=mm10&amp;lastVirtModeType=default&amp;lastVirtModeExtraState=&amp;virtModeType=default&amp;virtMode=0&amp;nonVirtPosition=&amp;position=chr10:110745464-110787384","chr10:110745464-110787384")</f>
        <v>chr10:110745464-110787384</v>
      </c>
      <c r="F1137" t="s">
        <v>30</v>
      </c>
      <c r="G1137">
        <v>1.1695462681811</v>
      </c>
      <c r="H1137">
        <v>0.288566658248884</v>
      </c>
      <c r="I1137">
        <v>4.0529501061497903</v>
      </c>
      <c r="J1137" s="1">
        <v>5.0575791764880997E-5</v>
      </c>
      <c r="K1137">
        <v>5.9845570412184602E-4</v>
      </c>
      <c r="L1137" t="s">
        <v>26</v>
      </c>
      <c r="M1137" t="s">
        <v>27</v>
      </c>
      <c r="N1137">
        <v>138.592386222736</v>
      </c>
      <c r="O1137">
        <v>71.577200295290794</v>
      </c>
      <c r="P1137">
        <v>188.85377566832099</v>
      </c>
      <c r="Q1137">
        <v>27.282834754280501</v>
      </c>
      <c r="R1137">
        <v>83.436081551535807</v>
      </c>
      <c r="S1137">
        <v>104.012684580056</v>
      </c>
      <c r="T1137">
        <v>224.564781063482</v>
      </c>
      <c r="U1137">
        <v>177.72430990849901</v>
      </c>
      <c r="V1137">
        <v>161.108143630646</v>
      </c>
      <c r="W1137">
        <v>192.017868070655</v>
      </c>
    </row>
    <row r="1138" spans="1:23" x14ac:dyDescent="0.2">
      <c r="A1138" t="s">
        <v>2285</v>
      </c>
      <c r="B1138" s="3" t="str">
        <f>HYPERLINK("http://www.ncbi.nlm.nih.gov/gene/67834","Idh3a")</f>
        <v>Idh3a</v>
      </c>
      <c r="C1138">
        <v>67834</v>
      </c>
      <c r="D1138" t="s">
        <v>2286</v>
      </c>
      <c r="E1138" s="3" t="str">
        <f>HYPERLINK("http://genome.ucsc.edu/cgi-bin/hgTracks?db=mm10&amp;lastVirtModeType=default&amp;lastVirtModeExtraState=&amp;virtModeType=default&amp;virtMode=0&amp;nonVirtPosition=&amp;position=chr9:54586510-54604662","chr9:54586510-54604662")</f>
        <v>chr9:54586510-54604662</v>
      </c>
      <c r="F1138" t="s">
        <v>30</v>
      </c>
      <c r="G1138">
        <v>-0.78924802652803105</v>
      </c>
      <c r="H1138">
        <v>0.194737382982407</v>
      </c>
      <c r="I1138">
        <v>-4.0528840145671099</v>
      </c>
      <c r="J1138" s="1">
        <v>5.0590087153007997E-5</v>
      </c>
      <c r="K1138">
        <v>5.9845570412184602E-4</v>
      </c>
      <c r="L1138" t="s">
        <v>26</v>
      </c>
      <c r="M1138" t="s">
        <v>27</v>
      </c>
      <c r="N1138">
        <v>498.06143584830897</v>
      </c>
      <c r="O1138">
        <v>665.23231391778597</v>
      </c>
      <c r="P1138">
        <v>372.68327729620103</v>
      </c>
      <c r="Q1138">
        <v>443.763659166563</v>
      </c>
      <c r="R1138">
        <v>824.87944261177404</v>
      </c>
      <c r="S1138">
        <v>727.05383997502099</v>
      </c>
      <c r="T1138">
        <v>380.385241393245</v>
      </c>
      <c r="U1138">
        <v>426.11009243122197</v>
      </c>
      <c r="V1138">
        <v>363.41289019880998</v>
      </c>
      <c r="W1138">
        <v>320.82488516152898</v>
      </c>
    </row>
    <row r="1139" spans="1:23" x14ac:dyDescent="0.2">
      <c r="A1139" t="s">
        <v>2287</v>
      </c>
      <c r="B1139" s="3" t="str">
        <f>HYPERLINK("http://www.ncbi.nlm.nih.gov/gene/56350","Arl3")</f>
        <v>Arl3</v>
      </c>
      <c r="C1139">
        <v>56350</v>
      </c>
      <c r="D1139" t="s">
        <v>2288</v>
      </c>
      <c r="E1139" s="3" t="str">
        <f>HYPERLINK("http://genome.ucsc.edu/cgi-bin/hgTracks?db=mm10&amp;lastVirtModeType=default&amp;lastVirtModeExtraState=&amp;virtModeType=default&amp;virtMode=0&amp;nonVirtPosition=&amp;position=chr19:46531108-46573085","chr19:46531108-46573085")</f>
        <v>chr19:46531108-46573085</v>
      </c>
      <c r="F1139" t="s">
        <v>25</v>
      </c>
      <c r="G1139">
        <v>-0.69955151588184195</v>
      </c>
      <c r="H1139">
        <v>0.17266951689506899</v>
      </c>
      <c r="I1139">
        <v>-4.0513897789321804</v>
      </c>
      <c r="J1139" s="1">
        <v>5.0914309235230102E-5</v>
      </c>
      <c r="K1139">
        <v>6.0175950129652805E-4</v>
      </c>
      <c r="L1139" t="s">
        <v>26</v>
      </c>
      <c r="M1139" t="s">
        <v>27</v>
      </c>
      <c r="N1139">
        <v>118.40326737589299</v>
      </c>
      <c r="O1139">
        <v>152.55056381956601</v>
      </c>
      <c r="P1139">
        <v>92.792795043138696</v>
      </c>
      <c r="Q1139">
        <v>150.890779967551</v>
      </c>
      <c r="R1139">
        <v>170.664712264505</v>
      </c>
      <c r="S1139">
        <v>136.096199226641</v>
      </c>
      <c r="T1139">
        <v>96.242049027206505</v>
      </c>
      <c r="U1139">
        <v>92.074040073077995</v>
      </c>
      <c r="V1139">
        <v>83.864513122802194</v>
      </c>
      <c r="W1139">
        <v>98.990577949467905</v>
      </c>
    </row>
    <row r="1140" spans="1:23" x14ac:dyDescent="0.2">
      <c r="A1140" t="s">
        <v>2289</v>
      </c>
      <c r="B1140" s="3" t="str">
        <f>HYPERLINK("http://www.ncbi.nlm.nih.gov/gene/67299","Dock7")</f>
        <v>Dock7</v>
      </c>
      <c r="C1140">
        <v>67299</v>
      </c>
      <c r="D1140" t="s">
        <v>2290</v>
      </c>
      <c r="E1140" s="3" t="str">
        <f>HYPERLINK("http://genome.ucsc.edu/cgi-bin/hgTracks?db=mm10&amp;lastVirtModeType=default&amp;lastVirtModeExtraState=&amp;virtModeType=default&amp;virtMode=0&amp;nonVirtPosition=&amp;position=chr4:98936658-99120915","chr4:98936658-99120915")</f>
        <v>chr4:98936658-99120915</v>
      </c>
      <c r="F1140" t="s">
        <v>25</v>
      </c>
      <c r="G1140">
        <v>1.03293242454114</v>
      </c>
      <c r="H1140">
        <v>0.25519170958153298</v>
      </c>
      <c r="I1140">
        <v>4.0476723410605802</v>
      </c>
      <c r="J1140" s="1">
        <v>5.1729491605836699E-5</v>
      </c>
      <c r="K1140">
        <v>6.1085504593805999E-4</v>
      </c>
      <c r="L1140" t="s">
        <v>26</v>
      </c>
      <c r="M1140" t="s">
        <v>27</v>
      </c>
      <c r="N1140">
        <v>667.70048622999605</v>
      </c>
      <c r="O1140">
        <v>391.50691199167801</v>
      </c>
      <c r="P1140">
        <v>874.84566690873601</v>
      </c>
      <c r="Q1140">
        <v>217.14909294223301</v>
      </c>
      <c r="R1140">
        <v>391.77032837607499</v>
      </c>
      <c r="S1140">
        <v>565.60131465672498</v>
      </c>
      <c r="T1140">
        <v>563.70343001649496</v>
      </c>
      <c r="U1140">
        <v>839.37264438712998</v>
      </c>
      <c r="V1140">
        <v>1096.85955321139</v>
      </c>
      <c r="W1140">
        <v>999.44704001992898</v>
      </c>
    </row>
    <row r="1141" spans="1:23" x14ac:dyDescent="0.2">
      <c r="A1141" t="s">
        <v>2291</v>
      </c>
      <c r="B1141" s="3" t="str">
        <f>HYPERLINK("http://www.ncbi.nlm.nih.gov/gene/242481","Palm2")</f>
        <v>Palm2</v>
      </c>
      <c r="C1141">
        <v>242481</v>
      </c>
      <c r="D1141" t="s">
        <v>2292</v>
      </c>
      <c r="E1141" s="3" t="str">
        <f>HYPERLINK("http://genome.ucsc.edu/cgi-bin/hgTracks?db=mm10&amp;lastVirtModeType=default&amp;lastVirtModeExtraState=&amp;virtModeType=default&amp;virtMode=0&amp;nonVirtPosition=&amp;position=chr4:57568247-57717128","chr4:57568247-57717128")</f>
        <v>chr4:57568247-57717128</v>
      </c>
      <c r="F1141" t="s">
        <v>30</v>
      </c>
      <c r="G1141">
        <v>1.3578743642541899</v>
      </c>
      <c r="H1141">
        <v>0.33553751445180602</v>
      </c>
      <c r="I1141">
        <v>4.0468630354869601</v>
      </c>
      <c r="J1141" s="1">
        <v>5.1908593169418103E-5</v>
      </c>
      <c r="K1141">
        <v>6.1242993051249198E-4</v>
      </c>
      <c r="L1141" t="s">
        <v>26</v>
      </c>
      <c r="M1141" t="s">
        <v>27</v>
      </c>
      <c r="N1141">
        <v>33.069542859605903</v>
      </c>
      <c r="O1141">
        <v>13.6586210543596</v>
      </c>
      <c r="P1141">
        <v>47.627734213540698</v>
      </c>
      <c r="Q1141">
        <v>4.4543403680458002</v>
      </c>
      <c r="R1141">
        <v>20.479765471740599</v>
      </c>
      <c r="S1141">
        <v>16.041757323292298</v>
      </c>
      <c r="T1141">
        <v>54.995456586975202</v>
      </c>
      <c r="U1141">
        <v>38.5426214259396</v>
      </c>
      <c r="V1141">
        <v>39.7252956897484</v>
      </c>
      <c r="W1141">
        <v>57.247563151499499</v>
      </c>
    </row>
    <row r="1142" spans="1:23" x14ac:dyDescent="0.2">
      <c r="A1142" t="s">
        <v>2293</v>
      </c>
      <c r="B1142" s="3" t="str">
        <f>HYPERLINK("http://www.ncbi.nlm.nih.gov/gene/18760","Prkd1")</f>
        <v>Prkd1</v>
      </c>
      <c r="C1142">
        <v>18760</v>
      </c>
      <c r="D1142" t="s">
        <v>2294</v>
      </c>
      <c r="E1142" s="3" t="str">
        <f>HYPERLINK("http://genome.ucsc.edu/cgi-bin/hgTracks?db=mm10&amp;lastVirtModeType=default&amp;lastVirtModeExtraState=&amp;virtModeType=default&amp;virtMode=0&amp;nonVirtPosition=&amp;position=chr12:50341231-50649223","chr12:50341231-50649223")</f>
        <v>chr12:50341231-50649223</v>
      </c>
      <c r="F1142" t="s">
        <v>25</v>
      </c>
      <c r="G1142">
        <v>-0.76827963905821794</v>
      </c>
      <c r="H1142">
        <v>0.18989859857920899</v>
      </c>
      <c r="I1142">
        <v>-4.0457362234706604</v>
      </c>
      <c r="J1142" s="1">
        <v>5.2158938701992599E-5</v>
      </c>
      <c r="K1142">
        <v>6.1484185577322396E-4</v>
      </c>
      <c r="L1142" t="s">
        <v>26</v>
      </c>
      <c r="M1142" t="s">
        <v>27</v>
      </c>
      <c r="N1142">
        <v>198.375339380453</v>
      </c>
      <c r="O1142">
        <v>261.18008038021702</v>
      </c>
      <c r="P1142">
        <v>151.27178363063001</v>
      </c>
      <c r="Q1142">
        <v>332.96194251142401</v>
      </c>
      <c r="R1142">
        <v>238.93059717030701</v>
      </c>
      <c r="S1142">
        <v>211.64770145892101</v>
      </c>
      <c r="T1142">
        <v>178.735233907669</v>
      </c>
      <c r="U1142">
        <v>154.170485703759</v>
      </c>
      <c r="V1142">
        <v>149.33768564849899</v>
      </c>
      <c r="W1142">
        <v>122.843729262593</v>
      </c>
    </row>
    <row r="1143" spans="1:23" x14ac:dyDescent="0.2">
      <c r="A1143" t="s">
        <v>2295</v>
      </c>
      <c r="B1143" s="3" t="str">
        <f>HYPERLINK("http://www.ncbi.nlm.nih.gov/gene/12313","Calm1")</f>
        <v>Calm1</v>
      </c>
      <c r="C1143">
        <v>12313</v>
      </c>
      <c r="D1143" t="s">
        <v>2296</v>
      </c>
      <c r="E1143" s="3" t="str">
        <f>HYPERLINK("http://genome.ucsc.edu/cgi-bin/hgTracks?db=mm10&amp;lastVirtModeType=default&amp;lastVirtModeExtraState=&amp;virtModeType=default&amp;virtMode=0&amp;nonVirtPosition=&amp;position=chr12:100200143-100209824","chr12:100200143-100209824")</f>
        <v>chr12:100200143-100209824</v>
      </c>
      <c r="F1143" t="s">
        <v>30</v>
      </c>
      <c r="G1143">
        <v>-0.59158143484204895</v>
      </c>
      <c r="H1143">
        <v>0.14624085466842199</v>
      </c>
      <c r="I1143">
        <v>-4.0452542224494401</v>
      </c>
      <c r="J1143" s="1">
        <v>5.2266374614636502E-5</v>
      </c>
      <c r="K1143">
        <v>6.1556642257220499E-4</v>
      </c>
      <c r="L1143" t="s">
        <v>26</v>
      </c>
      <c r="M1143" t="s">
        <v>27</v>
      </c>
      <c r="N1143">
        <v>2648.4633939302098</v>
      </c>
      <c r="O1143">
        <v>3300.8960995869402</v>
      </c>
      <c r="P1143">
        <v>2159.1388646876699</v>
      </c>
      <c r="Q1143">
        <v>3653.6726868895698</v>
      </c>
      <c r="R1143">
        <v>3664.7402546931398</v>
      </c>
      <c r="S1143">
        <v>2584.27535717812</v>
      </c>
      <c r="T1143">
        <v>2213.5671276257499</v>
      </c>
      <c r="U1143">
        <v>2023.48762486183</v>
      </c>
      <c r="V1143">
        <v>2117.9467831626998</v>
      </c>
      <c r="W1143">
        <v>2281.55392310039</v>
      </c>
    </row>
    <row r="1144" spans="1:23" x14ac:dyDescent="0.2">
      <c r="A1144" t="s">
        <v>2297</v>
      </c>
      <c r="B1144" s="3" t="str">
        <f>HYPERLINK("http://www.ncbi.nlm.nih.gov/gene/246103","Atxn7")</f>
        <v>Atxn7</v>
      </c>
      <c r="C1144">
        <v>246103</v>
      </c>
      <c r="D1144" t="s">
        <v>2298</v>
      </c>
      <c r="E1144" s="3" t="str">
        <f>HYPERLINK("http://genome.ucsc.edu/cgi-bin/hgTracks?db=mm10&amp;lastVirtModeType=default&amp;lastVirtModeExtraState=&amp;virtModeType=default&amp;virtMode=0&amp;nonVirtPosition=&amp;position=chr14:14012490-14107301","chr14:14012490-14107301")</f>
        <v>chr14:14012490-14107301</v>
      </c>
      <c r="F1144" t="s">
        <v>30</v>
      </c>
      <c r="G1144">
        <v>0.591487044457217</v>
      </c>
      <c r="H1144">
        <v>0.14633857447243501</v>
      </c>
      <c r="I1144">
        <v>4.0419079288532496</v>
      </c>
      <c r="J1144" s="1">
        <v>5.3018050895630998E-5</v>
      </c>
      <c r="K1144">
        <v>6.2387057956361596E-4</v>
      </c>
      <c r="L1144" t="s">
        <v>26</v>
      </c>
      <c r="M1144" t="s">
        <v>27</v>
      </c>
      <c r="N1144">
        <v>158.08553787464101</v>
      </c>
      <c r="O1144">
        <v>120.989655036125</v>
      </c>
      <c r="P1144">
        <v>185.907450003528</v>
      </c>
      <c r="Q1144">
        <v>113.028886839162</v>
      </c>
      <c r="R1144">
        <v>116.431259256007</v>
      </c>
      <c r="S1144">
        <v>133.50881901320699</v>
      </c>
      <c r="T1144">
        <v>183.31818862325099</v>
      </c>
      <c r="U1144">
        <v>201.27813411323999</v>
      </c>
      <c r="V1144">
        <v>176.55686973221501</v>
      </c>
      <c r="W1144">
        <v>182.47660754540499</v>
      </c>
    </row>
    <row r="1145" spans="1:23" x14ac:dyDescent="0.2">
      <c r="A1145" t="s">
        <v>2299</v>
      </c>
      <c r="B1145" s="3" t="str">
        <f>HYPERLINK("http://www.ncbi.nlm.nih.gov/gene/56706","Ccnl1")</f>
        <v>Ccnl1</v>
      </c>
      <c r="C1145">
        <v>56706</v>
      </c>
      <c r="D1145" t="s">
        <v>2300</v>
      </c>
      <c r="E1145" s="3" t="str">
        <f>HYPERLINK("http://genome.ucsc.edu/cgi-bin/hgTracks?db=mm10&amp;lastVirtModeType=default&amp;lastVirtModeExtraState=&amp;virtModeType=default&amp;virtMode=0&amp;nonVirtPosition=&amp;position=chr3:65946150-65958225","chr3:65946150-65958225")</f>
        <v>chr3:65946150-65958225</v>
      </c>
      <c r="F1145" t="s">
        <v>25</v>
      </c>
      <c r="G1145">
        <v>0.59280714854451999</v>
      </c>
      <c r="H1145">
        <v>0.14669156394310001</v>
      </c>
      <c r="I1145">
        <v>4.0411809146329896</v>
      </c>
      <c r="J1145" s="1">
        <v>5.3182708739134499E-5</v>
      </c>
      <c r="K1145">
        <v>6.2525869422805098E-4</v>
      </c>
      <c r="L1145" t="s">
        <v>26</v>
      </c>
      <c r="M1145" t="s">
        <v>27</v>
      </c>
      <c r="N1145">
        <v>279.89300885474103</v>
      </c>
      <c r="O1145">
        <v>216.64886752610099</v>
      </c>
      <c r="P1145">
        <v>327.32611485121998</v>
      </c>
      <c r="Q1145">
        <v>208.797204752147</v>
      </c>
      <c r="R1145">
        <v>199.48808589139901</v>
      </c>
      <c r="S1145">
        <v>241.661311934758</v>
      </c>
      <c r="T1145">
        <v>316.22387537510701</v>
      </c>
      <c r="U1145">
        <v>267.657093235692</v>
      </c>
      <c r="V1145">
        <v>360.47027570327299</v>
      </c>
      <c r="W1145">
        <v>364.95321509080901</v>
      </c>
    </row>
    <row r="1146" spans="1:23" x14ac:dyDescent="0.2">
      <c r="A1146" t="s">
        <v>2301</v>
      </c>
      <c r="B1146" s="3" t="str">
        <f>HYPERLINK("http://www.ncbi.nlm.nih.gov/gene/14700","Gng10")</f>
        <v>Gng10</v>
      </c>
      <c r="C1146">
        <v>14700</v>
      </c>
      <c r="D1146" t="s">
        <v>2302</v>
      </c>
      <c r="E1146" s="3" t="str">
        <f>HYPERLINK("http://genome.ucsc.edu/cgi-bin/hgTracks?db=mm10&amp;lastVirtModeType=default&amp;lastVirtModeExtraState=&amp;virtModeType=default&amp;virtMode=0&amp;nonVirtPosition=&amp;position=chr4:59035155-59041899","chr4:59035155-59041899")</f>
        <v>chr4:59035155-59041899</v>
      </c>
      <c r="F1146" t="s">
        <v>30</v>
      </c>
      <c r="G1146">
        <v>-0.57385990286675803</v>
      </c>
      <c r="H1146">
        <v>0.142041159901306</v>
      </c>
      <c r="I1146">
        <v>-4.0400958656314199</v>
      </c>
      <c r="J1146" s="1">
        <v>5.34293576238607E-5</v>
      </c>
      <c r="K1146">
        <v>6.27607480650104E-4</v>
      </c>
      <c r="L1146" t="s">
        <v>26</v>
      </c>
      <c r="M1146" t="s">
        <v>27</v>
      </c>
      <c r="N1146">
        <v>205.35085679909</v>
      </c>
      <c r="O1146">
        <v>254.417378774323</v>
      </c>
      <c r="P1146">
        <v>168.550965317665</v>
      </c>
      <c r="Q1146">
        <v>247.21589042654199</v>
      </c>
      <c r="R1146">
        <v>272.30502979092103</v>
      </c>
      <c r="S1146">
        <v>243.73121610550501</v>
      </c>
      <c r="T1146">
        <v>164.98636976092499</v>
      </c>
      <c r="U1146">
        <v>182.00682340027001</v>
      </c>
      <c r="V1146">
        <v>181.70644509940499</v>
      </c>
      <c r="W1146">
        <v>145.504223010061</v>
      </c>
    </row>
    <row r="1147" spans="1:23" x14ac:dyDescent="0.2">
      <c r="A1147" t="s">
        <v>2303</v>
      </c>
      <c r="B1147" s="3" t="str">
        <f>HYPERLINK("http://www.ncbi.nlm.nih.gov/gene/100042480","Nhsl2")</f>
        <v>Nhsl2</v>
      </c>
      <c r="C1147">
        <v>100042480</v>
      </c>
      <c r="D1147" t="s">
        <v>2304</v>
      </c>
      <c r="E1147" s="3" t="str">
        <f>HYPERLINK("http://genome.ucsc.edu/cgi-bin/hgTracks?db=mm10&amp;lastVirtModeType=default&amp;lastVirtModeExtraState=&amp;virtModeType=default&amp;virtMode=0&amp;nonVirtPosition=&amp;position=chrX:101849384-102092055","chrX:101849384-102092055")</f>
        <v>chrX:101849384-102092055</v>
      </c>
      <c r="F1147" t="s">
        <v>30</v>
      </c>
      <c r="G1147">
        <v>-0.51190549532942797</v>
      </c>
      <c r="H1147">
        <v>0.12679358714665701</v>
      </c>
      <c r="I1147">
        <v>-4.0373137699569002</v>
      </c>
      <c r="J1147" s="1">
        <v>5.4066733990803399E-5</v>
      </c>
      <c r="K1147">
        <v>6.3453780444421395E-4</v>
      </c>
      <c r="L1147" t="s">
        <v>26</v>
      </c>
      <c r="M1147" t="s">
        <v>27</v>
      </c>
      <c r="N1147">
        <v>253.87407913952799</v>
      </c>
      <c r="O1147">
        <v>305.908872401054</v>
      </c>
      <c r="P1147">
        <v>214.84798419338401</v>
      </c>
      <c r="Q1147">
        <v>295.65684192904001</v>
      </c>
      <c r="R1147">
        <v>296.57734442409497</v>
      </c>
      <c r="S1147">
        <v>325.49243085002701</v>
      </c>
      <c r="T1147">
        <v>233.73069049464399</v>
      </c>
      <c r="U1147">
        <v>199.136877367355</v>
      </c>
      <c r="V1147">
        <v>202.30474656816301</v>
      </c>
      <c r="W1147">
        <v>224.219622343373</v>
      </c>
    </row>
    <row r="1148" spans="1:23" x14ac:dyDescent="0.2">
      <c r="A1148" t="s">
        <v>2305</v>
      </c>
      <c r="B1148" s="3" t="str">
        <f>HYPERLINK("http://www.ncbi.nlm.nih.gov/gene/66711","Sbds")</f>
        <v>Sbds</v>
      </c>
      <c r="C1148">
        <v>66711</v>
      </c>
      <c r="D1148" t="s">
        <v>2306</v>
      </c>
      <c r="E1148" s="3" t="str">
        <f>HYPERLINK("http://genome.ucsc.edu/cgi-bin/hgTracks?db=mm10&amp;lastVirtModeType=default&amp;lastVirtModeExtraState=&amp;virtModeType=default&amp;virtMode=0&amp;nonVirtPosition=&amp;position=chr5:130245731-130255530","chr5:130245731-130255530")</f>
        <v>chr5:130245731-130255530</v>
      </c>
      <c r="F1148" t="s">
        <v>25</v>
      </c>
      <c r="G1148">
        <v>-0.62756829727098196</v>
      </c>
      <c r="H1148">
        <v>0.15547805873596199</v>
      </c>
      <c r="I1148">
        <v>-4.0363785242311101</v>
      </c>
      <c r="J1148" s="1">
        <v>5.4282611331500802E-5</v>
      </c>
      <c r="K1148">
        <v>6.3651352744319297E-4</v>
      </c>
      <c r="L1148" t="s">
        <v>26</v>
      </c>
      <c r="M1148" t="s">
        <v>27</v>
      </c>
      <c r="N1148">
        <v>164.09486882387699</v>
      </c>
      <c r="O1148">
        <v>208.41906473607099</v>
      </c>
      <c r="P1148">
        <v>130.851721889732</v>
      </c>
      <c r="Q1148">
        <v>227.17135877033601</v>
      </c>
      <c r="R1148">
        <v>215.41679236941999</v>
      </c>
      <c r="S1148">
        <v>182.669043068457</v>
      </c>
      <c r="T1148">
        <v>114.573867889532</v>
      </c>
      <c r="U1148">
        <v>139.18168848255999</v>
      </c>
      <c r="V1148">
        <v>126.532423308088</v>
      </c>
      <c r="W1148">
        <v>143.11890787874901</v>
      </c>
    </row>
    <row r="1149" spans="1:23" x14ac:dyDescent="0.2">
      <c r="A1149" t="s">
        <v>2307</v>
      </c>
      <c r="B1149" s="3" t="str">
        <f>HYPERLINK("http://www.ncbi.nlm.nih.gov/gene/16150","Ikbkb")</f>
        <v>Ikbkb</v>
      </c>
      <c r="C1149">
        <v>16150</v>
      </c>
      <c r="D1149" t="s">
        <v>2308</v>
      </c>
      <c r="E1149" s="3" t="str">
        <f>HYPERLINK("http://genome.ucsc.edu/cgi-bin/hgTracks?db=mm10&amp;lastVirtModeType=default&amp;lastVirtModeExtraState=&amp;virtModeType=default&amp;virtMode=0&amp;nonVirtPosition=&amp;position=chr8:22659204-22706583","chr8:22659204-22706583")</f>
        <v>chr8:22659204-22706583</v>
      </c>
      <c r="F1149" t="s">
        <v>25</v>
      </c>
      <c r="G1149">
        <v>0.54976664124197305</v>
      </c>
      <c r="H1149">
        <v>0.13622520120347101</v>
      </c>
      <c r="I1149">
        <v>4.0357190621493002</v>
      </c>
      <c r="J1149" s="1">
        <v>5.44353217972766E-5</v>
      </c>
      <c r="K1149">
        <v>6.3774575169495303E-4</v>
      </c>
      <c r="L1149" t="s">
        <v>26</v>
      </c>
      <c r="M1149" t="s">
        <v>27</v>
      </c>
      <c r="N1149">
        <v>328.292623073171</v>
      </c>
      <c r="O1149">
        <v>257.07441743415802</v>
      </c>
      <c r="P1149">
        <v>381.70627730243001</v>
      </c>
      <c r="Q1149">
        <v>260.57891153067902</v>
      </c>
      <c r="R1149">
        <v>231.724753763584</v>
      </c>
      <c r="S1149">
        <v>278.91958700821101</v>
      </c>
      <c r="T1149">
        <v>398.71706025557</v>
      </c>
      <c r="U1149">
        <v>351.16610632522799</v>
      </c>
      <c r="V1149">
        <v>342.81458873005101</v>
      </c>
      <c r="W1149">
        <v>434.12735389887098</v>
      </c>
    </row>
    <row r="1150" spans="1:23" x14ac:dyDescent="0.2">
      <c r="A1150" t="s">
        <v>2309</v>
      </c>
      <c r="B1150" s="3" t="str">
        <f>HYPERLINK("http://www.ncbi.nlm.nih.gov/gene/67878","Tmem33")</f>
        <v>Tmem33</v>
      </c>
      <c r="C1150">
        <v>67878</v>
      </c>
      <c r="D1150" t="s">
        <v>2310</v>
      </c>
      <c r="E1150" s="3" t="str">
        <f>HYPERLINK("http://genome.ucsc.edu/cgi-bin/hgTracks?db=mm10&amp;lastVirtModeType=default&amp;lastVirtModeExtraState=&amp;virtModeType=default&amp;virtMode=0&amp;nonVirtPosition=&amp;position=chr5:67260564-67291461","chr5:67260564-67291461")</f>
        <v>chr5:67260564-67291461</v>
      </c>
      <c r="F1150" t="s">
        <v>30</v>
      </c>
      <c r="G1150">
        <v>-0.52697478704332601</v>
      </c>
      <c r="H1150">
        <v>0.130593611933989</v>
      </c>
      <c r="I1150">
        <v>-4.0352263731681903</v>
      </c>
      <c r="J1150" s="1">
        <v>5.4549678456983698E-5</v>
      </c>
      <c r="K1150">
        <v>6.3846079424034405E-4</v>
      </c>
      <c r="L1150" t="s">
        <v>26</v>
      </c>
      <c r="M1150" t="s">
        <v>27</v>
      </c>
      <c r="N1150">
        <v>599.430872395488</v>
      </c>
      <c r="O1150">
        <v>729.69706762963801</v>
      </c>
      <c r="P1150">
        <v>501.73122596987503</v>
      </c>
      <c r="Q1150">
        <v>858.57410594082796</v>
      </c>
      <c r="R1150">
        <v>661.42057375399304</v>
      </c>
      <c r="S1150">
        <v>669.09652319409395</v>
      </c>
      <c r="T1150">
        <v>522.45683757626398</v>
      </c>
      <c r="U1150">
        <v>477.50025433247401</v>
      </c>
      <c r="V1150">
        <v>512.01492222342404</v>
      </c>
      <c r="W1150">
        <v>494.95288974733899</v>
      </c>
    </row>
    <row r="1151" spans="1:23" x14ac:dyDescent="0.2">
      <c r="A1151" t="s">
        <v>2311</v>
      </c>
      <c r="B1151" s="3" t="str">
        <f>HYPERLINK("http://www.ncbi.nlm.nih.gov/gene/66492","Zmat2")</f>
        <v>Zmat2</v>
      </c>
      <c r="C1151">
        <v>66492</v>
      </c>
      <c r="D1151" t="s">
        <v>2312</v>
      </c>
      <c r="E1151" s="3" t="str">
        <f>HYPERLINK("http://genome.ucsc.edu/cgi-bin/hgTracks?db=mm10&amp;lastVirtModeType=default&amp;lastVirtModeExtraState=&amp;virtModeType=default&amp;virtMode=0&amp;nonVirtPosition=&amp;position=chr18:36793922-36799660","chr18:36793922-36799660")</f>
        <v>chr18:36793922-36799660</v>
      </c>
      <c r="F1151" t="s">
        <v>30</v>
      </c>
      <c r="G1151">
        <v>-0.61109013563285397</v>
      </c>
      <c r="H1151">
        <v>0.15144566071273599</v>
      </c>
      <c r="I1151">
        <v>-4.0350455256158</v>
      </c>
      <c r="J1151" s="1">
        <v>5.4591711552923197E-5</v>
      </c>
      <c r="K1151">
        <v>6.3846079424034405E-4</v>
      </c>
      <c r="L1151" t="s">
        <v>26</v>
      </c>
      <c r="M1151" t="s">
        <v>27</v>
      </c>
      <c r="N1151">
        <v>185.75812929919701</v>
      </c>
      <c r="O1151">
        <v>231.52966831782001</v>
      </c>
      <c r="P1151">
        <v>151.42947503523001</v>
      </c>
      <c r="Q1151">
        <v>232.739284230393</v>
      </c>
      <c r="R1151">
        <v>254.85930364832799</v>
      </c>
      <c r="S1151">
        <v>206.99041707473901</v>
      </c>
      <c r="T1151">
        <v>174.152279192088</v>
      </c>
      <c r="U1151">
        <v>128.47540475313201</v>
      </c>
      <c r="V1151">
        <v>145.65941752907801</v>
      </c>
      <c r="W1151">
        <v>157.43079866662401</v>
      </c>
    </row>
    <row r="1152" spans="1:23" x14ac:dyDescent="0.2">
      <c r="A1152" t="s">
        <v>2313</v>
      </c>
      <c r="B1152" s="3" t="str">
        <f>HYPERLINK("http://www.ncbi.nlm.nih.gov/gene/11877","Arvcf")</f>
        <v>Arvcf</v>
      </c>
      <c r="C1152">
        <v>11877</v>
      </c>
      <c r="D1152" t="s">
        <v>2314</v>
      </c>
      <c r="E1152" s="3" t="str">
        <f>HYPERLINK("http://genome.ucsc.edu/cgi-bin/hgTracks?db=mm10&amp;lastVirtModeType=default&amp;lastVirtModeExtraState=&amp;virtModeType=default&amp;virtMode=0&amp;nonVirtPosition=&amp;position=chr16:18348181-18407074","chr16:18348181-18407074")</f>
        <v>chr16:18348181-18407074</v>
      </c>
      <c r="F1152" t="s">
        <v>30</v>
      </c>
      <c r="G1152">
        <v>0.69480851946679201</v>
      </c>
      <c r="H1152">
        <v>0.17220982870548299</v>
      </c>
      <c r="I1152">
        <v>4.0346623923252798</v>
      </c>
      <c r="J1152" s="1">
        <v>5.4680861854787798E-5</v>
      </c>
      <c r="K1152">
        <v>6.3894539362780399E-4</v>
      </c>
      <c r="L1152" t="s">
        <v>26</v>
      </c>
      <c r="M1152" t="s">
        <v>27</v>
      </c>
      <c r="N1152">
        <v>315.94780519240697</v>
      </c>
      <c r="O1152">
        <v>230.369700245258</v>
      </c>
      <c r="P1152">
        <v>380.13138390276902</v>
      </c>
      <c r="Q1152">
        <v>291.20250156099399</v>
      </c>
      <c r="R1152">
        <v>170.664712264505</v>
      </c>
      <c r="S1152">
        <v>229.24188691027399</v>
      </c>
      <c r="T1152">
        <v>371.21933196208198</v>
      </c>
      <c r="U1152">
        <v>368.29616029231198</v>
      </c>
      <c r="V1152">
        <v>395.78164964971597</v>
      </c>
      <c r="W1152">
        <v>385.22839370696499</v>
      </c>
    </row>
    <row r="1153" spans="1:23" x14ac:dyDescent="0.2">
      <c r="A1153" t="s">
        <v>2315</v>
      </c>
      <c r="B1153" s="3" t="str">
        <f>HYPERLINK("http://www.ncbi.nlm.nih.gov/gene/226352","Epb41l5")</f>
        <v>Epb41l5</v>
      </c>
      <c r="C1153">
        <v>226352</v>
      </c>
      <c r="D1153" t="s">
        <v>2316</v>
      </c>
      <c r="E1153" s="3" t="str">
        <f>HYPERLINK("http://genome.ucsc.edu/cgi-bin/hgTracks?db=mm10&amp;lastVirtModeType=default&amp;lastVirtModeExtraState=&amp;virtModeType=default&amp;virtMode=0&amp;nonVirtPosition=&amp;position=chr1:119545032-119649000","chr1:119545032-119649000")</f>
        <v>chr1:119545032-119649000</v>
      </c>
      <c r="F1153" t="s">
        <v>25</v>
      </c>
      <c r="G1153">
        <v>0.60100259098224296</v>
      </c>
      <c r="H1153">
        <v>0.149088621816374</v>
      </c>
      <c r="I1153">
        <v>4.0311767837150603</v>
      </c>
      <c r="J1153" s="1">
        <v>5.5498278877959099E-5</v>
      </c>
      <c r="K1153">
        <v>6.47931519141021E-4</v>
      </c>
      <c r="L1153" t="s">
        <v>26</v>
      </c>
      <c r="M1153" t="s">
        <v>27</v>
      </c>
      <c r="N1153">
        <v>134.89514600655599</v>
      </c>
      <c r="O1153">
        <v>102.904692155917</v>
      </c>
      <c r="P1153">
        <v>158.887986394536</v>
      </c>
      <c r="Q1153">
        <v>105.23379119508201</v>
      </c>
      <c r="R1153">
        <v>100.502552777986</v>
      </c>
      <c r="S1153">
        <v>102.977732494683</v>
      </c>
      <c r="T1153">
        <v>151.237505614182</v>
      </c>
      <c r="U1153">
        <v>177.72430990849901</v>
      </c>
      <c r="V1153">
        <v>151.54464652015099</v>
      </c>
      <c r="W1153">
        <v>155.04548353531101</v>
      </c>
    </row>
    <row r="1154" spans="1:23" x14ac:dyDescent="0.2">
      <c r="A1154" t="s">
        <v>2317</v>
      </c>
      <c r="B1154" s="3" t="str">
        <f>HYPERLINK("http://www.ncbi.nlm.nih.gov/gene/271305","Phf21b")</f>
        <v>Phf21b</v>
      </c>
      <c r="C1154">
        <v>271305</v>
      </c>
      <c r="D1154" t="s">
        <v>2318</v>
      </c>
      <c r="E1154" s="3" t="str">
        <f>HYPERLINK("http://genome.ucsc.edu/cgi-bin/hgTracks?db=mm10&amp;lastVirtModeType=default&amp;lastVirtModeExtraState=&amp;virtModeType=default&amp;virtMode=0&amp;nonVirtPosition=&amp;position=chr15:84785375-84856129","chr15:84785375-84856129")</f>
        <v>chr15:84785375-84856129</v>
      </c>
      <c r="F1154" t="s">
        <v>25</v>
      </c>
      <c r="G1154">
        <v>0.67805421374574804</v>
      </c>
      <c r="H1154">
        <v>0.168258558649793</v>
      </c>
      <c r="I1154">
        <v>4.02983491114425</v>
      </c>
      <c r="J1154" s="1">
        <v>5.5816039308366202E-5</v>
      </c>
      <c r="K1154">
        <v>6.5107367802990604E-4</v>
      </c>
      <c r="L1154" t="s">
        <v>26</v>
      </c>
      <c r="M1154" t="s">
        <v>27</v>
      </c>
      <c r="N1154">
        <v>94.004449905346803</v>
      </c>
      <c r="O1154">
        <v>69.569541898076096</v>
      </c>
      <c r="P1154">
        <v>112.3306309108</v>
      </c>
      <c r="Q1154">
        <v>67.928690612698404</v>
      </c>
      <c r="R1154">
        <v>70.920669318805395</v>
      </c>
      <c r="S1154">
        <v>69.859265762724405</v>
      </c>
      <c r="T1154">
        <v>100.825003742788</v>
      </c>
      <c r="U1154">
        <v>117.769121023704</v>
      </c>
      <c r="V1154">
        <v>116.23327257370801</v>
      </c>
      <c r="W1154">
        <v>114.495126302999</v>
      </c>
    </row>
    <row r="1155" spans="1:23" x14ac:dyDescent="0.2">
      <c r="A1155" t="s">
        <v>2319</v>
      </c>
      <c r="B1155" s="3" t="str">
        <f>HYPERLINK("http://www.ncbi.nlm.nih.gov/gene/69207","Srsf11")</f>
        <v>Srsf11</v>
      </c>
      <c r="C1155">
        <v>69207</v>
      </c>
      <c r="D1155" t="s">
        <v>2320</v>
      </c>
      <c r="E1155" s="3" t="str">
        <f>HYPERLINK("http://genome.ucsc.edu/cgi-bin/hgTracks?db=mm10&amp;lastVirtModeType=default&amp;lastVirtModeExtraState=&amp;virtModeType=default&amp;virtMode=0&amp;nonVirtPosition=&amp;position=chr3:158010492-158036639","chr3:158010492-158036639")</f>
        <v>chr3:158010492-158036639</v>
      </c>
      <c r="F1155" t="s">
        <v>25</v>
      </c>
      <c r="G1155">
        <v>0.50434845089125202</v>
      </c>
      <c r="H1155">
        <v>0.12519051948174101</v>
      </c>
      <c r="I1155">
        <v>4.0286473207327003</v>
      </c>
      <c r="J1155" s="1">
        <v>5.6098702062491202E-5</v>
      </c>
      <c r="K1155">
        <v>6.5380132229662295E-4</v>
      </c>
      <c r="L1155" t="s">
        <v>26</v>
      </c>
      <c r="M1155" t="s">
        <v>27</v>
      </c>
      <c r="N1155">
        <v>666.46768711731897</v>
      </c>
      <c r="O1155">
        <v>533.55688206593504</v>
      </c>
      <c r="P1155">
        <v>766.150790905858</v>
      </c>
      <c r="Q1155">
        <v>494.98857339909</v>
      </c>
      <c r="R1155">
        <v>561.29727589214997</v>
      </c>
      <c r="S1155">
        <v>544.38479690656402</v>
      </c>
      <c r="T1155">
        <v>852.42957709811503</v>
      </c>
      <c r="U1155">
        <v>635.95325352800398</v>
      </c>
      <c r="V1155">
        <v>822.460751502569</v>
      </c>
      <c r="W1155">
        <v>753.759581494744</v>
      </c>
    </row>
    <row r="1156" spans="1:23" x14ac:dyDescent="0.2">
      <c r="A1156" t="s">
        <v>2321</v>
      </c>
      <c r="B1156" s="3" t="str">
        <f>HYPERLINK("http://www.ncbi.nlm.nih.gov/gene/67043","Syap1")</f>
        <v>Syap1</v>
      </c>
      <c r="C1156">
        <v>67043</v>
      </c>
      <c r="D1156" t="s">
        <v>2322</v>
      </c>
      <c r="E1156" s="3" t="str">
        <f>HYPERLINK("http://genome.ucsc.edu/cgi-bin/hgTracks?db=mm10&amp;lastVirtModeType=default&amp;lastVirtModeExtraState=&amp;virtModeType=default&amp;virtMode=0&amp;nonVirtPosition=&amp;position=chrX:162856842-162888462","chrX:162856842-162888462")</f>
        <v>chrX:162856842-162888462</v>
      </c>
      <c r="F1156" t="s">
        <v>25</v>
      </c>
      <c r="G1156">
        <v>-0.65634317850606705</v>
      </c>
      <c r="H1156">
        <v>0.16296189111288001</v>
      </c>
      <c r="I1156">
        <v>-4.0275869040537398</v>
      </c>
      <c r="J1156" s="1">
        <v>5.6352241176586398E-5</v>
      </c>
      <c r="K1156">
        <v>6.5618509703971198E-4</v>
      </c>
      <c r="L1156" t="s">
        <v>26</v>
      </c>
      <c r="M1156" t="s">
        <v>27</v>
      </c>
      <c r="N1156">
        <v>150.12093550068499</v>
      </c>
      <c r="O1156">
        <v>190.40323084929199</v>
      </c>
      <c r="P1156">
        <v>119.90921398923101</v>
      </c>
      <c r="Q1156">
        <v>192.09342837197499</v>
      </c>
      <c r="R1156">
        <v>207.831694046553</v>
      </c>
      <c r="S1156">
        <v>171.284570129347</v>
      </c>
      <c r="T1156">
        <v>128.322732036275</v>
      </c>
      <c r="U1156">
        <v>111.345350786048</v>
      </c>
      <c r="V1156">
        <v>105.198468215445</v>
      </c>
      <c r="W1156">
        <v>134.770304919155</v>
      </c>
    </row>
    <row r="1157" spans="1:23" x14ac:dyDescent="0.2">
      <c r="A1157" t="s">
        <v>2323</v>
      </c>
      <c r="B1157" s="3" t="str">
        <f>HYPERLINK("http://www.ncbi.nlm.nih.gov/gene/66729","Ankrd61")</f>
        <v>Ankrd61</v>
      </c>
      <c r="C1157">
        <v>66729</v>
      </c>
      <c r="D1157" t="s">
        <v>2324</v>
      </c>
      <c r="E1157" s="3" t="str">
        <f>HYPERLINK("http://genome.ucsc.edu/cgi-bin/hgTracks?db=mm10&amp;lastVirtModeType=default&amp;lastVirtModeExtraState=&amp;virtModeType=default&amp;virtMode=0&amp;nonVirtPosition=&amp;position=chr5:143890740-143895067","chr5:143890740-143895067")</f>
        <v>chr5:143890740-143895067</v>
      </c>
      <c r="F1157" t="s">
        <v>25</v>
      </c>
      <c r="G1157">
        <v>1.47790339019366</v>
      </c>
      <c r="H1157">
        <v>0.36698009193749398</v>
      </c>
      <c r="I1157">
        <v>4.0272031716788197</v>
      </c>
      <c r="J1157" s="1">
        <v>5.6444256396157903E-5</v>
      </c>
      <c r="K1157">
        <v>6.56685523371807E-4</v>
      </c>
      <c r="L1157" t="s">
        <v>26</v>
      </c>
      <c r="M1157" t="s">
        <v>27</v>
      </c>
      <c r="N1157">
        <v>12.593548911607099</v>
      </c>
      <c r="O1157">
        <v>4.07647728589951</v>
      </c>
      <c r="P1157">
        <v>18.981352630887798</v>
      </c>
      <c r="Q1157">
        <v>2.2271701840229001</v>
      </c>
      <c r="R1157">
        <v>3.7925491614334499</v>
      </c>
      <c r="S1157">
        <v>6.2097125122421701</v>
      </c>
      <c r="T1157">
        <v>27.497728293487601</v>
      </c>
      <c r="U1157">
        <v>14.9887972211987</v>
      </c>
      <c r="V1157">
        <v>19.126994220989999</v>
      </c>
      <c r="W1157">
        <v>14.3118907878749</v>
      </c>
    </row>
    <row r="1158" spans="1:23" x14ac:dyDescent="0.2">
      <c r="A1158" t="s">
        <v>2325</v>
      </c>
      <c r="B1158" s="3" t="str">
        <f>HYPERLINK("http://www.ncbi.nlm.nih.gov/gene/30843","Fbxl12")</f>
        <v>Fbxl12</v>
      </c>
      <c r="C1158">
        <v>30843</v>
      </c>
      <c r="D1158" t="s">
        <v>2326</v>
      </c>
      <c r="E1158" s="3" t="str">
        <f>HYPERLINK("http://genome.ucsc.edu/cgi-bin/hgTracks?db=mm10&amp;lastVirtModeType=default&amp;lastVirtModeExtraState=&amp;virtModeType=default&amp;virtMode=0&amp;nonVirtPosition=&amp;position=chr9:20637748-20642806","chr9:20637748-20642806")</f>
        <v>chr9:20637748-20642806</v>
      </c>
      <c r="F1158" t="s">
        <v>25</v>
      </c>
      <c r="G1158">
        <v>0.99085768847856603</v>
      </c>
      <c r="H1158">
        <v>0.246152768359304</v>
      </c>
      <c r="I1158">
        <v>4.0253769847196397</v>
      </c>
      <c r="J1158" s="1">
        <v>5.68841115981192E-5</v>
      </c>
      <c r="K1158">
        <v>6.6122841875903996E-4</v>
      </c>
      <c r="L1158" t="s">
        <v>26</v>
      </c>
      <c r="M1158" t="s">
        <v>27</v>
      </c>
      <c r="N1158">
        <v>40.661518596194902</v>
      </c>
      <c r="O1158">
        <v>24.8951773416474</v>
      </c>
      <c r="P1158">
        <v>52.486274537105501</v>
      </c>
      <c r="Q1158">
        <v>21.158116748217498</v>
      </c>
      <c r="R1158">
        <v>23.513804800887399</v>
      </c>
      <c r="S1158">
        <v>30.013610475837201</v>
      </c>
      <c r="T1158">
        <v>41.246592440231403</v>
      </c>
      <c r="U1158">
        <v>59.955188884795</v>
      </c>
      <c r="V1158">
        <v>51.495753671896097</v>
      </c>
      <c r="W1158">
        <v>57.247563151499499</v>
      </c>
    </row>
    <row r="1159" spans="1:23" x14ac:dyDescent="0.2">
      <c r="A1159" t="s">
        <v>2327</v>
      </c>
      <c r="B1159" s="3" t="str">
        <f>HYPERLINK("http://www.ncbi.nlm.nih.gov/gene/22422","Wnt7b")</f>
        <v>Wnt7b</v>
      </c>
      <c r="C1159">
        <v>22422</v>
      </c>
      <c r="D1159" t="s">
        <v>2328</v>
      </c>
      <c r="E1159" s="3" t="str">
        <f>HYPERLINK("http://genome.ucsc.edu/cgi-bin/hgTracks?db=mm10&amp;lastVirtModeType=default&amp;lastVirtModeExtraState=&amp;virtModeType=default&amp;virtMode=0&amp;nonVirtPosition=&amp;position=chr15:85535436-85581821","chr15:85535436-85581821")</f>
        <v>chr15:85535436-85581821</v>
      </c>
      <c r="F1159" t="s">
        <v>25</v>
      </c>
      <c r="G1159">
        <v>-0.72186322258756697</v>
      </c>
      <c r="H1159">
        <v>0.179420969992971</v>
      </c>
      <c r="I1159">
        <v>-4.0232935013997899</v>
      </c>
      <c r="J1159" s="1">
        <v>5.7389903865111401E-5</v>
      </c>
      <c r="K1159">
        <v>6.6631403142475103E-4</v>
      </c>
      <c r="L1159" t="s">
        <v>26</v>
      </c>
      <c r="M1159" t="s">
        <v>27</v>
      </c>
      <c r="N1159">
        <v>224.11694887735499</v>
      </c>
      <c r="O1159">
        <v>293.080065717575</v>
      </c>
      <c r="P1159">
        <v>172.39461124719</v>
      </c>
      <c r="Q1159">
        <v>282.29382082490298</v>
      </c>
      <c r="R1159">
        <v>253.34228398375399</v>
      </c>
      <c r="S1159">
        <v>343.604092344067</v>
      </c>
      <c r="T1159">
        <v>155.82046032976299</v>
      </c>
      <c r="U1159">
        <v>216.26693133443899</v>
      </c>
      <c r="V1159">
        <v>183.91340597105801</v>
      </c>
      <c r="W1159">
        <v>133.577647353499</v>
      </c>
    </row>
    <row r="1160" spans="1:23" x14ac:dyDescent="0.2">
      <c r="A1160" t="s">
        <v>2329</v>
      </c>
      <c r="B1160" s="3" t="str">
        <f>HYPERLINK("http://www.ncbi.nlm.nih.gov/gene/52915","Zmiz2")</f>
        <v>Zmiz2</v>
      </c>
      <c r="C1160">
        <v>52915</v>
      </c>
      <c r="D1160" t="s">
        <v>2330</v>
      </c>
      <c r="E1160" s="3" t="str">
        <f>HYPERLINK("http://genome.ucsc.edu/cgi-bin/hgTracks?db=mm10&amp;lastVirtModeType=default&amp;lastVirtModeExtraState=&amp;virtModeType=default&amp;virtMode=0&amp;nonVirtPosition=&amp;position=chr11:6395124-6406162","chr11:6395124-6406162")</f>
        <v>chr11:6395124-6406162</v>
      </c>
      <c r="F1160" t="s">
        <v>30</v>
      </c>
      <c r="G1160">
        <v>0.70523193577732801</v>
      </c>
      <c r="H1160">
        <v>0.17529280060100999</v>
      </c>
      <c r="I1160">
        <v>4.0231654315486196</v>
      </c>
      <c r="J1160" s="1">
        <v>5.74211330195028E-5</v>
      </c>
      <c r="K1160">
        <v>6.6631403142475103E-4</v>
      </c>
      <c r="L1160" t="s">
        <v>26</v>
      </c>
      <c r="M1160" t="s">
        <v>27</v>
      </c>
      <c r="N1160">
        <v>338.24775443937199</v>
      </c>
      <c r="O1160">
        <v>244.74977434676401</v>
      </c>
      <c r="P1160">
        <v>408.37123950882898</v>
      </c>
      <c r="Q1160">
        <v>196.54776874002101</v>
      </c>
      <c r="R1160">
        <v>214.27902762099001</v>
      </c>
      <c r="S1160">
        <v>323.42252667928</v>
      </c>
      <c r="T1160">
        <v>375.80228667766397</v>
      </c>
      <c r="U1160">
        <v>451.80517338184802</v>
      </c>
      <c r="V1160">
        <v>397.98861052136903</v>
      </c>
      <c r="W1160">
        <v>407.88888745443398</v>
      </c>
    </row>
    <row r="1161" spans="1:23" x14ac:dyDescent="0.2">
      <c r="A1161" t="s">
        <v>2331</v>
      </c>
      <c r="B1161" s="3" t="str">
        <f>HYPERLINK("http://www.ncbi.nlm.nih.gov/gene/21828","Thbs4")</f>
        <v>Thbs4</v>
      </c>
      <c r="C1161">
        <v>21828</v>
      </c>
      <c r="D1161" t="s">
        <v>2332</v>
      </c>
      <c r="E1161" s="3" t="str">
        <f>HYPERLINK("http://genome.ucsc.edu/cgi-bin/hgTracks?db=mm10&amp;lastVirtModeType=default&amp;lastVirtModeExtraState=&amp;virtModeType=default&amp;virtMode=0&amp;nonVirtPosition=&amp;position=chr13:92751585-92794818","chr13:92751585-92794818")</f>
        <v>chr13:92751585-92794818</v>
      </c>
      <c r="F1161" t="s">
        <v>25</v>
      </c>
      <c r="G1161">
        <v>1.1168985772153199</v>
      </c>
      <c r="H1161">
        <v>0.277657757436161</v>
      </c>
      <c r="I1161">
        <v>4.02257292405063</v>
      </c>
      <c r="J1161" s="1">
        <v>5.7565822432440701E-5</v>
      </c>
      <c r="K1161">
        <v>6.6741465644399396E-4</v>
      </c>
      <c r="L1161" t="s">
        <v>26</v>
      </c>
      <c r="M1161" t="s">
        <v>27</v>
      </c>
      <c r="N1161">
        <v>38.100911111193099</v>
      </c>
      <c r="O1161">
        <v>20.850685339443999</v>
      </c>
      <c r="P1161">
        <v>51.038580440004999</v>
      </c>
      <c r="Q1161">
        <v>25.6124571162634</v>
      </c>
      <c r="R1161">
        <v>13.653176981160399</v>
      </c>
      <c r="S1161">
        <v>23.286421920908101</v>
      </c>
      <c r="T1161">
        <v>45.829547155812598</v>
      </c>
      <c r="U1161">
        <v>66.378959122451604</v>
      </c>
      <c r="V1161">
        <v>47.817485552474999</v>
      </c>
      <c r="W1161">
        <v>44.128329929280902</v>
      </c>
    </row>
    <row r="1162" spans="1:23" x14ac:dyDescent="0.2">
      <c r="A1162" t="s">
        <v>2333</v>
      </c>
      <c r="B1162" s="3" t="str">
        <f>HYPERLINK("http://www.ncbi.nlm.nih.gov/gene/53614","Reck")</f>
        <v>Reck</v>
      </c>
      <c r="C1162">
        <v>53614</v>
      </c>
      <c r="D1162" t="s">
        <v>2334</v>
      </c>
      <c r="E1162" s="3" t="str">
        <f>HYPERLINK("http://genome.ucsc.edu/cgi-bin/hgTracks?db=mm10&amp;lastVirtModeType=default&amp;lastVirtModeExtraState=&amp;virtModeType=default&amp;virtMode=0&amp;nonVirtPosition=&amp;position=chr4:43875529-43944806","chr4:43875529-43944806")</f>
        <v>chr4:43875529-43944806</v>
      </c>
      <c r="F1162" t="s">
        <v>30</v>
      </c>
      <c r="G1162">
        <v>0.87055149327019898</v>
      </c>
      <c r="H1162">
        <v>0.216457823443926</v>
      </c>
      <c r="I1162">
        <v>4.0218065552882099</v>
      </c>
      <c r="J1162" s="1">
        <v>5.7753480705776502E-5</v>
      </c>
      <c r="K1162">
        <v>6.6901112468084199E-4</v>
      </c>
      <c r="L1162" t="s">
        <v>26</v>
      </c>
      <c r="M1162" t="s">
        <v>27</v>
      </c>
      <c r="N1162">
        <v>56.598123654559799</v>
      </c>
      <c r="O1162">
        <v>37.174910703923899</v>
      </c>
      <c r="P1162">
        <v>71.165533367536796</v>
      </c>
      <c r="Q1162">
        <v>37.305100582383602</v>
      </c>
      <c r="R1162">
        <v>34.891452285187697</v>
      </c>
      <c r="S1162">
        <v>39.328179244200399</v>
      </c>
      <c r="T1162">
        <v>77.910230164881497</v>
      </c>
      <c r="U1162">
        <v>59.955188884795</v>
      </c>
      <c r="V1162">
        <v>82.3932058750338</v>
      </c>
      <c r="W1162">
        <v>64.403508545436907</v>
      </c>
    </row>
    <row r="1163" spans="1:23" x14ac:dyDescent="0.2">
      <c r="A1163" t="s">
        <v>2335</v>
      </c>
      <c r="B1163" s="3" t="str">
        <f>HYPERLINK("http://www.ncbi.nlm.nih.gov/gene/83701","Srrt")</f>
        <v>Srrt</v>
      </c>
      <c r="C1163">
        <v>83701</v>
      </c>
      <c r="D1163" t="s">
        <v>2336</v>
      </c>
      <c r="E1163" s="3" t="str">
        <f>HYPERLINK("http://genome.ucsc.edu/cgi-bin/hgTracks?db=mm10&amp;lastVirtModeType=default&amp;lastVirtModeExtraState=&amp;virtModeType=default&amp;virtMode=0&amp;nonVirtPosition=&amp;position=chr5:137295703-137307674","chr5:137295703-137307674")</f>
        <v>chr5:137295703-137307674</v>
      </c>
      <c r="F1163" t="s">
        <v>25</v>
      </c>
      <c r="G1163">
        <v>0.41844368241930202</v>
      </c>
      <c r="H1163">
        <v>0.104054999504577</v>
      </c>
      <c r="I1163">
        <v>4.0213702792905996</v>
      </c>
      <c r="J1163" s="1">
        <v>5.7860568864951501E-5</v>
      </c>
      <c r="K1163">
        <v>6.6967232296505298E-4</v>
      </c>
      <c r="L1163" t="s">
        <v>26</v>
      </c>
      <c r="M1163" t="s">
        <v>27</v>
      </c>
      <c r="N1163">
        <v>737.035861593704</v>
      </c>
      <c r="O1163">
        <v>613.95640814610795</v>
      </c>
      <c r="P1163">
        <v>829.345451679402</v>
      </c>
      <c r="Q1163">
        <v>634.74350244652601</v>
      </c>
      <c r="R1163">
        <v>588.22437493832797</v>
      </c>
      <c r="S1163">
        <v>618.90134705346998</v>
      </c>
      <c r="T1163">
        <v>884.51026010718397</v>
      </c>
      <c r="U1163">
        <v>800.83002296119002</v>
      </c>
      <c r="V1163">
        <v>761.40150072017798</v>
      </c>
      <c r="W1163">
        <v>870.64002292905502</v>
      </c>
    </row>
    <row r="1164" spans="1:23" x14ac:dyDescent="0.2">
      <c r="A1164" t="s">
        <v>2337</v>
      </c>
      <c r="B1164" s="3" t="str">
        <f>HYPERLINK("http://www.ncbi.nlm.nih.gov/gene/67623","Tm7sf3")</f>
        <v>Tm7sf3</v>
      </c>
      <c r="C1164">
        <v>67623</v>
      </c>
      <c r="D1164" t="s">
        <v>2338</v>
      </c>
      <c r="E1164" s="3" t="str">
        <f>HYPERLINK("http://genome.ucsc.edu/cgi-bin/hgTracks?db=mm10&amp;lastVirtModeType=default&amp;lastVirtModeExtraState=&amp;virtModeType=default&amp;virtMode=0&amp;nonVirtPosition=&amp;position=chr6:146602275-146634592","chr6:146602275-146634592")</f>
        <v>chr6:146602275-146634592</v>
      </c>
      <c r="F1164" t="s">
        <v>25</v>
      </c>
      <c r="G1164">
        <v>-0.61561547378620096</v>
      </c>
      <c r="H1164">
        <v>0.15318144390619901</v>
      </c>
      <c r="I1164">
        <v>-4.0188645444756101</v>
      </c>
      <c r="J1164" s="1">
        <v>5.8479276720854503E-5</v>
      </c>
      <c r="K1164">
        <v>6.75874961706144E-4</v>
      </c>
      <c r="L1164" t="s">
        <v>26</v>
      </c>
      <c r="M1164" t="s">
        <v>27</v>
      </c>
      <c r="N1164">
        <v>877.91458486183205</v>
      </c>
      <c r="O1164">
        <v>1110.8980894690999</v>
      </c>
      <c r="P1164">
        <v>703.17695640637999</v>
      </c>
      <c r="Q1164">
        <v>1092.4269752632299</v>
      </c>
      <c r="R1164">
        <v>1075.9461970986699</v>
      </c>
      <c r="S1164">
        <v>1164.3210960454101</v>
      </c>
      <c r="T1164">
        <v>522.45683757626398</v>
      </c>
      <c r="U1164">
        <v>734.45106383873895</v>
      </c>
      <c r="V1164">
        <v>878.37042691777106</v>
      </c>
      <c r="W1164">
        <v>677.42949729274403</v>
      </c>
    </row>
    <row r="1165" spans="1:23" x14ac:dyDescent="0.2">
      <c r="A1165" t="s">
        <v>2339</v>
      </c>
      <c r="B1165" s="3" t="str">
        <f>HYPERLINK("http://www.ncbi.nlm.nih.gov/gene/244867","Arhgap20")</f>
        <v>Arhgap20</v>
      </c>
      <c r="C1165">
        <v>244867</v>
      </c>
      <c r="D1165" t="s">
        <v>2340</v>
      </c>
      <c r="E1165" s="3" t="str">
        <f>HYPERLINK("http://genome.ucsc.edu/cgi-bin/hgTracks?db=mm10&amp;lastVirtModeType=default&amp;lastVirtModeExtraState=&amp;virtModeType=default&amp;virtMode=0&amp;nonVirtPosition=&amp;position=chr9:51765351-51853059","chr9:51765351-51853059")</f>
        <v>chr9:51765351-51853059</v>
      </c>
      <c r="F1165" t="s">
        <v>30</v>
      </c>
      <c r="G1165">
        <v>-0.61162621931042105</v>
      </c>
      <c r="H1165">
        <v>0.15219158138786901</v>
      </c>
      <c r="I1165">
        <v>-4.0187914057588801</v>
      </c>
      <c r="J1165" s="1">
        <v>5.8497429663014002E-5</v>
      </c>
      <c r="K1165">
        <v>6.75874961706144E-4</v>
      </c>
      <c r="L1165" t="s">
        <v>26</v>
      </c>
      <c r="M1165" t="s">
        <v>27</v>
      </c>
      <c r="N1165">
        <v>225.78795994600799</v>
      </c>
      <c r="O1165">
        <v>282.22370765858301</v>
      </c>
      <c r="P1165">
        <v>183.461149161577</v>
      </c>
      <c r="Q1165">
        <v>330.17797978139498</v>
      </c>
      <c r="R1165">
        <v>258.27259789361801</v>
      </c>
      <c r="S1165">
        <v>258.220545300737</v>
      </c>
      <c r="T1165">
        <v>192.48409805441301</v>
      </c>
      <c r="U1165">
        <v>196.99562062146899</v>
      </c>
      <c r="V1165">
        <v>180.970791475521</v>
      </c>
      <c r="W1165">
        <v>163.394086494905</v>
      </c>
    </row>
    <row r="1166" spans="1:23" x14ac:dyDescent="0.2">
      <c r="A1166" t="s">
        <v>2341</v>
      </c>
      <c r="B1166" s="3" t="str">
        <f>HYPERLINK("http://www.ncbi.nlm.nih.gov/gene/15116","Has1")</f>
        <v>Has1</v>
      </c>
      <c r="C1166">
        <v>15116</v>
      </c>
      <c r="D1166" t="s">
        <v>2342</v>
      </c>
      <c r="E1166" s="3" t="str">
        <f>HYPERLINK("http://genome.ucsc.edu/cgi-bin/hgTracks?db=mm10&amp;lastVirtModeType=default&amp;lastVirtModeExtraState=&amp;virtModeType=default&amp;virtMode=0&amp;nonVirtPosition=&amp;position=chr17:17843325-17855188","chr17:17843325-17855188")</f>
        <v>chr17:17843325-17855188</v>
      </c>
      <c r="F1166" t="s">
        <v>25</v>
      </c>
      <c r="G1166">
        <v>1.28422665367056</v>
      </c>
      <c r="H1166">
        <v>0.31983779662911099</v>
      </c>
      <c r="I1166">
        <v>4.0152435615974804</v>
      </c>
      <c r="J1166" s="1">
        <v>5.9384436377626497E-5</v>
      </c>
      <c r="K1166">
        <v>6.8498290093320499E-4</v>
      </c>
      <c r="L1166" t="s">
        <v>26</v>
      </c>
      <c r="M1166" t="s">
        <v>27</v>
      </c>
      <c r="N1166">
        <v>28.452102786323099</v>
      </c>
      <c r="O1166">
        <v>13.901431931558101</v>
      </c>
      <c r="P1166">
        <v>39.365105927396897</v>
      </c>
      <c r="Q1166">
        <v>20.0445316562061</v>
      </c>
      <c r="R1166">
        <v>8.7228630712969295</v>
      </c>
      <c r="S1166">
        <v>12.936901067171201</v>
      </c>
      <c r="T1166">
        <v>22.914773577906299</v>
      </c>
      <c r="U1166">
        <v>38.5426214259396</v>
      </c>
      <c r="V1166">
        <v>56.645329039085702</v>
      </c>
      <c r="W1166">
        <v>39.357699666655897</v>
      </c>
    </row>
    <row r="1167" spans="1:23" x14ac:dyDescent="0.2">
      <c r="A1167" t="s">
        <v>2343</v>
      </c>
      <c r="B1167" s="3" t="str">
        <f>HYPERLINK("http://www.ncbi.nlm.nih.gov/gene/67452","Pnpla8")</f>
        <v>Pnpla8</v>
      </c>
      <c r="C1167">
        <v>67452</v>
      </c>
      <c r="D1167" t="s">
        <v>2344</v>
      </c>
      <c r="E1167" s="3" t="str">
        <f>HYPERLINK("http://genome.ucsc.edu/cgi-bin/hgTracks?db=mm10&amp;lastVirtModeType=default&amp;lastVirtModeExtraState=&amp;virtModeType=default&amp;virtMode=0&amp;nonVirtPosition=&amp;position=chr12:44269153-44313435","chr12:44269153-44313435")</f>
        <v>chr12:44269153-44313435</v>
      </c>
      <c r="F1167" t="s">
        <v>30</v>
      </c>
      <c r="G1167">
        <v>-0.64119687898642297</v>
      </c>
      <c r="H1167">
        <v>0.15969290292427599</v>
      </c>
      <c r="I1167">
        <v>-4.0151870699630798</v>
      </c>
      <c r="J1167" s="1">
        <v>5.9398662494274001E-5</v>
      </c>
      <c r="K1167">
        <v>6.8498290093320499E-4</v>
      </c>
      <c r="L1167" t="s">
        <v>26</v>
      </c>
      <c r="M1167" t="s">
        <v>27</v>
      </c>
      <c r="N1167">
        <v>336.67939991285999</v>
      </c>
      <c r="O1167">
        <v>427.52534222448901</v>
      </c>
      <c r="P1167">
        <v>268.54494317913799</v>
      </c>
      <c r="Q1167">
        <v>526.16895597540997</v>
      </c>
      <c r="R1167">
        <v>410.73307418324202</v>
      </c>
      <c r="S1167">
        <v>345.67399651481401</v>
      </c>
      <c r="T1167">
        <v>274.97728293487597</v>
      </c>
      <c r="U1167">
        <v>248.385782522722</v>
      </c>
      <c r="V1167">
        <v>272.92749446104898</v>
      </c>
      <c r="W1167">
        <v>277.88921279790401</v>
      </c>
    </row>
    <row r="1168" spans="1:23" x14ac:dyDescent="0.2">
      <c r="A1168" t="s">
        <v>2345</v>
      </c>
      <c r="B1168" s="3" t="str">
        <f>HYPERLINK("http://www.ncbi.nlm.nih.gov/gene/77031","Slc9a8")</f>
        <v>Slc9a8</v>
      </c>
      <c r="C1168">
        <v>77031</v>
      </c>
      <c r="D1168" t="s">
        <v>2346</v>
      </c>
      <c r="E1168" s="3" t="str">
        <f>HYPERLINK("http://genome.ucsc.edu/cgi-bin/hgTracks?db=mm10&amp;lastVirtModeType=default&amp;lastVirtModeExtraState=&amp;virtModeType=default&amp;virtMode=0&amp;nonVirtPosition=&amp;position=chr2:167421709-167477000","chr2:167421709-167477000")</f>
        <v>chr2:167421709-167477000</v>
      </c>
      <c r="F1168" t="s">
        <v>30</v>
      </c>
      <c r="G1168">
        <v>0.78096583309774303</v>
      </c>
      <c r="H1168">
        <v>0.19451076764794101</v>
      </c>
      <c r="I1168">
        <v>4.0150262247243296</v>
      </c>
      <c r="J1168" s="1">
        <v>5.9439185339734497E-5</v>
      </c>
      <c r="K1168">
        <v>6.8498290093320499E-4</v>
      </c>
      <c r="L1168" t="s">
        <v>26</v>
      </c>
      <c r="M1168" t="s">
        <v>27</v>
      </c>
      <c r="N1168">
        <v>170.01772556214701</v>
      </c>
      <c r="O1168">
        <v>117.10742236909201</v>
      </c>
      <c r="P1168">
        <v>209.70045295693799</v>
      </c>
      <c r="Q1168">
        <v>82.962089354853006</v>
      </c>
      <c r="R1168">
        <v>119.844553501297</v>
      </c>
      <c r="S1168">
        <v>148.51562425112499</v>
      </c>
      <c r="T1168">
        <v>210.81591691673799</v>
      </c>
      <c r="U1168">
        <v>231.255728555638</v>
      </c>
      <c r="V1168">
        <v>211.86824367865799</v>
      </c>
      <c r="W1168">
        <v>184.861922676717</v>
      </c>
    </row>
    <row r="1169" spans="1:23" x14ac:dyDescent="0.2">
      <c r="A1169" t="s">
        <v>2347</v>
      </c>
      <c r="B1169" s="3" t="str">
        <f>HYPERLINK("http://www.ncbi.nlm.nih.gov/gene/214552","Cep164")</f>
        <v>Cep164</v>
      </c>
      <c r="C1169">
        <v>214552</v>
      </c>
      <c r="D1169" t="s">
        <v>2348</v>
      </c>
      <c r="E1169" s="3" t="str">
        <f>HYPERLINK("http://genome.ucsc.edu/cgi-bin/hgTracks?db=mm10&amp;lastVirtModeType=default&amp;lastVirtModeExtraState=&amp;virtModeType=default&amp;virtMode=0&amp;nonVirtPosition=&amp;position=chr9:45766945-45828638","chr9:45766945-45828638")</f>
        <v>chr9:45766945-45828638</v>
      </c>
      <c r="F1169" t="s">
        <v>25</v>
      </c>
      <c r="G1169">
        <v>0.71767147078473603</v>
      </c>
      <c r="H1169">
        <v>0.17879853814514901</v>
      </c>
      <c r="I1169">
        <v>4.0138553605070797</v>
      </c>
      <c r="J1169" s="1">
        <v>5.97349590747905E-5</v>
      </c>
      <c r="K1169">
        <v>6.8779951588178695E-4</v>
      </c>
      <c r="L1169" t="s">
        <v>26</v>
      </c>
      <c r="M1169" t="s">
        <v>27</v>
      </c>
      <c r="N1169">
        <v>245.64259837380399</v>
      </c>
      <c r="O1169">
        <v>174.81870653536799</v>
      </c>
      <c r="P1169">
        <v>298.76051725263102</v>
      </c>
      <c r="Q1169">
        <v>158.68587561163201</v>
      </c>
      <c r="R1169">
        <v>142.22059355375399</v>
      </c>
      <c r="S1169">
        <v>223.54965044071801</v>
      </c>
      <c r="T1169">
        <v>357.47046781533902</v>
      </c>
      <c r="U1169">
        <v>254.80955276037901</v>
      </c>
      <c r="V1169">
        <v>281.019684323776</v>
      </c>
      <c r="W1169">
        <v>301.74236411102902</v>
      </c>
    </row>
    <row r="1170" spans="1:23" x14ac:dyDescent="0.2">
      <c r="A1170" t="s">
        <v>2349</v>
      </c>
      <c r="B1170" s="3" t="str">
        <f>HYPERLINK("http://www.ncbi.nlm.nih.gov/gene/21745","Tep1")</f>
        <v>Tep1</v>
      </c>
      <c r="C1170">
        <v>21745</v>
      </c>
      <c r="D1170" t="s">
        <v>2350</v>
      </c>
      <c r="E1170" s="3" t="str">
        <f>HYPERLINK("http://genome.ucsc.edu/cgi-bin/hgTracks?db=mm10&amp;lastVirtModeType=default&amp;lastVirtModeExtraState=&amp;virtModeType=default&amp;virtMode=0&amp;nonVirtPosition=&amp;position=chr14:50824060-50870554","chr14:50824060-50870554")</f>
        <v>chr14:50824060-50870554</v>
      </c>
      <c r="F1170" t="s">
        <v>25</v>
      </c>
      <c r="G1170">
        <v>0.95525877909558499</v>
      </c>
      <c r="H1170">
        <v>0.23803173828384599</v>
      </c>
      <c r="I1170">
        <v>4.0131571780417996</v>
      </c>
      <c r="J1170" s="1">
        <v>5.99119907064612E-5</v>
      </c>
      <c r="K1170">
        <v>6.8924524703627295E-4</v>
      </c>
      <c r="L1170" t="s">
        <v>26</v>
      </c>
      <c r="M1170" t="s">
        <v>27</v>
      </c>
      <c r="N1170">
        <v>107.915702530602</v>
      </c>
      <c r="O1170">
        <v>64.965806641735497</v>
      </c>
      <c r="P1170">
        <v>140.12812444725199</v>
      </c>
      <c r="Q1170">
        <v>76.837371348790001</v>
      </c>
      <c r="R1170">
        <v>46.648354685631404</v>
      </c>
      <c r="S1170">
        <v>71.411693890785003</v>
      </c>
      <c r="T1170">
        <v>210.81591691673799</v>
      </c>
      <c r="U1170">
        <v>109.204094040162</v>
      </c>
      <c r="V1170">
        <v>133.15330592304599</v>
      </c>
      <c r="W1170">
        <v>107.33918090906199</v>
      </c>
    </row>
    <row r="1171" spans="1:23" x14ac:dyDescent="0.2">
      <c r="A1171" t="s">
        <v>2351</v>
      </c>
      <c r="B1171" s="3" t="str">
        <f>HYPERLINK("http://www.ncbi.nlm.nih.gov/gene/19679","Pitpnm2")</f>
        <v>Pitpnm2</v>
      </c>
      <c r="C1171">
        <v>19679</v>
      </c>
      <c r="D1171" t="s">
        <v>2352</v>
      </c>
      <c r="E1171" s="3" t="str">
        <f>HYPERLINK("http://genome.ucsc.edu/cgi-bin/hgTracks?db=mm10&amp;lastVirtModeType=default&amp;lastVirtModeExtraState=&amp;virtModeType=default&amp;virtMode=0&amp;nonVirtPosition=&amp;position=chr5:124118688-124187182","chr5:124118688-124187182")</f>
        <v>chr5:124118688-124187182</v>
      </c>
      <c r="F1171" t="s">
        <v>25</v>
      </c>
      <c r="G1171">
        <v>0.67272618231047199</v>
      </c>
      <c r="H1171">
        <v>0.16768973053453901</v>
      </c>
      <c r="I1171">
        <v>4.0117315482948603</v>
      </c>
      <c r="J1171" s="1">
        <v>6.0275018444271401E-5</v>
      </c>
      <c r="K1171">
        <v>6.9282641372295098E-4</v>
      </c>
      <c r="L1171" t="s">
        <v>26</v>
      </c>
      <c r="M1171" t="s">
        <v>27</v>
      </c>
      <c r="N1171">
        <v>342.42500769440801</v>
      </c>
      <c r="O1171">
        <v>252.78593241783199</v>
      </c>
      <c r="P1171">
        <v>409.65431415184003</v>
      </c>
      <c r="Q1171">
        <v>293.429671745017</v>
      </c>
      <c r="R1171">
        <v>183.93863432952199</v>
      </c>
      <c r="S1171">
        <v>280.98949117895802</v>
      </c>
      <c r="T1171">
        <v>384.96819610882602</v>
      </c>
      <c r="U1171">
        <v>413.26255195590801</v>
      </c>
      <c r="V1171">
        <v>403.87383951244198</v>
      </c>
      <c r="W1171">
        <v>436.51266903018399</v>
      </c>
    </row>
    <row r="1172" spans="1:23" x14ac:dyDescent="0.2">
      <c r="A1172" t="s">
        <v>2353</v>
      </c>
      <c r="B1172" s="3" t="str">
        <f>HYPERLINK("http://www.ncbi.nlm.nih.gov/gene/50753","Fbxo8")</f>
        <v>Fbxo8</v>
      </c>
      <c r="C1172">
        <v>50753</v>
      </c>
      <c r="D1172" t="s">
        <v>2354</v>
      </c>
      <c r="E1172" s="3" t="str">
        <f>HYPERLINK("http://genome.ucsc.edu/cgi-bin/hgTracks?db=mm10&amp;lastVirtModeType=default&amp;lastVirtModeExtraState=&amp;virtModeType=default&amp;virtMode=0&amp;nonVirtPosition=&amp;position=chr8:56551133-56593939","chr8:56551133-56593939")</f>
        <v>chr8:56551133-56593939</v>
      </c>
      <c r="F1172" t="s">
        <v>30</v>
      </c>
      <c r="G1172">
        <v>-0.70094794036267305</v>
      </c>
      <c r="H1172">
        <v>0.174807999737985</v>
      </c>
      <c r="I1172">
        <v>-4.0098161492226003</v>
      </c>
      <c r="J1172" s="1">
        <v>6.07660429676285E-5</v>
      </c>
      <c r="K1172">
        <v>6.9787142485378505E-4</v>
      </c>
      <c r="L1172" t="s">
        <v>26</v>
      </c>
      <c r="M1172" t="s">
        <v>27</v>
      </c>
      <c r="N1172">
        <v>209.45531382595499</v>
      </c>
      <c r="O1172">
        <v>273.19404223792401</v>
      </c>
      <c r="P1172">
        <v>161.651267516979</v>
      </c>
      <c r="Q1172">
        <v>314.587788493235</v>
      </c>
      <c r="R1172">
        <v>218.83008661471001</v>
      </c>
      <c r="S1172">
        <v>286.16425160582702</v>
      </c>
      <c r="T1172">
        <v>160.40341504534399</v>
      </c>
      <c r="U1172">
        <v>143.46420197433099</v>
      </c>
      <c r="V1172">
        <v>191.26994220989999</v>
      </c>
      <c r="W1172">
        <v>151.46751083834201</v>
      </c>
    </row>
    <row r="1173" spans="1:23" x14ac:dyDescent="0.2">
      <c r="A1173" t="s">
        <v>2355</v>
      </c>
      <c r="B1173" s="3" t="str">
        <f>HYPERLINK("http://www.ncbi.nlm.nih.gov/gene/213753","Zfp598")</f>
        <v>Zfp598</v>
      </c>
      <c r="C1173">
        <v>213753</v>
      </c>
      <c r="D1173" t="s">
        <v>2356</v>
      </c>
      <c r="E1173" s="3" t="str">
        <f>HYPERLINK("http://genome.ucsc.edu/cgi-bin/hgTracks?db=mm10&amp;lastVirtModeType=default&amp;lastVirtModeExtraState=&amp;virtModeType=default&amp;virtMode=0&amp;nonVirtPosition=&amp;position=chr17:24669751-24682016","chr17:24669751-24682016")</f>
        <v>chr17:24669751-24682016</v>
      </c>
      <c r="F1173" t="s">
        <v>30</v>
      </c>
      <c r="G1173">
        <v>0.61329184063110398</v>
      </c>
      <c r="H1173">
        <v>0.15297677002276699</v>
      </c>
      <c r="I1173">
        <v>4.0090520968630203</v>
      </c>
      <c r="J1173" s="1">
        <v>6.0962967312704197E-5</v>
      </c>
      <c r="K1173">
        <v>6.9953307222315499E-4</v>
      </c>
      <c r="L1173" t="s">
        <v>26</v>
      </c>
      <c r="M1173" t="s">
        <v>27</v>
      </c>
      <c r="N1173">
        <v>227.04007099478599</v>
      </c>
      <c r="O1173">
        <v>172.756144036629</v>
      </c>
      <c r="P1173">
        <v>267.75301621340299</v>
      </c>
      <c r="Q1173">
        <v>146.993232145511</v>
      </c>
      <c r="R1173">
        <v>166.87216310307201</v>
      </c>
      <c r="S1173">
        <v>204.403036861305</v>
      </c>
      <c r="T1173">
        <v>247.47955464138801</v>
      </c>
      <c r="U1173">
        <v>284.787147202776</v>
      </c>
      <c r="V1173">
        <v>250.12223212063799</v>
      </c>
      <c r="W1173">
        <v>288.62313088881001</v>
      </c>
    </row>
    <row r="1174" spans="1:23" x14ac:dyDescent="0.2">
      <c r="A1174" t="s">
        <v>2357</v>
      </c>
      <c r="B1174" s="3" t="str">
        <f>HYPERLINK("http://www.ncbi.nlm.nih.gov/gene/234135","Whsc1l1")</f>
        <v>Whsc1l1</v>
      </c>
      <c r="C1174">
        <v>234135</v>
      </c>
      <c r="D1174" t="s">
        <v>2358</v>
      </c>
      <c r="E1174" s="3" t="str">
        <f>HYPERLINK("http://genome.ucsc.edu/cgi-bin/hgTracks?db=mm10&amp;lastVirtModeType=default&amp;lastVirtModeExtraState=&amp;virtModeType=default&amp;virtMode=0&amp;nonVirtPosition=&amp;position=chr8:25601600-25677972","chr8:25601600-25677972")</f>
        <v>chr8:25601600-25677972</v>
      </c>
      <c r="F1174" t="s">
        <v>30</v>
      </c>
      <c r="G1174">
        <v>0.57265001216101796</v>
      </c>
      <c r="H1174">
        <v>0.142901085709743</v>
      </c>
      <c r="I1174">
        <v>4.0073174344117399</v>
      </c>
      <c r="J1174" s="1">
        <v>6.1412299017448905E-5</v>
      </c>
      <c r="K1174">
        <v>7.0408569875227503E-4</v>
      </c>
      <c r="L1174" t="s">
        <v>26</v>
      </c>
      <c r="M1174" t="s">
        <v>27</v>
      </c>
      <c r="N1174">
        <v>600.676117039215</v>
      </c>
      <c r="O1174">
        <v>465.90587865299102</v>
      </c>
      <c r="P1174">
        <v>701.75379582888297</v>
      </c>
      <c r="Q1174">
        <v>435.96856352248301</v>
      </c>
      <c r="R1174">
        <v>398.21766195051202</v>
      </c>
      <c r="S1174">
        <v>563.53141048597695</v>
      </c>
      <c r="T1174">
        <v>705.77502619951497</v>
      </c>
      <c r="U1174">
        <v>665.93084797040103</v>
      </c>
      <c r="V1174">
        <v>667.23783686299703</v>
      </c>
      <c r="W1174">
        <v>768.07147228261795</v>
      </c>
    </row>
    <row r="1175" spans="1:23" x14ac:dyDescent="0.2">
      <c r="A1175" t="s">
        <v>2359</v>
      </c>
      <c r="B1175" s="3" t="str">
        <f>HYPERLINK("http://www.ncbi.nlm.nih.gov/gene/56457","Clptm1")</f>
        <v>Clptm1</v>
      </c>
      <c r="C1175">
        <v>56457</v>
      </c>
      <c r="D1175" t="s">
        <v>2360</v>
      </c>
      <c r="E1175" s="3" t="str">
        <f>HYPERLINK("http://genome.ucsc.edu/cgi-bin/hgTracks?db=mm10&amp;lastVirtModeType=default&amp;lastVirtModeExtraState=&amp;virtModeType=default&amp;virtMode=0&amp;nonVirtPosition=&amp;position=chr7:19631579-19665030","chr7:19631579-19665030")</f>
        <v>chr7:19631579-19665030</v>
      </c>
      <c r="F1175" t="s">
        <v>25</v>
      </c>
      <c r="G1175">
        <v>-0.48592131146678802</v>
      </c>
      <c r="H1175">
        <v>0.121330747133711</v>
      </c>
      <c r="I1175">
        <v>-4.0049313380662301</v>
      </c>
      <c r="J1175" s="1">
        <v>6.20354975742218E-5</v>
      </c>
      <c r="K1175">
        <v>7.1062219676339101E-4</v>
      </c>
      <c r="L1175" t="s">
        <v>26</v>
      </c>
      <c r="M1175" t="s">
        <v>27</v>
      </c>
      <c r="N1175">
        <v>683.35144029698495</v>
      </c>
      <c r="O1175">
        <v>824.88039350238898</v>
      </c>
      <c r="P1175">
        <v>577.204725392932</v>
      </c>
      <c r="Q1175">
        <v>834.63202646258196</v>
      </c>
      <c r="R1175">
        <v>764.95716586112599</v>
      </c>
      <c r="S1175">
        <v>875.051988183459</v>
      </c>
      <c r="T1175">
        <v>481.210245136033</v>
      </c>
      <c r="U1175">
        <v>644.51828051154598</v>
      </c>
      <c r="V1175">
        <v>620.15600493440604</v>
      </c>
      <c r="W1175">
        <v>562.93437098974505</v>
      </c>
    </row>
    <row r="1176" spans="1:23" x14ac:dyDescent="0.2">
      <c r="A1176" t="s">
        <v>2361</v>
      </c>
      <c r="B1176" s="3" t="str">
        <f>HYPERLINK("http://www.ncbi.nlm.nih.gov/gene/15400","Hoxa3")</f>
        <v>Hoxa3</v>
      </c>
      <c r="C1176">
        <v>15400</v>
      </c>
      <c r="D1176" t="s">
        <v>2362</v>
      </c>
      <c r="E1176" s="3" t="str">
        <f>HYPERLINK("http://genome.ucsc.edu/cgi-bin/hgTracks?db=mm10&amp;lastVirtModeType=default&amp;lastVirtModeExtraState=&amp;virtModeType=default&amp;virtMode=0&amp;nonVirtPosition=&amp;position=chr6:52169061-52213067","chr6:52169061-52213067")</f>
        <v>chr6:52169061-52213067</v>
      </c>
      <c r="F1176" t="s">
        <v>25</v>
      </c>
      <c r="G1176">
        <v>1.4037978162329801</v>
      </c>
      <c r="H1176">
        <v>0.35067482686157098</v>
      </c>
      <c r="I1176">
        <v>4.0031325567236404</v>
      </c>
      <c r="J1176" s="1">
        <v>6.2509254662221399E-5</v>
      </c>
      <c r="K1176">
        <v>7.1543711895880903E-4</v>
      </c>
      <c r="L1176" t="s">
        <v>26</v>
      </c>
      <c r="M1176" t="s">
        <v>27</v>
      </c>
      <c r="N1176">
        <v>22.259062116667099</v>
      </c>
      <c r="O1176">
        <v>8.2704951718040203</v>
      </c>
      <c r="P1176">
        <v>32.750487325314303</v>
      </c>
      <c r="Q1176">
        <v>13.363021104137401</v>
      </c>
      <c r="R1176">
        <v>8.3436081551535803</v>
      </c>
      <c r="S1176">
        <v>3.10485625612109</v>
      </c>
      <c r="T1176">
        <v>50.4125018713939</v>
      </c>
      <c r="U1176">
        <v>23.553824204740899</v>
      </c>
      <c r="V1176">
        <v>27.219184083716499</v>
      </c>
      <c r="W1176">
        <v>29.816439141406001</v>
      </c>
    </row>
    <row r="1177" spans="1:23" x14ac:dyDescent="0.2">
      <c r="A1177" t="s">
        <v>2363</v>
      </c>
      <c r="B1177" s="3" t="str">
        <f>HYPERLINK("http://www.ncbi.nlm.nih.gov/gene/68953","Chmp2a")</f>
        <v>Chmp2a</v>
      </c>
      <c r="C1177">
        <v>68953</v>
      </c>
      <c r="D1177" t="s">
        <v>2364</v>
      </c>
      <c r="E1177" s="3" t="str">
        <f>HYPERLINK("http://genome.ucsc.edu/cgi-bin/hgTracks?db=mm10&amp;lastVirtModeType=default&amp;lastVirtModeExtraState=&amp;virtModeType=default&amp;virtMode=0&amp;nonVirtPosition=&amp;position=chr7:13032005-13034777","chr7:13032005-13034777")</f>
        <v>chr7:13032005-13034777</v>
      </c>
      <c r="F1177" t="s">
        <v>25</v>
      </c>
      <c r="G1177">
        <v>-0.64820818619910603</v>
      </c>
      <c r="H1177">
        <v>0.162026949734875</v>
      </c>
      <c r="I1177">
        <v>-4.0006195713723596</v>
      </c>
      <c r="J1177" s="1">
        <v>6.3176854246828798E-5</v>
      </c>
      <c r="K1177">
        <v>7.2246050829998605E-4</v>
      </c>
      <c r="L1177" t="s">
        <v>26</v>
      </c>
      <c r="M1177" t="s">
        <v>27</v>
      </c>
      <c r="N1177">
        <v>278.79086773062198</v>
      </c>
      <c r="O1177">
        <v>359.66809484659802</v>
      </c>
      <c r="P1177">
        <v>218.13294739363999</v>
      </c>
      <c r="Q1177">
        <v>361.91515490372097</v>
      </c>
      <c r="R1177">
        <v>393.66660295679202</v>
      </c>
      <c r="S1177">
        <v>323.42252667928</v>
      </c>
      <c r="T1177">
        <v>142.07159618301901</v>
      </c>
      <c r="U1177">
        <v>263.374579743921</v>
      </c>
      <c r="V1177">
        <v>246.44396400121701</v>
      </c>
      <c r="W1177">
        <v>220.64164964640401</v>
      </c>
    </row>
    <row r="1178" spans="1:23" x14ac:dyDescent="0.2">
      <c r="A1178" t="s">
        <v>2365</v>
      </c>
      <c r="B1178" s="3" t="str">
        <f>HYPERLINK("http://www.ncbi.nlm.nih.gov/gene/208647","Creb3l2")</f>
        <v>Creb3l2</v>
      </c>
      <c r="C1178">
        <v>208647</v>
      </c>
      <c r="D1178" t="s">
        <v>2366</v>
      </c>
      <c r="E1178" s="3" t="str">
        <f>HYPERLINK("http://genome.ucsc.edu/cgi-bin/hgTracks?db=mm10&amp;lastVirtModeType=default&amp;lastVirtModeExtraState=&amp;virtModeType=default&amp;virtMode=0&amp;nonVirtPosition=&amp;position=chr6:37331020-37442148","chr6:37331020-37442148")</f>
        <v>chr6:37331020-37442148</v>
      </c>
      <c r="F1178" t="s">
        <v>25</v>
      </c>
      <c r="G1178">
        <v>0.83538523935419595</v>
      </c>
      <c r="H1178">
        <v>0.208993072047366</v>
      </c>
      <c r="I1178">
        <v>3.9971910607872401</v>
      </c>
      <c r="J1178" s="1">
        <v>6.4098564227360494E-5</v>
      </c>
      <c r="K1178">
        <v>7.3206708348247298E-4</v>
      </c>
      <c r="L1178" t="s">
        <v>26</v>
      </c>
      <c r="M1178" t="s">
        <v>27</v>
      </c>
      <c r="N1178">
        <v>405.90869779253802</v>
      </c>
      <c r="O1178">
        <v>273.24212638779397</v>
      </c>
      <c r="P1178">
        <v>505.40862634609601</v>
      </c>
      <c r="Q1178">
        <v>332.40514996541799</v>
      </c>
      <c r="R1178">
        <v>177.870555671229</v>
      </c>
      <c r="S1178">
        <v>309.45067352673499</v>
      </c>
      <c r="T1178">
        <v>430.797743264639</v>
      </c>
      <c r="U1178">
        <v>415.40380870179399</v>
      </c>
      <c r="V1178">
        <v>601.76466433730002</v>
      </c>
      <c r="W1178">
        <v>573.66828908065099</v>
      </c>
    </row>
    <row r="1179" spans="1:23" x14ac:dyDescent="0.2">
      <c r="A1179" t="s">
        <v>2367</v>
      </c>
      <c r="B1179" s="3" t="str">
        <f>HYPERLINK("http://www.ncbi.nlm.nih.gov/gene/19668","Rbpjl")</f>
        <v>Rbpjl</v>
      </c>
      <c r="C1179">
        <v>19668</v>
      </c>
      <c r="D1179" t="s">
        <v>2368</v>
      </c>
      <c r="E1179" s="3" t="str">
        <f>HYPERLINK("http://genome.ucsc.edu/cgi-bin/hgTracks?db=mm10&amp;lastVirtModeType=default&amp;lastVirtModeExtraState=&amp;virtModeType=default&amp;virtMode=0&amp;nonVirtPosition=&amp;position=chr2:164403193-164415448","chr2:164403193-164415448")</f>
        <v>chr2:164403193-164415448</v>
      </c>
      <c r="F1179" t="s">
        <v>30</v>
      </c>
      <c r="G1179">
        <v>1.0604454281187601</v>
      </c>
      <c r="H1179">
        <v>0.26530698569355998</v>
      </c>
      <c r="I1179">
        <v>3.9970505312800499</v>
      </c>
      <c r="J1179" s="1">
        <v>6.4136613961300701E-5</v>
      </c>
      <c r="K1179">
        <v>7.3206708348247298E-4</v>
      </c>
      <c r="L1179" t="s">
        <v>26</v>
      </c>
      <c r="M1179" t="s">
        <v>27</v>
      </c>
      <c r="N1179">
        <v>64.879083118929103</v>
      </c>
      <c r="O1179">
        <v>37.054177525973202</v>
      </c>
      <c r="P1179">
        <v>85.747762313646106</v>
      </c>
      <c r="Q1179">
        <v>54.565669508561101</v>
      </c>
      <c r="R1179">
        <v>25.0308244654607</v>
      </c>
      <c r="S1179">
        <v>31.566038603897699</v>
      </c>
      <c r="T1179">
        <v>100.825003742788</v>
      </c>
      <c r="U1179">
        <v>64.237702376566105</v>
      </c>
      <c r="V1179">
        <v>95.634971104949898</v>
      </c>
      <c r="W1179">
        <v>82.293372030280594</v>
      </c>
    </row>
    <row r="1180" spans="1:23" x14ac:dyDescent="0.2">
      <c r="A1180" t="s">
        <v>2369</v>
      </c>
      <c r="B1180" s="3" t="str">
        <f>HYPERLINK("http://www.ncbi.nlm.nih.gov/gene/100090","Zbtb48")</f>
        <v>Zbtb48</v>
      </c>
      <c r="C1180">
        <v>100090</v>
      </c>
      <c r="D1180" t="s">
        <v>2370</v>
      </c>
      <c r="E1180" s="3" t="str">
        <f>HYPERLINK("http://genome.ucsc.edu/cgi-bin/hgTracks?db=mm10&amp;lastVirtModeType=default&amp;lastVirtModeExtraState=&amp;virtModeType=default&amp;virtMode=0&amp;nonVirtPosition=&amp;position=chr4:152019775-152027671","chr4:152019775-152027671")</f>
        <v>chr4:152019775-152027671</v>
      </c>
      <c r="F1180" t="s">
        <v>25</v>
      </c>
      <c r="G1180">
        <v>1.0063210424658999</v>
      </c>
      <c r="H1180">
        <v>0.25177620675913798</v>
      </c>
      <c r="I1180">
        <v>3.9968869791917898</v>
      </c>
      <c r="J1180" s="1">
        <v>6.4180924203451805E-5</v>
      </c>
      <c r="K1180">
        <v>7.3206708348247298E-4</v>
      </c>
      <c r="L1180" t="s">
        <v>26</v>
      </c>
      <c r="M1180" t="s">
        <v>27</v>
      </c>
      <c r="N1180">
        <v>46.971698511684103</v>
      </c>
      <c r="O1180">
        <v>27.738893295723901</v>
      </c>
      <c r="P1180">
        <v>61.396302423654298</v>
      </c>
      <c r="Q1180">
        <v>26.726042208274801</v>
      </c>
      <c r="R1180">
        <v>29.581883459180901</v>
      </c>
      <c r="S1180">
        <v>26.908754219716101</v>
      </c>
      <c r="T1180">
        <v>50.4125018713939</v>
      </c>
      <c r="U1180">
        <v>83.509013089535898</v>
      </c>
      <c r="V1180">
        <v>44.874871056937998</v>
      </c>
      <c r="W1180">
        <v>66.788823676749402</v>
      </c>
    </row>
    <row r="1181" spans="1:23" x14ac:dyDescent="0.2">
      <c r="A1181" t="s">
        <v>2371</v>
      </c>
      <c r="B1181" s="3" t="str">
        <f>HYPERLINK("http://www.ncbi.nlm.nih.gov/gene/14758","Gpm6b")</f>
        <v>Gpm6b</v>
      </c>
      <c r="C1181">
        <v>14758</v>
      </c>
      <c r="D1181" t="s">
        <v>2372</v>
      </c>
      <c r="E1181" s="3" t="str">
        <f>HYPERLINK("http://genome.ucsc.edu/cgi-bin/hgTracks?db=mm10&amp;lastVirtModeType=default&amp;lastVirtModeExtraState=&amp;virtModeType=default&amp;virtMode=0&amp;nonVirtPosition=&amp;position=chrX:166344552-166389033","chrX:166344552-166389033")</f>
        <v>chrX:166344552-166389033</v>
      </c>
      <c r="F1181" t="s">
        <v>30</v>
      </c>
      <c r="G1181">
        <v>-0.71921691085510797</v>
      </c>
      <c r="H1181">
        <v>0.18010592876081799</v>
      </c>
      <c r="I1181">
        <v>-3.99329947550051</v>
      </c>
      <c r="J1181" s="1">
        <v>6.5160185874224506E-5</v>
      </c>
      <c r="K1181">
        <v>7.4260429705680104E-4</v>
      </c>
      <c r="L1181" t="s">
        <v>26</v>
      </c>
      <c r="M1181" t="s">
        <v>27</v>
      </c>
      <c r="N1181">
        <v>5215.9394255181696</v>
      </c>
      <c r="O1181">
        <v>6809.8746533571903</v>
      </c>
      <c r="P1181">
        <v>4020.4880046389098</v>
      </c>
      <c r="Q1181">
        <v>8768.3690144981592</v>
      </c>
      <c r="R1181">
        <v>6266.0497245203396</v>
      </c>
      <c r="S1181">
        <v>5395.2052210530701</v>
      </c>
      <c r="T1181">
        <v>4023.8342402803501</v>
      </c>
      <c r="U1181">
        <v>3717.22171085729</v>
      </c>
      <c r="V1181">
        <v>4616.2264898735402</v>
      </c>
      <c r="W1181">
        <v>3724.66957754444</v>
      </c>
    </row>
    <row r="1182" spans="1:23" x14ac:dyDescent="0.2">
      <c r="A1182" t="s">
        <v>2373</v>
      </c>
      <c r="B1182" s="3" t="str">
        <f>HYPERLINK("http://www.ncbi.nlm.nih.gov/gene/53310","Dlg3")</f>
        <v>Dlg3</v>
      </c>
      <c r="C1182">
        <v>53310</v>
      </c>
      <c r="D1182" t="s">
        <v>2374</v>
      </c>
      <c r="E1182" s="3" t="str">
        <f>HYPERLINK("http://genome.ucsc.edu/cgi-bin/hgTracks?db=mm10&amp;lastVirtModeType=default&amp;lastVirtModeExtraState=&amp;virtModeType=default&amp;virtMode=0&amp;nonVirtPosition=&amp;position=chrX:100774494-100818410","chrX:100774494-100818410")</f>
        <v>chrX:100774494-100818410</v>
      </c>
      <c r="F1182" t="s">
        <v>30</v>
      </c>
      <c r="G1182">
        <v>-0.65239754626380397</v>
      </c>
      <c r="H1182">
        <v>0.16339467606303901</v>
      </c>
      <c r="I1182">
        <v>-3.99277113540776</v>
      </c>
      <c r="J1182" s="1">
        <v>6.5305593180927404E-5</v>
      </c>
      <c r="K1182">
        <v>7.4362856997091799E-4</v>
      </c>
      <c r="L1182" t="s">
        <v>26</v>
      </c>
      <c r="M1182" t="s">
        <v>27</v>
      </c>
      <c r="N1182">
        <v>266.138413638499</v>
      </c>
      <c r="O1182">
        <v>339.19838374581002</v>
      </c>
      <c r="P1182">
        <v>211.34343605801601</v>
      </c>
      <c r="Q1182">
        <v>419.821579688317</v>
      </c>
      <c r="R1182">
        <v>312.12679598597299</v>
      </c>
      <c r="S1182">
        <v>285.64677556314001</v>
      </c>
      <c r="T1182">
        <v>215.39887163231899</v>
      </c>
      <c r="U1182">
        <v>199.136877367355</v>
      </c>
      <c r="V1182">
        <v>203.040400192048</v>
      </c>
      <c r="W1182">
        <v>227.797595040342</v>
      </c>
    </row>
    <row r="1183" spans="1:23" x14ac:dyDescent="0.2">
      <c r="A1183" t="s">
        <v>2375</v>
      </c>
      <c r="B1183" s="3" t="str">
        <f>HYPERLINK("http://www.ncbi.nlm.nih.gov/gene/208084","Pif1")</f>
        <v>Pif1</v>
      </c>
      <c r="C1183">
        <v>208084</v>
      </c>
      <c r="D1183" t="s">
        <v>2376</v>
      </c>
      <c r="E1183" s="3" t="str">
        <f>HYPERLINK("http://genome.ucsc.edu/cgi-bin/hgTracks?db=mm10&amp;lastVirtModeType=default&amp;lastVirtModeExtraState=&amp;virtModeType=default&amp;virtMode=0&amp;nonVirtPosition=&amp;position=chr9:65587204-65595962","chr9:65587204-65595962")</f>
        <v>chr9:65587204-65595962</v>
      </c>
      <c r="F1183" t="s">
        <v>30</v>
      </c>
      <c r="G1183">
        <v>1.1112029909791299</v>
      </c>
      <c r="H1183">
        <v>0.27842062984983501</v>
      </c>
      <c r="I1183">
        <v>3.9910943078407901</v>
      </c>
      <c r="J1183" s="1">
        <v>6.5769118580657704E-5</v>
      </c>
      <c r="K1183">
        <v>7.4827040519421205E-4</v>
      </c>
      <c r="L1183" t="s">
        <v>26</v>
      </c>
      <c r="M1183" t="s">
        <v>27</v>
      </c>
      <c r="N1183">
        <v>117.44312600127</v>
      </c>
      <c r="O1183">
        <v>64.324310708059997</v>
      </c>
      <c r="P1183">
        <v>157.28223747117701</v>
      </c>
      <c r="Q1183">
        <v>27.8396273002862</v>
      </c>
      <c r="R1183">
        <v>75.092473396382204</v>
      </c>
      <c r="S1183">
        <v>90.040831427511506</v>
      </c>
      <c r="T1183">
        <v>132.90568675185699</v>
      </c>
      <c r="U1183">
        <v>186.289336892042</v>
      </c>
      <c r="V1183">
        <v>169.20033349337299</v>
      </c>
      <c r="W1183">
        <v>140.73359274743601</v>
      </c>
    </row>
    <row r="1184" spans="1:23" x14ac:dyDescent="0.2">
      <c r="A1184" t="s">
        <v>2377</v>
      </c>
      <c r="B1184" s="3" t="str">
        <f>HYPERLINK("http://www.ncbi.nlm.nih.gov/gene/170737","Znrf1")</f>
        <v>Znrf1</v>
      </c>
      <c r="C1184">
        <v>170737</v>
      </c>
      <c r="D1184" t="s">
        <v>2378</v>
      </c>
      <c r="E1184" s="3" t="str">
        <f>HYPERLINK("http://genome.ucsc.edu/cgi-bin/hgTracks?db=mm10&amp;lastVirtModeType=default&amp;lastVirtModeExtraState=&amp;virtModeType=default&amp;virtMode=0&amp;nonVirtPosition=&amp;position=chr8:111536639-111626030","chr8:111536639-111626030")</f>
        <v>chr8:111536639-111626030</v>
      </c>
      <c r="F1184" t="s">
        <v>30</v>
      </c>
      <c r="G1184">
        <v>0.51094208532019303</v>
      </c>
      <c r="H1184">
        <v>0.12805978811854299</v>
      </c>
      <c r="I1184">
        <v>3.9898713938775301</v>
      </c>
      <c r="J1184" s="1">
        <v>6.6109130253560406E-5</v>
      </c>
      <c r="K1184">
        <v>7.5150030834077002E-4</v>
      </c>
      <c r="L1184" t="s">
        <v>26</v>
      </c>
      <c r="M1184" t="s">
        <v>27</v>
      </c>
      <c r="N1184">
        <v>244.436770013027</v>
      </c>
      <c r="O1184">
        <v>196.65779309210501</v>
      </c>
      <c r="P1184">
        <v>280.27100270371801</v>
      </c>
      <c r="Q1184">
        <v>186.52550291191801</v>
      </c>
      <c r="R1184">
        <v>190.765222820102</v>
      </c>
      <c r="S1184">
        <v>212.682653544294</v>
      </c>
      <c r="T1184">
        <v>247.47955464138801</v>
      </c>
      <c r="U1184">
        <v>310.48222815340301</v>
      </c>
      <c r="V1184">
        <v>278.07706982823902</v>
      </c>
      <c r="W1184">
        <v>285.04515819184098</v>
      </c>
    </row>
    <row r="1185" spans="1:23" x14ac:dyDescent="0.2">
      <c r="A1185" t="s">
        <v>2379</v>
      </c>
      <c r="B1185" s="3" t="str">
        <f>HYPERLINK("http://www.ncbi.nlm.nih.gov/gene/78330","Ndufv3")</f>
        <v>Ndufv3</v>
      </c>
      <c r="C1185">
        <v>78330</v>
      </c>
      <c r="D1185" t="s">
        <v>2380</v>
      </c>
      <c r="E1185" s="3" t="str">
        <f>HYPERLINK("http://genome.ucsc.edu/cgi-bin/hgTracks?db=mm10&amp;lastVirtModeType=default&amp;lastVirtModeExtraState=&amp;virtModeType=default&amp;virtMode=0&amp;nonVirtPosition=&amp;position=chr17:31520114-31531325","chr17:31520114-31531325")</f>
        <v>chr17:31520114-31531325</v>
      </c>
      <c r="F1185" t="s">
        <v>30</v>
      </c>
      <c r="G1185">
        <v>-0.55887315866805198</v>
      </c>
      <c r="H1185">
        <v>0.140190976980337</v>
      </c>
      <c r="I1185">
        <v>-3.9865130460317499</v>
      </c>
      <c r="J1185" s="1">
        <v>6.7051442563522198E-5</v>
      </c>
      <c r="K1185">
        <v>7.6156562117737502E-4</v>
      </c>
      <c r="L1185" t="s">
        <v>26</v>
      </c>
      <c r="M1185" t="s">
        <v>27</v>
      </c>
      <c r="N1185">
        <v>196.46372251179</v>
      </c>
      <c r="O1185">
        <v>242.65390792884199</v>
      </c>
      <c r="P1185">
        <v>161.82108344900001</v>
      </c>
      <c r="Q1185">
        <v>218.81947058025</v>
      </c>
      <c r="R1185">
        <v>262.82365688733802</v>
      </c>
      <c r="S1185">
        <v>246.318596318939</v>
      </c>
      <c r="T1185">
        <v>151.237505614182</v>
      </c>
      <c r="U1185">
        <v>169.15928292495701</v>
      </c>
      <c r="V1185">
        <v>161.108143630646</v>
      </c>
      <c r="W1185">
        <v>165.77940162621701</v>
      </c>
    </row>
    <row r="1186" spans="1:23" x14ac:dyDescent="0.2">
      <c r="A1186" t="s">
        <v>2381</v>
      </c>
      <c r="B1186" s="3" t="str">
        <f>HYPERLINK("http://www.ncbi.nlm.nih.gov/gene/320538","Ubn2")</f>
        <v>Ubn2</v>
      </c>
      <c r="C1186">
        <v>320538</v>
      </c>
      <c r="D1186" t="s">
        <v>2382</v>
      </c>
      <c r="E1186" s="3" t="str">
        <f>HYPERLINK("http://genome.ucsc.edu/cgi-bin/hgTracks?db=mm10&amp;lastVirtModeType=default&amp;lastVirtModeExtraState=&amp;virtModeType=default&amp;virtMode=0&amp;nonVirtPosition=&amp;position=chr6:38433924-38512763","chr6:38433924-38512763")</f>
        <v>chr6:38433924-38512763</v>
      </c>
      <c r="F1186" t="s">
        <v>30</v>
      </c>
      <c r="G1186">
        <v>0.55481875614812204</v>
      </c>
      <c r="H1186">
        <v>0.13918622648600201</v>
      </c>
      <c r="I1186">
        <v>3.9861613476813398</v>
      </c>
      <c r="J1186" s="1">
        <v>6.7150856839881307E-5</v>
      </c>
      <c r="K1186">
        <v>7.6204841012106003E-4</v>
      </c>
      <c r="L1186" t="s">
        <v>26</v>
      </c>
      <c r="M1186" t="s">
        <v>27</v>
      </c>
      <c r="N1186">
        <v>680.320162036022</v>
      </c>
      <c r="O1186">
        <v>534.98821820217995</v>
      </c>
      <c r="P1186">
        <v>789.31911991140305</v>
      </c>
      <c r="Q1186">
        <v>513.91951996328396</v>
      </c>
      <c r="R1186">
        <v>462.31174277873703</v>
      </c>
      <c r="S1186">
        <v>628.73339186451994</v>
      </c>
      <c r="T1186">
        <v>710.35798091509605</v>
      </c>
      <c r="U1186">
        <v>745.15734756816596</v>
      </c>
      <c r="V1186">
        <v>877.63477329388695</v>
      </c>
      <c r="W1186">
        <v>824.12637786846199</v>
      </c>
    </row>
    <row r="1187" spans="1:23" x14ac:dyDescent="0.2">
      <c r="A1187" t="s">
        <v>2383</v>
      </c>
      <c r="B1187" s="3" t="str">
        <f>HYPERLINK("http://www.ncbi.nlm.nih.gov/gene/67495","Tmem167b")</f>
        <v>Tmem167b</v>
      </c>
      <c r="C1187">
        <v>67495</v>
      </c>
      <c r="D1187" t="s">
        <v>2384</v>
      </c>
      <c r="E1187" s="3" t="str">
        <f>HYPERLINK("http://genome.ucsc.edu/cgi-bin/hgTracks?db=mm10&amp;lastVirtModeType=default&amp;lastVirtModeExtraState=&amp;virtModeType=default&amp;virtMode=0&amp;nonVirtPosition=&amp;position=chr3:108556424-108562466","chr3:108556424-108562466")</f>
        <v>chr3:108556424-108562466</v>
      </c>
      <c r="F1187" t="s">
        <v>25</v>
      </c>
      <c r="G1187">
        <v>-0.64617047774529401</v>
      </c>
      <c r="H1187">
        <v>0.16217956207803499</v>
      </c>
      <c r="I1187">
        <v>-3.9842904337994201</v>
      </c>
      <c r="J1187" s="1">
        <v>6.7682055297244601E-5</v>
      </c>
      <c r="K1187">
        <v>7.6651026963123702E-4</v>
      </c>
      <c r="L1187" t="s">
        <v>26</v>
      </c>
      <c r="M1187" t="s">
        <v>27</v>
      </c>
      <c r="N1187">
        <v>264.91648992022601</v>
      </c>
      <c r="O1187">
        <v>337.65466821898298</v>
      </c>
      <c r="P1187">
        <v>210.36285619615799</v>
      </c>
      <c r="Q1187">
        <v>410.356106406219</v>
      </c>
      <c r="R1187">
        <v>304.54169766310599</v>
      </c>
      <c r="S1187">
        <v>298.066200587624</v>
      </c>
      <c r="T1187">
        <v>219.98182634790101</v>
      </c>
      <c r="U1187">
        <v>177.72430990849901</v>
      </c>
      <c r="V1187">
        <v>230.25958427576401</v>
      </c>
      <c r="W1187">
        <v>213.485704252467</v>
      </c>
    </row>
    <row r="1188" spans="1:23" x14ac:dyDescent="0.2">
      <c r="A1188" t="s">
        <v>2385</v>
      </c>
      <c r="B1188" s="3" t="str">
        <f>HYPERLINK("http://www.ncbi.nlm.nih.gov/gene/22141","Tub")</f>
        <v>Tub</v>
      </c>
      <c r="C1188">
        <v>22141</v>
      </c>
      <c r="D1188" t="s">
        <v>2386</v>
      </c>
      <c r="E1188" s="3" t="str">
        <f>HYPERLINK("http://genome.ucsc.edu/cgi-bin/hgTracks?db=mm10&amp;lastVirtModeType=default&amp;lastVirtModeExtraState=&amp;virtModeType=default&amp;virtMode=0&amp;nonVirtPosition=&amp;position=chr7:109010879-109034459","chr7:109010879-109034459")</f>
        <v>chr7:109010879-109034459</v>
      </c>
      <c r="F1188" t="s">
        <v>30</v>
      </c>
      <c r="G1188">
        <v>-0.42474555512978202</v>
      </c>
      <c r="H1188">
        <v>0.106607322223063</v>
      </c>
      <c r="I1188">
        <v>-3.9842062090355599</v>
      </c>
      <c r="J1188" s="1">
        <v>6.7706062060021203E-5</v>
      </c>
      <c r="K1188">
        <v>7.6651026963123702E-4</v>
      </c>
      <c r="L1188" t="s">
        <v>26</v>
      </c>
      <c r="M1188" t="s">
        <v>27</v>
      </c>
      <c r="N1188">
        <v>2334.1307669794101</v>
      </c>
      <c r="O1188">
        <v>2735.9648259267601</v>
      </c>
      <c r="P1188">
        <v>2032.7552227689</v>
      </c>
      <c r="Q1188">
        <v>2922.04728143804</v>
      </c>
      <c r="R1188">
        <v>2584.6222535168899</v>
      </c>
      <c r="S1188">
        <v>2701.2249428253399</v>
      </c>
      <c r="T1188">
        <v>2121.9080333141301</v>
      </c>
      <c r="U1188">
        <v>2184.08188080325</v>
      </c>
      <c r="V1188">
        <v>1931.0907626961</v>
      </c>
      <c r="W1188">
        <v>1893.94021426211</v>
      </c>
    </row>
    <row r="1189" spans="1:23" x14ac:dyDescent="0.2">
      <c r="A1189" t="s">
        <v>2387</v>
      </c>
      <c r="B1189" s="3" t="str">
        <f>HYPERLINK("http://www.ncbi.nlm.nih.gov/gene/108105","B3gnt5")</f>
        <v>B3gnt5</v>
      </c>
      <c r="C1189">
        <v>108105</v>
      </c>
      <c r="D1189" t="s">
        <v>2388</v>
      </c>
      <c r="E1189" s="3" t="str">
        <f>HYPERLINK("http://genome.ucsc.edu/cgi-bin/hgTracks?db=mm10&amp;lastVirtModeType=default&amp;lastVirtModeExtraState=&amp;virtModeType=default&amp;virtMode=0&amp;nonVirtPosition=&amp;position=chr16:19760233-19772753","chr16:19760233-19772753")</f>
        <v>chr16:19760233-19772753</v>
      </c>
      <c r="F1189" t="s">
        <v>30</v>
      </c>
      <c r="G1189">
        <v>-0.753389969376834</v>
      </c>
      <c r="H1189">
        <v>0.18909573388439799</v>
      </c>
      <c r="I1189">
        <v>-3.9841722174304102</v>
      </c>
      <c r="J1189" s="1">
        <v>6.7715753041128597E-5</v>
      </c>
      <c r="K1189">
        <v>7.6651026963123702E-4</v>
      </c>
      <c r="L1189" t="s">
        <v>26</v>
      </c>
      <c r="M1189" t="s">
        <v>27</v>
      </c>
      <c r="N1189">
        <v>226.560303661528</v>
      </c>
      <c r="O1189">
        <v>300.12887092948</v>
      </c>
      <c r="P1189">
        <v>171.38387821056401</v>
      </c>
      <c r="Q1189">
        <v>236.080039506427</v>
      </c>
      <c r="R1189">
        <v>393.66660295679202</v>
      </c>
      <c r="S1189">
        <v>270.63997032522099</v>
      </c>
      <c r="T1189">
        <v>160.40341504534399</v>
      </c>
      <c r="U1189">
        <v>177.72430990849901</v>
      </c>
      <c r="V1189">
        <v>187.59167409047899</v>
      </c>
      <c r="W1189">
        <v>159.816113797936</v>
      </c>
    </row>
    <row r="1190" spans="1:23" x14ac:dyDescent="0.2">
      <c r="A1190" t="s">
        <v>2389</v>
      </c>
      <c r="B1190" s="3" t="str">
        <f>HYPERLINK("http://www.ncbi.nlm.nih.gov/gene/79263","Trim39")</f>
        <v>Trim39</v>
      </c>
      <c r="C1190">
        <v>79263</v>
      </c>
      <c r="D1190" t="s">
        <v>2390</v>
      </c>
      <c r="E1190" s="3" t="str">
        <f>HYPERLINK("http://genome.ucsc.edu/cgi-bin/hgTracks?db=mm10&amp;lastVirtModeType=default&amp;lastVirtModeExtraState=&amp;virtModeType=default&amp;virtMode=0&amp;nonVirtPosition=&amp;position=chr17:36258872-36271433","chr17:36258872-36271433")</f>
        <v>chr17:36258872-36271433</v>
      </c>
      <c r="F1190" t="s">
        <v>25</v>
      </c>
      <c r="G1190">
        <v>0.66203699875877497</v>
      </c>
      <c r="H1190">
        <v>0.16620964518460299</v>
      </c>
      <c r="I1190">
        <v>3.98314428758616</v>
      </c>
      <c r="J1190" s="1">
        <v>6.80094358323385E-5</v>
      </c>
      <c r="K1190">
        <v>7.6918442164767295E-4</v>
      </c>
      <c r="L1190" t="s">
        <v>26</v>
      </c>
      <c r="M1190" t="s">
        <v>27</v>
      </c>
      <c r="N1190">
        <v>137.16212549136301</v>
      </c>
      <c r="O1190">
        <v>102.46512045401801</v>
      </c>
      <c r="P1190">
        <v>163.184879269372</v>
      </c>
      <c r="Q1190">
        <v>104.676998649076</v>
      </c>
      <c r="R1190">
        <v>105.43286668784999</v>
      </c>
      <c r="S1190">
        <v>97.285496025127401</v>
      </c>
      <c r="T1190">
        <v>137.48864146743799</v>
      </c>
      <c r="U1190">
        <v>167.018026179072</v>
      </c>
      <c r="V1190">
        <v>147.86637840073001</v>
      </c>
      <c r="W1190">
        <v>200.36647103024799</v>
      </c>
    </row>
    <row r="1191" spans="1:23" x14ac:dyDescent="0.2">
      <c r="A1191" t="s">
        <v>2391</v>
      </c>
      <c r="B1191" s="3" t="str">
        <f>HYPERLINK("http://www.ncbi.nlm.nih.gov/gene/27207","Rps11")</f>
        <v>Rps11</v>
      </c>
      <c r="C1191">
        <v>27207</v>
      </c>
      <c r="D1191" t="s">
        <v>2392</v>
      </c>
      <c r="E1191" s="3" t="str">
        <f>HYPERLINK("http://genome.ucsc.edu/cgi-bin/hgTracks?db=mm10&amp;lastVirtModeType=default&amp;lastVirtModeExtraState=&amp;virtModeType=default&amp;virtMode=0&amp;nonVirtPosition=&amp;position=chr7:45122387-45124389","chr7:45122387-45124389")</f>
        <v>chr7:45122387-45124389</v>
      </c>
      <c r="F1191" t="s">
        <v>25</v>
      </c>
      <c r="G1191">
        <v>-0.649689239834772</v>
      </c>
      <c r="H1191">
        <v>0.163176855661024</v>
      </c>
      <c r="I1191">
        <v>-3.9815036097055598</v>
      </c>
      <c r="J1191" s="1">
        <v>6.8480680938623204E-5</v>
      </c>
      <c r="K1191">
        <v>7.7345123858754195E-4</v>
      </c>
      <c r="L1191" t="s">
        <v>26</v>
      </c>
      <c r="M1191" t="s">
        <v>27</v>
      </c>
      <c r="N1191">
        <v>360.72609453085897</v>
      </c>
      <c r="O1191">
        <v>459.04789426261402</v>
      </c>
      <c r="P1191">
        <v>286.984744732043</v>
      </c>
      <c r="Q1191">
        <v>370.82383563981301</v>
      </c>
      <c r="R1191">
        <v>572.67492337645001</v>
      </c>
      <c r="S1191">
        <v>433.64492377157802</v>
      </c>
      <c r="T1191">
        <v>279.560237650457</v>
      </c>
      <c r="U1191">
        <v>293.352174186318</v>
      </c>
      <c r="V1191">
        <v>268.51357271774401</v>
      </c>
      <c r="W1191">
        <v>306.51299437365401</v>
      </c>
    </row>
    <row r="1192" spans="1:23" x14ac:dyDescent="0.2">
      <c r="A1192" t="s">
        <v>2393</v>
      </c>
      <c r="B1192" s="3" t="str">
        <f>HYPERLINK("http://www.ncbi.nlm.nih.gov/gene/57266","Cxcl14")</f>
        <v>Cxcl14</v>
      </c>
      <c r="C1192">
        <v>57266</v>
      </c>
      <c r="D1192" t="s">
        <v>2394</v>
      </c>
      <c r="E1192" s="3" t="str">
        <f>HYPERLINK("http://genome.ucsc.edu/cgi-bin/hgTracks?db=mm10&amp;lastVirtModeType=default&amp;lastVirtModeExtraState=&amp;virtModeType=default&amp;virtMode=0&amp;nonVirtPosition=&amp;position=chr13:56288642-56296551","chr13:56288642-56296551")</f>
        <v>chr13:56288642-56296551</v>
      </c>
      <c r="F1192" t="s">
        <v>25</v>
      </c>
      <c r="G1192">
        <v>-0.61995691162265898</v>
      </c>
      <c r="H1192">
        <v>0.15571216481854699</v>
      </c>
      <c r="I1192">
        <v>-3.98142889057578</v>
      </c>
      <c r="J1192" s="1">
        <v>6.8502215589935406E-5</v>
      </c>
      <c r="K1192">
        <v>7.7345123858754195E-4</v>
      </c>
      <c r="L1192" t="s">
        <v>26</v>
      </c>
      <c r="M1192" t="s">
        <v>27</v>
      </c>
      <c r="N1192">
        <v>173.586211534645</v>
      </c>
      <c r="O1192">
        <v>218.31373559321599</v>
      </c>
      <c r="P1192">
        <v>140.04056849071699</v>
      </c>
      <c r="Q1192">
        <v>190.42305073395801</v>
      </c>
      <c r="R1192">
        <v>234.75879309273</v>
      </c>
      <c r="S1192">
        <v>229.75936295296</v>
      </c>
      <c r="T1192">
        <v>137.48864146743799</v>
      </c>
      <c r="U1192">
        <v>154.170485703759</v>
      </c>
      <c r="V1192">
        <v>145.65941752907801</v>
      </c>
      <c r="W1192">
        <v>122.843729262593</v>
      </c>
    </row>
    <row r="1193" spans="1:23" x14ac:dyDescent="0.2">
      <c r="A1193" t="s">
        <v>2395</v>
      </c>
      <c r="B1193" s="3" t="str">
        <f>HYPERLINK("http://www.ncbi.nlm.nih.gov/gene/16341","Eif3e")</f>
        <v>Eif3e</v>
      </c>
      <c r="C1193">
        <v>16341</v>
      </c>
      <c r="D1193" t="s">
        <v>2396</v>
      </c>
      <c r="E1193" s="3" t="str">
        <f>HYPERLINK("http://genome.ucsc.edu/cgi-bin/hgTracks?db=mm10&amp;lastVirtModeType=default&amp;lastVirtModeExtraState=&amp;virtModeType=default&amp;virtMode=0&amp;nonVirtPosition=&amp;position=chr15:43250039-43282736","chr15:43250039-43282736")</f>
        <v>chr15:43250039-43282736</v>
      </c>
      <c r="F1193" t="s">
        <v>25</v>
      </c>
      <c r="G1193">
        <v>-0.48447597572356099</v>
      </c>
      <c r="H1193">
        <v>0.121696907148049</v>
      </c>
      <c r="I1193">
        <v>-3.9810048346929201</v>
      </c>
      <c r="J1193" s="1">
        <v>6.8624553311480305E-5</v>
      </c>
      <c r="K1193">
        <v>7.7417977539514095E-4</v>
      </c>
      <c r="L1193" t="s">
        <v>26</v>
      </c>
      <c r="M1193" t="s">
        <v>27</v>
      </c>
      <c r="N1193">
        <v>383.98274097966203</v>
      </c>
      <c r="O1193">
        <v>460.08409401442401</v>
      </c>
      <c r="P1193">
        <v>326.90672620358998</v>
      </c>
      <c r="Q1193">
        <v>422.04874987234001</v>
      </c>
      <c r="R1193">
        <v>500.23723439307201</v>
      </c>
      <c r="S1193">
        <v>457.96629777786001</v>
      </c>
      <c r="T1193">
        <v>316.22387537510701</v>
      </c>
      <c r="U1193">
        <v>359.73113330876998</v>
      </c>
      <c r="V1193">
        <v>325.15890175683001</v>
      </c>
      <c r="W1193">
        <v>306.51299437365401</v>
      </c>
    </row>
    <row r="1194" spans="1:23" x14ac:dyDescent="0.2">
      <c r="A1194" t="s">
        <v>2397</v>
      </c>
      <c r="B1194" s="3" t="str">
        <f>HYPERLINK("http://www.ncbi.nlm.nih.gov/gene/58810","Akr1a1")</f>
        <v>Akr1a1</v>
      </c>
      <c r="C1194">
        <v>58810</v>
      </c>
      <c r="D1194" t="s">
        <v>2398</v>
      </c>
      <c r="E1194" s="3" t="str">
        <f>HYPERLINK("http://genome.ucsc.edu/cgi-bin/hgTracks?db=mm10&amp;lastVirtModeType=default&amp;lastVirtModeExtraState=&amp;virtModeType=default&amp;virtMode=0&amp;nonVirtPosition=&amp;position=chr4:116636509-116651674","chr4:116636509-116651674")</f>
        <v>chr4:116636509-116651674</v>
      </c>
      <c r="F1194" t="s">
        <v>25</v>
      </c>
      <c r="G1194">
        <v>-0.41497941453460402</v>
      </c>
      <c r="H1194">
        <v>0.10426468265267901</v>
      </c>
      <c r="I1194">
        <v>-3.98005733079302</v>
      </c>
      <c r="J1194" s="1">
        <v>6.8898650208938303E-5</v>
      </c>
      <c r="K1194">
        <v>7.7661769776758705E-4</v>
      </c>
      <c r="L1194" t="s">
        <v>26</v>
      </c>
      <c r="M1194" t="s">
        <v>27</v>
      </c>
      <c r="N1194">
        <v>1329.16339131942</v>
      </c>
      <c r="O1194">
        <v>1555.19577347368</v>
      </c>
      <c r="P1194">
        <v>1159.63910470374</v>
      </c>
      <c r="Q1194">
        <v>1561.8030915460599</v>
      </c>
      <c r="R1194">
        <v>1614.4881780222199</v>
      </c>
      <c r="S1194">
        <v>1489.2960508527501</v>
      </c>
      <c r="T1194">
        <v>1182.40231661997</v>
      </c>
      <c r="U1194">
        <v>1102.74722413105</v>
      </c>
      <c r="V1194">
        <v>1270.47380844807</v>
      </c>
      <c r="W1194">
        <v>1082.93306961587</v>
      </c>
    </row>
    <row r="1195" spans="1:23" x14ac:dyDescent="0.2">
      <c r="A1195" t="s">
        <v>2399</v>
      </c>
      <c r="B1195" s="3" t="str">
        <f>HYPERLINK("http://www.ncbi.nlm.nih.gov/gene/381925","Plpp4")</f>
        <v>Plpp4</v>
      </c>
      <c r="C1195">
        <v>381925</v>
      </c>
      <c r="D1195" t="s">
        <v>2400</v>
      </c>
      <c r="E1195" s="3" t="str">
        <f>HYPERLINK("http://genome.ucsc.edu/cgi-bin/hgTracks?db=mm10&amp;lastVirtModeType=default&amp;lastVirtModeExtraState=&amp;virtModeType=default&amp;virtMode=0&amp;nonVirtPosition=&amp;position=chr7:129257093-129391307","chr7:129257093-129391307")</f>
        <v>chr7:129257093-129391307</v>
      </c>
      <c r="F1195" t="s">
        <v>30</v>
      </c>
      <c r="G1195">
        <v>-0.89692516959893398</v>
      </c>
      <c r="H1195">
        <v>0.22552183559901101</v>
      </c>
      <c r="I1195">
        <v>-3.97711009763912</v>
      </c>
      <c r="J1195" s="1">
        <v>6.9757872101092097E-5</v>
      </c>
      <c r="K1195">
        <v>7.8564143423525995E-4</v>
      </c>
      <c r="L1195" t="s">
        <v>26</v>
      </c>
      <c r="M1195" t="s">
        <v>27</v>
      </c>
      <c r="N1195">
        <v>102.78654046129</v>
      </c>
      <c r="O1195">
        <v>144.23532900782499</v>
      </c>
      <c r="P1195">
        <v>71.699949051388899</v>
      </c>
      <c r="Q1195">
        <v>194.320598555998</v>
      </c>
      <c r="R1195">
        <v>112.638710094573</v>
      </c>
      <c r="S1195">
        <v>125.746678372904</v>
      </c>
      <c r="T1195">
        <v>68.744320733718993</v>
      </c>
      <c r="U1195">
        <v>62.096445630680499</v>
      </c>
      <c r="V1195">
        <v>77.243630507844202</v>
      </c>
      <c r="W1195">
        <v>78.715399333311794</v>
      </c>
    </row>
    <row r="1196" spans="1:23" x14ac:dyDescent="0.2">
      <c r="A1196" t="s">
        <v>2401</v>
      </c>
      <c r="B1196" s="3" t="str">
        <f>HYPERLINK("http://www.ncbi.nlm.nih.gov/gene/18762","Prkcz")</f>
        <v>Prkcz</v>
      </c>
      <c r="C1196">
        <v>18762</v>
      </c>
      <c r="D1196" t="s">
        <v>2402</v>
      </c>
      <c r="E1196" s="3" t="str">
        <f>HYPERLINK("http://genome.ucsc.edu/cgi-bin/hgTracks?db=mm10&amp;lastVirtModeType=default&amp;lastVirtModeExtraState=&amp;virtModeType=default&amp;virtMode=0&amp;nonVirtPosition=&amp;position=chr4:155260117-155361428","chr4:155260117-155361428")</f>
        <v>chr4:155260117-155361428</v>
      </c>
      <c r="F1196" t="s">
        <v>25</v>
      </c>
      <c r="G1196">
        <v>-0.63795793844881499</v>
      </c>
      <c r="H1196">
        <v>0.16043212971836099</v>
      </c>
      <c r="I1196">
        <v>-3.9764973485595001</v>
      </c>
      <c r="J1196" s="1">
        <v>6.9937778327803498E-5</v>
      </c>
      <c r="K1196">
        <v>7.8700570553581295E-4</v>
      </c>
      <c r="L1196" t="s">
        <v>26</v>
      </c>
      <c r="M1196" t="s">
        <v>27</v>
      </c>
      <c r="N1196">
        <v>174.034902452952</v>
      </c>
      <c r="O1196">
        <v>224.88826843262299</v>
      </c>
      <c r="P1196">
        <v>135.89487796819901</v>
      </c>
      <c r="Q1196">
        <v>237.19362459843899</v>
      </c>
      <c r="R1196">
        <v>235.13804800887399</v>
      </c>
      <c r="S1196">
        <v>202.33313269055699</v>
      </c>
      <c r="T1196">
        <v>91.659094311625296</v>
      </c>
      <c r="U1196">
        <v>152.02922895787299</v>
      </c>
      <c r="V1196">
        <v>150.808992896267</v>
      </c>
      <c r="W1196">
        <v>149.08219570703</v>
      </c>
    </row>
    <row r="1197" spans="1:23" x14ac:dyDescent="0.2">
      <c r="A1197" t="s">
        <v>2403</v>
      </c>
      <c r="B1197" s="3" t="str">
        <f>HYPERLINK("http://www.ncbi.nlm.nih.gov/gene/108705","Pttg1ip")</f>
        <v>Pttg1ip</v>
      </c>
      <c r="C1197">
        <v>108705</v>
      </c>
      <c r="D1197" t="s">
        <v>2404</v>
      </c>
      <c r="E1197" s="3" t="str">
        <f>HYPERLINK("http://genome.ucsc.edu/cgi-bin/hgTracks?db=mm10&amp;lastVirtModeType=default&amp;lastVirtModeExtraState=&amp;virtModeType=default&amp;virtMode=0&amp;nonVirtPosition=&amp;position=chr10:77581766-77598732","chr10:77581766-77598732")</f>
        <v>chr10:77581766-77598732</v>
      </c>
      <c r="F1197" t="s">
        <v>30</v>
      </c>
      <c r="G1197">
        <v>-0.51283290850980701</v>
      </c>
      <c r="H1197">
        <v>0.12899422206344499</v>
      </c>
      <c r="I1197">
        <v>-3.9756269723272801</v>
      </c>
      <c r="J1197" s="1">
        <v>7.0194079911114698E-5</v>
      </c>
      <c r="K1197">
        <v>7.89226636515312E-4</v>
      </c>
      <c r="L1197" t="s">
        <v>26</v>
      </c>
      <c r="M1197" t="s">
        <v>27</v>
      </c>
      <c r="N1197">
        <v>392.590724514263</v>
      </c>
      <c r="O1197">
        <v>477.84359989317801</v>
      </c>
      <c r="P1197">
        <v>328.65106798007599</v>
      </c>
      <c r="Q1197">
        <v>538.41839198753598</v>
      </c>
      <c r="R1197">
        <v>431.97134948726898</v>
      </c>
      <c r="S1197">
        <v>463.14105820472901</v>
      </c>
      <c r="T1197">
        <v>302.47501122836297</v>
      </c>
      <c r="U1197">
        <v>349.024849579342</v>
      </c>
      <c r="V1197">
        <v>349.43547134500898</v>
      </c>
      <c r="W1197">
        <v>313.66893976759098</v>
      </c>
    </row>
    <row r="1198" spans="1:23" x14ac:dyDescent="0.2">
      <c r="A1198" t="s">
        <v>2405</v>
      </c>
      <c r="B1198" s="3" t="str">
        <f>HYPERLINK("http://www.ncbi.nlm.nih.gov/gene/66169","Tomm7")</f>
        <v>Tomm7</v>
      </c>
      <c r="C1198">
        <v>66169</v>
      </c>
      <c r="D1198" t="s">
        <v>2406</v>
      </c>
      <c r="E1198" s="3" t="str">
        <f>HYPERLINK("http://genome.ucsc.edu/cgi-bin/hgTracks?db=mm10&amp;lastVirtModeType=default&amp;lastVirtModeExtraState=&amp;virtModeType=default&amp;virtMode=0&amp;nonVirtPosition=&amp;position=chr5:23838943-23844145","chr5:23838943-23844145")</f>
        <v>chr5:23838943-23844145</v>
      </c>
      <c r="F1198" t="s">
        <v>25</v>
      </c>
      <c r="G1198">
        <v>-0.62769173799239397</v>
      </c>
      <c r="H1198">
        <v>0.15789681438415101</v>
      </c>
      <c r="I1198">
        <v>-3.97532870083919</v>
      </c>
      <c r="J1198" s="1">
        <v>7.0282116813536995E-5</v>
      </c>
      <c r="K1198">
        <v>7.8955354551180795E-4</v>
      </c>
      <c r="L1198" t="s">
        <v>26</v>
      </c>
      <c r="M1198" t="s">
        <v>27</v>
      </c>
      <c r="N1198">
        <v>143.11641301515499</v>
      </c>
      <c r="O1198">
        <v>183.63606537447501</v>
      </c>
      <c r="P1198">
        <v>112.726673745665</v>
      </c>
      <c r="Q1198">
        <v>188.195880549935</v>
      </c>
      <c r="R1198">
        <v>179.00832041965899</v>
      </c>
      <c r="S1198">
        <v>183.70399515383099</v>
      </c>
      <c r="T1198">
        <v>77.910230164881497</v>
      </c>
      <c r="U1198">
        <v>137.04043173667401</v>
      </c>
      <c r="V1198">
        <v>115.497618949824</v>
      </c>
      <c r="W1198">
        <v>120.45841413127999</v>
      </c>
    </row>
    <row r="1199" spans="1:23" x14ac:dyDescent="0.2">
      <c r="A1199" t="s">
        <v>2407</v>
      </c>
      <c r="B1199" s="3" t="str">
        <f>HYPERLINK("http://www.ncbi.nlm.nih.gov/gene/11502","Adam9")</f>
        <v>Adam9</v>
      </c>
      <c r="C1199">
        <v>11502</v>
      </c>
      <c r="D1199" t="s">
        <v>2408</v>
      </c>
      <c r="E1199" s="3" t="str">
        <f>HYPERLINK("http://genome.ucsc.edu/cgi-bin/hgTracks?db=mm10&amp;lastVirtModeType=default&amp;lastVirtModeExtraState=&amp;virtModeType=default&amp;virtMode=0&amp;nonVirtPosition=&amp;position=chr8:24949610-25016922","chr8:24949610-25016922")</f>
        <v>chr8:24949610-25016922</v>
      </c>
      <c r="F1199" t="s">
        <v>25</v>
      </c>
      <c r="G1199">
        <v>-0.55400509874872905</v>
      </c>
      <c r="H1199">
        <v>0.13939496395710699</v>
      </c>
      <c r="I1199">
        <v>-3.9743551920512799</v>
      </c>
      <c r="J1199" s="1">
        <v>7.0570182091205595E-5</v>
      </c>
      <c r="K1199">
        <v>7.9212515371612205E-4</v>
      </c>
      <c r="L1199" t="s">
        <v>26</v>
      </c>
      <c r="M1199" t="s">
        <v>27</v>
      </c>
      <c r="N1199">
        <v>1369.7365054756201</v>
      </c>
      <c r="O1199">
        <v>1688.68867039427</v>
      </c>
      <c r="P1199">
        <v>1130.5223817866299</v>
      </c>
      <c r="Q1199">
        <v>2019.48656436276</v>
      </c>
      <c r="R1199">
        <v>1510.1930760828</v>
      </c>
      <c r="S1199">
        <v>1536.38637073725</v>
      </c>
      <c r="T1199">
        <v>1021.99890157462</v>
      </c>
      <c r="U1199">
        <v>1077.05214318042</v>
      </c>
      <c r="V1199">
        <v>1191.0232170685699</v>
      </c>
      <c r="W1199">
        <v>1232.0152653228999</v>
      </c>
    </row>
    <row r="1200" spans="1:23" x14ac:dyDescent="0.2">
      <c r="A1200" t="s">
        <v>2409</v>
      </c>
      <c r="B1200" s="3" t="str">
        <f>HYPERLINK("http://www.ncbi.nlm.nih.gov/gene/494504","Apcdd1")</f>
        <v>Apcdd1</v>
      </c>
      <c r="C1200">
        <v>494504</v>
      </c>
      <c r="D1200" t="s">
        <v>2410</v>
      </c>
      <c r="E1200" s="3" t="str">
        <f>HYPERLINK("http://genome.ucsc.edu/cgi-bin/hgTracks?db=mm10&amp;lastVirtModeType=default&amp;lastVirtModeExtraState=&amp;virtModeType=default&amp;virtMode=0&amp;nonVirtPosition=&amp;position=chr18:62922326-62953195","chr18:62922326-62953195")</f>
        <v>chr18:62922326-62953195</v>
      </c>
      <c r="F1200" t="s">
        <v>30</v>
      </c>
      <c r="G1200">
        <v>-1.0210464523185201</v>
      </c>
      <c r="H1200">
        <v>0.256924800814677</v>
      </c>
      <c r="I1200">
        <v>-3.9741062329557502</v>
      </c>
      <c r="J1200" s="1">
        <v>7.0644029261731205E-5</v>
      </c>
      <c r="K1200">
        <v>7.9228994626787401E-4</v>
      </c>
      <c r="L1200" t="s">
        <v>26</v>
      </c>
      <c r="M1200" t="s">
        <v>27</v>
      </c>
      <c r="N1200">
        <v>234.75017584317499</v>
      </c>
      <c r="O1200">
        <v>345.14792295631997</v>
      </c>
      <c r="P1200">
        <v>151.951865508315</v>
      </c>
      <c r="Q1200">
        <v>535.63442925750701</v>
      </c>
      <c r="R1200">
        <v>235.89655784115999</v>
      </c>
      <c r="S1200">
        <v>263.91278177029199</v>
      </c>
      <c r="T1200">
        <v>109.99091317395001</v>
      </c>
      <c r="U1200">
        <v>164.87676943318601</v>
      </c>
      <c r="V1200">
        <v>199.362132072626</v>
      </c>
      <c r="W1200">
        <v>133.577647353499</v>
      </c>
    </row>
    <row r="1201" spans="1:23" x14ac:dyDescent="0.2">
      <c r="A1201" t="s">
        <v>2411</v>
      </c>
      <c r="B1201" s="3" t="str">
        <f>HYPERLINK("http://www.ncbi.nlm.nih.gov/gene/71446","Wrb")</f>
        <v>Wrb</v>
      </c>
      <c r="C1201">
        <v>71446</v>
      </c>
      <c r="D1201" t="s">
        <v>2412</v>
      </c>
      <c r="E1201" s="3" t="str">
        <f>HYPERLINK("http://genome.ucsc.edu/cgi-bin/hgTracks?db=mm10&amp;lastVirtModeType=default&amp;lastVirtModeExtraState=&amp;virtModeType=default&amp;virtMode=0&amp;nonVirtPosition=&amp;position=chr16:96145418-96157852","chr16:96145418-96157852")</f>
        <v>chr16:96145418-96157852</v>
      </c>
      <c r="F1201" t="s">
        <v>30</v>
      </c>
      <c r="G1201">
        <v>-0.63204047756727899</v>
      </c>
      <c r="H1201">
        <v>0.15910336581158699</v>
      </c>
      <c r="I1201">
        <v>-3.9725148135191102</v>
      </c>
      <c r="J1201" s="1">
        <v>7.1117811997922504E-5</v>
      </c>
      <c r="K1201">
        <v>7.9693608407044401E-4</v>
      </c>
      <c r="L1201" t="s">
        <v>26</v>
      </c>
      <c r="M1201" t="s">
        <v>27</v>
      </c>
      <c r="N1201">
        <v>189.60774712269199</v>
      </c>
      <c r="O1201">
        <v>243.62957074543701</v>
      </c>
      <c r="P1201">
        <v>149.09137940563301</v>
      </c>
      <c r="Q1201">
        <v>243.31834260450199</v>
      </c>
      <c r="R1201">
        <v>222.622635776143</v>
      </c>
      <c r="S1201">
        <v>264.947733855666</v>
      </c>
      <c r="T1201">
        <v>105.407958458369</v>
      </c>
      <c r="U1201">
        <v>177.72430990849901</v>
      </c>
      <c r="V1201">
        <v>167.72902624560399</v>
      </c>
      <c r="W1201">
        <v>145.504223010061</v>
      </c>
    </row>
    <row r="1202" spans="1:23" x14ac:dyDescent="0.2">
      <c r="A1202" t="s">
        <v>2413</v>
      </c>
      <c r="B1202" s="3" t="str">
        <f>HYPERLINK("http://www.ncbi.nlm.nih.gov/gene/12952","Cry1")</f>
        <v>Cry1</v>
      </c>
      <c r="C1202">
        <v>12952</v>
      </c>
      <c r="D1202" t="s">
        <v>2414</v>
      </c>
      <c r="E1202" s="3" t="str">
        <f>HYPERLINK("http://genome.ucsc.edu/cgi-bin/hgTracks?db=mm10&amp;lastVirtModeType=default&amp;lastVirtModeExtraState=&amp;virtModeType=default&amp;virtMode=0&amp;nonVirtPosition=&amp;position=chr10:85131699-85185054","chr10:85131699-85185054")</f>
        <v>chr10:85131699-85185054</v>
      </c>
      <c r="F1202" t="s">
        <v>25</v>
      </c>
      <c r="G1202">
        <v>-0.90748990977559796</v>
      </c>
      <c r="H1202">
        <v>0.22846688920015401</v>
      </c>
      <c r="I1202">
        <v>-3.9720850270805199</v>
      </c>
      <c r="J1202" s="1">
        <v>7.1246278622866195E-5</v>
      </c>
      <c r="K1202">
        <v>7.9770812461438299E-4</v>
      </c>
      <c r="L1202" t="s">
        <v>26</v>
      </c>
      <c r="M1202" t="s">
        <v>27</v>
      </c>
      <c r="N1202">
        <v>105.102437235685</v>
      </c>
      <c r="O1202">
        <v>145.34507702905501</v>
      </c>
      <c r="P1202">
        <v>74.920457390657106</v>
      </c>
      <c r="Q1202">
        <v>104.120206103071</v>
      </c>
      <c r="R1202">
        <v>162.700359025495</v>
      </c>
      <c r="S1202">
        <v>169.214665958599</v>
      </c>
      <c r="T1202">
        <v>100.825003742788</v>
      </c>
      <c r="U1202">
        <v>53.531418647138402</v>
      </c>
      <c r="V1202">
        <v>80.921898627265307</v>
      </c>
      <c r="W1202">
        <v>64.403508545436907</v>
      </c>
    </row>
    <row r="1203" spans="1:23" x14ac:dyDescent="0.2">
      <c r="A1203" t="s">
        <v>2415</v>
      </c>
      <c r="B1203" s="3" t="str">
        <f>HYPERLINK("http://www.ncbi.nlm.nih.gov/gene/195434","Utp14b")</f>
        <v>Utp14b</v>
      </c>
      <c r="C1203">
        <v>195434</v>
      </c>
      <c r="D1203" t="s">
        <v>2416</v>
      </c>
      <c r="E1203" s="3" t="str">
        <f>HYPERLINK("http://genome.ucsc.edu/cgi-bin/hgTracks?db=mm10&amp;lastVirtModeType=default&amp;lastVirtModeExtraState=&amp;virtModeType=default&amp;virtMode=0&amp;nonVirtPosition=&amp;position=chr1:78657824-78667601","chr1:78657824-78667601")</f>
        <v>chr1:78657824-78667601</v>
      </c>
      <c r="F1203" t="s">
        <v>30</v>
      </c>
      <c r="G1203">
        <v>0.65359075636230002</v>
      </c>
      <c r="H1203">
        <v>0.16456196119069699</v>
      </c>
      <c r="I1203">
        <v>3.9717000917660998</v>
      </c>
      <c r="J1203" s="1">
        <v>7.1361525210314296E-5</v>
      </c>
      <c r="K1203">
        <v>7.9833098086158605E-4</v>
      </c>
      <c r="L1203" t="s">
        <v>26</v>
      </c>
      <c r="M1203" t="s">
        <v>27</v>
      </c>
      <c r="N1203">
        <v>412.13589480568203</v>
      </c>
      <c r="O1203">
        <v>305.24419018739098</v>
      </c>
      <c r="P1203">
        <v>492.30467326939998</v>
      </c>
      <c r="Q1203">
        <v>236.080039506427</v>
      </c>
      <c r="R1203">
        <v>345.88048352273</v>
      </c>
      <c r="S1203">
        <v>333.77204753301697</v>
      </c>
      <c r="T1203">
        <v>522.45683757626398</v>
      </c>
      <c r="U1203">
        <v>438.95763290653503</v>
      </c>
      <c r="V1203">
        <v>437.71390621111698</v>
      </c>
      <c r="W1203">
        <v>570.09031638368299</v>
      </c>
    </row>
    <row r="1204" spans="1:23" x14ac:dyDescent="0.2">
      <c r="A1204" t="s">
        <v>2417</v>
      </c>
      <c r="B1204" s="3" t="str">
        <f>HYPERLINK("http://www.ncbi.nlm.nih.gov/gene/269959","Adamtsl3")</f>
        <v>Adamtsl3</v>
      </c>
      <c r="C1204">
        <v>269959</v>
      </c>
      <c r="D1204" t="s">
        <v>2418</v>
      </c>
      <c r="E1204" s="3" t="str">
        <f>HYPERLINK("http://genome.ucsc.edu/cgi-bin/hgTracks?db=mm10&amp;lastVirtModeType=default&amp;lastVirtModeExtraState=&amp;virtModeType=default&amp;virtMode=0&amp;nonVirtPosition=&amp;position=chr7:82335693-82614448","chr7:82335693-82614448")</f>
        <v>chr7:82335693-82614448</v>
      </c>
      <c r="F1204" t="s">
        <v>30</v>
      </c>
      <c r="G1204">
        <v>-0.64878810186953195</v>
      </c>
      <c r="H1204">
        <v>0.16339870286038299</v>
      </c>
      <c r="I1204">
        <v>-3.97058293922866</v>
      </c>
      <c r="J1204" s="1">
        <v>7.16969911989151E-5</v>
      </c>
      <c r="K1204">
        <v>8.0141436489538601E-4</v>
      </c>
      <c r="L1204" t="s">
        <v>26</v>
      </c>
      <c r="M1204" t="s">
        <v>27</v>
      </c>
      <c r="N1204">
        <v>538.30760251332504</v>
      </c>
      <c r="O1204">
        <v>688.16653022275</v>
      </c>
      <c r="P1204">
        <v>425.913406731257</v>
      </c>
      <c r="Q1204">
        <v>791.20220787413496</v>
      </c>
      <c r="R1204">
        <v>524.50954902624596</v>
      </c>
      <c r="S1204">
        <v>748.78783376786896</v>
      </c>
      <c r="T1204">
        <v>375.80228667766397</v>
      </c>
      <c r="U1204">
        <v>436.81637616064899</v>
      </c>
      <c r="V1204">
        <v>485.53139176359201</v>
      </c>
      <c r="W1204">
        <v>405.503572323122</v>
      </c>
    </row>
    <row r="1205" spans="1:23" x14ac:dyDescent="0.2">
      <c r="A1205" t="s">
        <v>2419</v>
      </c>
      <c r="B1205" s="3" t="str">
        <f>HYPERLINK("http://www.ncbi.nlm.nih.gov/gene/110829","Lims1")</f>
        <v>Lims1</v>
      </c>
      <c r="C1205">
        <v>110829</v>
      </c>
      <c r="D1205" t="s">
        <v>2420</v>
      </c>
      <c r="E1205" s="3" t="str">
        <f>HYPERLINK("http://genome.ucsc.edu/cgi-bin/hgTracks?db=mm10&amp;lastVirtModeType=default&amp;lastVirtModeExtraState=&amp;virtModeType=default&amp;virtMode=0&amp;nonVirtPosition=&amp;position=chr10:58323465-58424691","chr10:58323465-58424691")</f>
        <v>chr10:58323465-58424691</v>
      </c>
      <c r="F1205" t="s">
        <v>30</v>
      </c>
      <c r="G1205">
        <v>-0.54869516657348505</v>
      </c>
      <c r="H1205">
        <v>0.13819775452260699</v>
      </c>
      <c r="I1205">
        <v>-3.9703623873550602</v>
      </c>
      <c r="J1205" s="1">
        <v>7.1763396061993E-5</v>
      </c>
      <c r="K1205">
        <v>8.0148760355808798E-4</v>
      </c>
      <c r="L1205" t="s">
        <v>26</v>
      </c>
      <c r="M1205" t="s">
        <v>27</v>
      </c>
      <c r="N1205">
        <v>834.93178463515403</v>
      </c>
      <c r="O1205">
        <v>1029.2101974049999</v>
      </c>
      <c r="P1205">
        <v>689.22297505776601</v>
      </c>
      <c r="Q1205">
        <v>1111.9147143734299</v>
      </c>
      <c r="R1205">
        <v>1047.88133330406</v>
      </c>
      <c r="S1205">
        <v>927.83454453751801</v>
      </c>
      <c r="T1205">
        <v>646.19661489695795</v>
      </c>
      <c r="U1205">
        <v>590.98686186440796</v>
      </c>
      <c r="V1205">
        <v>823.19640512645401</v>
      </c>
      <c r="W1205">
        <v>696.51201834324399</v>
      </c>
    </row>
    <row r="1206" spans="1:23" x14ac:dyDescent="0.2">
      <c r="A1206" t="s">
        <v>2421</v>
      </c>
      <c r="B1206" s="3" t="str">
        <f>HYPERLINK("http://www.ncbi.nlm.nih.gov/gene/100042584","Gm16523")</f>
        <v>Gm16523</v>
      </c>
      <c r="C1206">
        <v>100042584</v>
      </c>
      <c r="D1206" t="s">
        <v>2422</v>
      </c>
      <c r="E1206" s="3" t="str">
        <f>HYPERLINK("http://genome.ucsc.edu/cgi-bin/hgTracks?db=mm10&amp;lastVirtModeType=default&amp;lastVirtModeExtraState=&amp;virtModeType=default&amp;virtMode=0&amp;nonVirtPosition=&amp;position=chr2:39157485-39162235","chr2:39157485-39162235")</f>
        <v>chr2:39157485-39162235</v>
      </c>
      <c r="F1206" t="s">
        <v>25</v>
      </c>
      <c r="G1206">
        <v>1.1351506492410901</v>
      </c>
      <c r="H1206">
        <v>0.28602557002650503</v>
      </c>
      <c r="I1206">
        <v>3.9687033894763402</v>
      </c>
      <c r="J1206" s="1">
        <v>7.2264763355922403E-5</v>
      </c>
      <c r="K1206">
        <v>8.0641453841596403E-4</v>
      </c>
      <c r="L1206" t="s">
        <v>26</v>
      </c>
      <c r="M1206" t="s">
        <v>27</v>
      </c>
      <c r="N1206">
        <v>24.181615798680198</v>
      </c>
      <c r="O1206">
        <v>13.363773426337501</v>
      </c>
      <c r="P1206">
        <v>32.294997577937302</v>
      </c>
      <c r="Q1206">
        <v>13.363021104137401</v>
      </c>
      <c r="R1206">
        <v>13.2739220650171</v>
      </c>
      <c r="S1206">
        <v>13.454377109857999</v>
      </c>
      <c r="T1206">
        <v>22.914773577906299</v>
      </c>
      <c r="U1206">
        <v>34.260107934168602</v>
      </c>
      <c r="V1206">
        <v>33.840066698674597</v>
      </c>
      <c r="W1206">
        <v>38.165042100999699</v>
      </c>
    </row>
    <row r="1207" spans="1:23" x14ac:dyDescent="0.2">
      <c r="A1207" t="s">
        <v>2423</v>
      </c>
      <c r="B1207" s="3" t="str">
        <f>HYPERLINK("http://www.ncbi.nlm.nih.gov/gene/54353","Skap2")</f>
        <v>Skap2</v>
      </c>
      <c r="C1207">
        <v>54353</v>
      </c>
      <c r="D1207" t="s">
        <v>2424</v>
      </c>
      <c r="E1207" s="3" t="str">
        <f>HYPERLINK("http://genome.ucsc.edu/cgi-bin/hgTracks?db=mm10&amp;lastVirtModeType=default&amp;lastVirtModeExtraState=&amp;virtModeType=default&amp;virtMode=0&amp;nonVirtPosition=&amp;position=chr6:51859164-52012549","chr6:51859164-52012549")</f>
        <v>chr6:51859164-52012549</v>
      </c>
      <c r="F1207" t="s">
        <v>25</v>
      </c>
      <c r="G1207">
        <v>0.51803302080231395</v>
      </c>
      <c r="H1207">
        <v>0.130573264827683</v>
      </c>
      <c r="I1207">
        <v>3.9673743433309898</v>
      </c>
      <c r="J1207" s="1">
        <v>7.2668804037107404E-5</v>
      </c>
      <c r="K1207">
        <v>8.1024808897660696E-4</v>
      </c>
      <c r="L1207" t="s">
        <v>26</v>
      </c>
      <c r="M1207" t="s">
        <v>27</v>
      </c>
      <c r="N1207">
        <v>517.88191363452097</v>
      </c>
      <c r="O1207">
        <v>414.56742544145601</v>
      </c>
      <c r="P1207">
        <v>595.36777977931899</v>
      </c>
      <c r="Q1207">
        <v>429.84384551642</v>
      </c>
      <c r="R1207">
        <v>449.03782071372001</v>
      </c>
      <c r="S1207">
        <v>364.82061009422802</v>
      </c>
      <c r="T1207">
        <v>568.28638473207695</v>
      </c>
      <c r="U1207">
        <v>520.32538925018503</v>
      </c>
      <c r="V1207">
        <v>639.28299915539606</v>
      </c>
      <c r="W1207">
        <v>653.57634597961896</v>
      </c>
    </row>
    <row r="1208" spans="1:23" x14ac:dyDescent="0.2">
      <c r="A1208" t="s">
        <v>2425</v>
      </c>
      <c r="B1208" s="3" t="str">
        <f>HYPERLINK("http://www.ncbi.nlm.nih.gov/gene/67948","Fbxo28")</f>
        <v>Fbxo28</v>
      </c>
      <c r="C1208">
        <v>67948</v>
      </c>
      <c r="D1208" t="s">
        <v>2426</v>
      </c>
      <c r="E1208" s="3" t="str">
        <f>HYPERLINK("http://genome.ucsc.edu/cgi-bin/hgTracks?db=mm10&amp;lastVirtModeType=default&amp;lastVirtModeExtraState=&amp;virtModeType=default&amp;virtMode=0&amp;nonVirtPosition=&amp;position=chr1:182313101-182341606","chr1:182313101-182341606")</f>
        <v>chr1:182313101-182341606</v>
      </c>
      <c r="F1208" t="s">
        <v>25</v>
      </c>
      <c r="G1208">
        <v>-0.55967592707756197</v>
      </c>
      <c r="H1208">
        <v>0.14124007634216601</v>
      </c>
      <c r="I1208">
        <v>-3.9625858437070001</v>
      </c>
      <c r="J1208" s="1">
        <v>7.4142335022377403E-5</v>
      </c>
      <c r="K1208">
        <v>8.2599002353132801E-4</v>
      </c>
      <c r="L1208" t="s">
        <v>26</v>
      </c>
      <c r="M1208" t="s">
        <v>27</v>
      </c>
      <c r="N1208">
        <v>348.810500079495</v>
      </c>
      <c r="O1208">
        <v>436.75742001066101</v>
      </c>
      <c r="P1208">
        <v>282.85031013112001</v>
      </c>
      <c r="Q1208">
        <v>442.65007407455101</v>
      </c>
      <c r="R1208">
        <v>423.62774133211599</v>
      </c>
      <c r="S1208">
        <v>443.994444625315</v>
      </c>
      <c r="T1208">
        <v>201.650007485576</v>
      </c>
      <c r="U1208">
        <v>295.49343093220398</v>
      </c>
      <c r="V1208">
        <v>332.51543799567202</v>
      </c>
      <c r="W1208">
        <v>301.74236411102902</v>
      </c>
    </row>
    <row r="1209" spans="1:23" x14ac:dyDescent="0.2">
      <c r="A1209" t="s">
        <v>2427</v>
      </c>
      <c r="B1209" s="3" t="str">
        <f>HYPERLINK("http://www.ncbi.nlm.nih.gov/gene/194388","Tet3")</f>
        <v>Tet3</v>
      </c>
      <c r="C1209">
        <v>194388</v>
      </c>
      <c r="D1209" t="s">
        <v>2428</v>
      </c>
      <c r="E1209" s="3" t="str">
        <f>HYPERLINK("http://genome.ucsc.edu/cgi-bin/hgTracks?db=mm10&amp;lastVirtModeType=default&amp;lastVirtModeExtraState=&amp;virtModeType=default&amp;virtMode=0&amp;nonVirtPosition=&amp;position=chr6:83362373-83441678","chr6:83362373-83441678")</f>
        <v>chr6:83362373-83441678</v>
      </c>
      <c r="F1209" t="s">
        <v>25</v>
      </c>
      <c r="G1209">
        <v>0.93417825342411598</v>
      </c>
      <c r="H1209">
        <v>0.23577185034697201</v>
      </c>
      <c r="I1209">
        <v>3.9622128428365802</v>
      </c>
      <c r="J1209" s="1">
        <v>7.4258294463793199E-5</v>
      </c>
      <c r="K1209">
        <v>8.2659419880686197E-4</v>
      </c>
      <c r="L1209" t="s">
        <v>26</v>
      </c>
      <c r="M1209" t="s">
        <v>27</v>
      </c>
      <c r="N1209">
        <v>1017.2135389387</v>
      </c>
      <c r="O1209">
        <v>636.79650498721105</v>
      </c>
      <c r="P1209">
        <v>1302.5263144023199</v>
      </c>
      <c r="Q1209">
        <v>417.59440950429399</v>
      </c>
      <c r="R1209">
        <v>493.03139098634801</v>
      </c>
      <c r="S1209">
        <v>999.76371447098995</v>
      </c>
      <c r="T1209">
        <v>1131.9898147485701</v>
      </c>
      <c r="U1209">
        <v>1526.71605981639</v>
      </c>
      <c r="V1209">
        <v>1235.89808812551</v>
      </c>
      <c r="W1209">
        <v>1315.5012949188299</v>
      </c>
    </row>
    <row r="1210" spans="1:23" x14ac:dyDescent="0.2">
      <c r="A1210" t="s">
        <v>2429</v>
      </c>
      <c r="B1210" s="3" t="str">
        <f>HYPERLINK("http://www.ncbi.nlm.nih.gov/gene/101023","Zfp513")</f>
        <v>Zfp513</v>
      </c>
      <c r="C1210">
        <v>101023</v>
      </c>
      <c r="D1210" t="s">
        <v>2430</v>
      </c>
      <c r="E1210" s="3" t="str">
        <f>HYPERLINK("http://genome.ucsc.edu/cgi-bin/hgTracks?db=mm10&amp;lastVirtModeType=default&amp;lastVirtModeExtraState=&amp;virtModeType=default&amp;virtMode=0&amp;nonVirtPosition=&amp;position=chr5:31198980-31202303","chr5:31198980-31202303")</f>
        <v>chr5:31198980-31202303</v>
      </c>
      <c r="F1210" t="s">
        <v>25</v>
      </c>
      <c r="G1210">
        <v>0.87880749034371097</v>
      </c>
      <c r="H1210">
        <v>0.22193909412269999</v>
      </c>
      <c r="I1210">
        <v>3.9596786398427701</v>
      </c>
      <c r="J1210" s="1">
        <v>7.5050686876586894E-5</v>
      </c>
      <c r="K1210">
        <v>8.3408417970993695E-4</v>
      </c>
      <c r="L1210" t="s">
        <v>26</v>
      </c>
      <c r="M1210" t="s">
        <v>27</v>
      </c>
      <c r="N1210">
        <v>95.8605287285977</v>
      </c>
      <c r="O1210">
        <v>61.839643551243</v>
      </c>
      <c r="P1210">
        <v>121.376192611614</v>
      </c>
      <c r="Q1210">
        <v>46.213781318475199</v>
      </c>
      <c r="R1210">
        <v>56.508982505358297</v>
      </c>
      <c r="S1210">
        <v>82.796166829895597</v>
      </c>
      <c r="T1210">
        <v>119.15682260511301</v>
      </c>
      <c r="U1210">
        <v>147.74671546610199</v>
      </c>
      <c r="V1210">
        <v>108.876736334866</v>
      </c>
      <c r="W1210">
        <v>109.72449604037401</v>
      </c>
    </row>
    <row r="1211" spans="1:23" x14ac:dyDescent="0.2">
      <c r="A1211" t="s">
        <v>2431</v>
      </c>
      <c r="B1211" s="3" t="str">
        <f>HYPERLINK("http://www.ncbi.nlm.nih.gov/gene/239857","Cadm2")</f>
        <v>Cadm2</v>
      </c>
      <c r="C1211">
        <v>239857</v>
      </c>
      <c r="D1211" t="s">
        <v>2432</v>
      </c>
      <c r="E1211" s="3" t="str">
        <f>HYPERLINK("http://genome.ucsc.edu/cgi-bin/hgTracks?db=mm10&amp;lastVirtModeType=default&amp;lastVirtModeExtraState=&amp;virtModeType=default&amp;virtMode=0&amp;nonVirtPosition=&amp;position=chr16:66655420-67620908","chr16:66655420-67620908")</f>
        <v>chr16:66655420-67620908</v>
      </c>
      <c r="F1211" t="s">
        <v>25</v>
      </c>
      <c r="G1211">
        <v>-0.666497764724585</v>
      </c>
      <c r="H1211">
        <v>0.16832185961233001</v>
      </c>
      <c r="I1211">
        <v>-3.9596625551763101</v>
      </c>
      <c r="J1211" s="1">
        <v>7.5055741658612094E-5</v>
      </c>
      <c r="K1211">
        <v>8.3408417970993695E-4</v>
      </c>
      <c r="L1211" t="s">
        <v>26</v>
      </c>
      <c r="M1211" t="s">
        <v>27</v>
      </c>
      <c r="N1211">
        <v>847.57315250100601</v>
      </c>
      <c r="O1211">
        <v>1087.17503315362</v>
      </c>
      <c r="P1211">
        <v>667.87174201154596</v>
      </c>
      <c r="Q1211">
        <v>1430.4000506887101</v>
      </c>
      <c r="R1211">
        <v>946.24101577764498</v>
      </c>
      <c r="S1211">
        <v>884.88403299450999</v>
      </c>
      <c r="T1211">
        <v>632.44775075021403</v>
      </c>
      <c r="U1211">
        <v>678.778388445715</v>
      </c>
      <c r="V1211">
        <v>705.49182530497706</v>
      </c>
      <c r="W1211">
        <v>654.76900354527595</v>
      </c>
    </row>
    <row r="1212" spans="1:23" x14ac:dyDescent="0.2">
      <c r="A1212" t="s">
        <v>2433</v>
      </c>
      <c r="B1212" s="3" t="str">
        <f>HYPERLINK("http://www.ncbi.nlm.nih.gov/gene/13849","Ephx1")</f>
        <v>Ephx1</v>
      </c>
      <c r="C1212">
        <v>13849</v>
      </c>
      <c r="D1212" t="s">
        <v>2434</v>
      </c>
      <c r="E1212" s="3" t="str">
        <f>HYPERLINK("http://genome.ucsc.edu/cgi-bin/hgTracks?db=mm10&amp;lastVirtModeType=default&amp;lastVirtModeExtraState=&amp;virtModeType=default&amp;virtMode=0&amp;nonVirtPosition=&amp;position=chr1:180989555-181017569","chr1:180989555-181017569")</f>
        <v>chr1:180989555-181017569</v>
      </c>
      <c r="F1212" t="s">
        <v>25</v>
      </c>
      <c r="G1212">
        <v>-1.04672014425612</v>
      </c>
      <c r="H1212">
        <v>0.264394229386819</v>
      </c>
      <c r="I1212">
        <v>-3.95893717757632</v>
      </c>
      <c r="J1212" s="1">
        <v>7.5284034427427807E-5</v>
      </c>
      <c r="K1212">
        <v>8.3592745026342104E-4</v>
      </c>
      <c r="L1212" t="s">
        <v>26</v>
      </c>
      <c r="M1212" t="s">
        <v>27</v>
      </c>
      <c r="N1212">
        <v>73.878694991693195</v>
      </c>
      <c r="O1212">
        <v>110.339533177655</v>
      </c>
      <c r="P1212">
        <v>46.533066352222299</v>
      </c>
      <c r="Q1212">
        <v>103.006621011059</v>
      </c>
      <c r="R1212">
        <v>152.46047628962501</v>
      </c>
      <c r="S1212">
        <v>75.551502232279802</v>
      </c>
      <c r="T1212">
        <v>27.497728293487601</v>
      </c>
      <c r="U1212">
        <v>62.096445630680499</v>
      </c>
      <c r="V1212">
        <v>50.024446424127703</v>
      </c>
      <c r="W1212">
        <v>46.513645060593397</v>
      </c>
    </row>
    <row r="1213" spans="1:23" x14ac:dyDescent="0.2">
      <c r="A1213" t="s">
        <v>2435</v>
      </c>
      <c r="B1213" s="3" t="str">
        <f>HYPERLINK("http://www.ncbi.nlm.nih.gov/gene/67248","Rpl39")</f>
        <v>Rpl39</v>
      </c>
      <c r="C1213">
        <v>67248</v>
      </c>
      <c r="D1213" t="s">
        <v>2436</v>
      </c>
      <c r="E1213" s="3" t="str">
        <f>HYPERLINK("http://genome.ucsc.edu/cgi-bin/hgTracks?db=mm10&amp;lastVirtModeType=default&amp;lastVirtModeExtraState=&amp;virtModeType=default&amp;virtMode=0&amp;nonVirtPosition=&amp;position=chrX:37082517-37085222","chrX:37082517-37085222")</f>
        <v>chrX:37082517-37085222</v>
      </c>
      <c r="F1213" t="s">
        <v>25</v>
      </c>
      <c r="G1213">
        <v>-0.52937724545492904</v>
      </c>
      <c r="H1213">
        <v>0.13373710155561999</v>
      </c>
      <c r="I1213">
        <v>-3.9583424442226698</v>
      </c>
      <c r="J1213" s="1">
        <v>7.5471700228357593E-5</v>
      </c>
      <c r="K1213">
        <v>8.3731693269091696E-4</v>
      </c>
      <c r="L1213" t="s">
        <v>26</v>
      </c>
      <c r="M1213" t="s">
        <v>27</v>
      </c>
      <c r="N1213">
        <v>289.43208948563699</v>
      </c>
      <c r="O1213">
        <v>349.80009396589497</v>
      </c>
      <c r="P1213">
        <v>244.156086125445</v>
      </c>
      <c r="Q1213">
        <v>317.371751223263</v>
      </c>
      <c r="R1213">
        <v>391.01181854378802</v>
      </c>
      <c r="S1213">
        <v>341.01671213063298</v>
      </c>
      <c r="T1213">
        <v>270.39432821929501</v>
      </c>
      <c r="U1213">
        <v>246.24452577683701</v>
      </c>
      <c r="V1213">
        <v>230.995237899648</v>
      </c>
      <c r="W1213">
        <v>228.99025260599799</v>
      </c>
    </row>
    <row r="1214" spans="1:23" x14ac:dyDescent="0.2">
      <c r="A1214" t="s">
        <v>2437</v>
      </c>
      <c r="B1214" s="3" t="str">
        <f>HYPERLINK("http://www.ncbi.nlm.nih.gov/gene/24056","Sh3bp5")</f>
        <v>Sh3bp5</v>
      </c>
      <c r="C1214">
        <v>24056</v>
      </c>
      <c r="D1214" t="s">
        <v>2438</v>
      </c>
      <c r="E1214" s="3" t="str">
        <f>HYPERLINK("http://genome.ucsc.edu/cgi-bin/hgTracks?db=mm10&amp;lastVirtModeType=default&amp;lastVirtModeExtraState=&amp;virtModeType=default&amp;virtMode=0&amp;nonVirtPosition=&amp;position=chr14:31373963-31436033","chr14:31373963-31436033")</f>
        <v>chr14:31373963-31436033</v>
      </c>
      <c r="F1214" t="s">
        <v>25</v>
      </c>
      <c r="G1214">
        <v>-0.74896311290742701</v>
      </c>
      <c r="H1214">
        <v>0.18936306956239499</v>
      </c>
      <c r="I1214">
        <v>-3.9551699000139302</v>
      </c>
      <c r="J1214" s="1">
        <v>7.6480281059807697E-5</v>
      </c>
      <c r="K1214">
        <v>8.4741361745690796E-4</v>
      </c>
      <c r="L1214" t="s">
        <v>26</v>
      </c>
      <c r="M1214" t="s">
        <v>27</v>
      </c>
      <c r="N1214">
        <v>226.992662847986</v>
      </c>
      <c r="O1214">
        <v>296.77148189476299</v>
      </c>
      <c r="P1214">
        <v>174.65854856290301</v>
      </c>
      <c r="Q1214">
        <v>361.35836235771598</v>
      </c>
      <c r="R1214">
        <v>300.74914850167198</v>
      </c>
      <c r="S1214">
        <v>228.2069348249</v>
      </c>
      <c r="T1214">
        <v>206.23296220115699</v>
      </c>
      <c r="U1214">
        <v>188.43059363792699</v>
      </c>
      <c r="V1214">
        <v>169.20033349337299</v>
      </c>
      <c r="W1214">
        <v>134.770304919155</v>
      </c>
    </row>
    <row r="1215" spans="1:23" x14ac:dyDescent="0.2">
      <c r="A1215" t="s">
        <v>2439</v>
      </c>
      <c r="B1215" s="3" t="str">
        <f>HYPERLINK("http://www.ncbi.nlm.nih.gov/gene/68050","Akirin1")</f>
        <v>Akirin1</v>
      </c>
      <c r="C1215">
        <v>68050</v>
      </c>
      <c r="D1215" t="s">
        <v>2440</v>
      </c>
      <c r="E1215" s="3" t="str">
        <f>HYPERLINK("http://genome.ucsc.edu/cgi-bin/hgTracks?db=mm10&amp;lastVirtModeType=default&amp;lastVirtModeExtraState=&amp;virtModeType=default&amp;virtMode=0&amp;nonVirtPosition=&amp;position=chr4:123735194-123750299","chr4:123735194-123750299")</f>
        <v>chr4:123735194-123750299</v>
      </c>
      <c r="F1215" t="s">
        <v>25</v>
      </c>
      <c r="G1215">
        <v>-0.63619760340721798</v>
      </c>
      <c r="H1215">
        <v>0.16085784813272699</v>
      </c>
      <c r="I1215">
        <v>-3.9550299273074798</v>
      </c>
      <c r="J1215" s="1">
        <v>7.6525071902950299E-5</v>
      </c>
      <c r="K1215">
        <v>8.4741361745690796E-4</v>
      </c>
      <c r="L1215" t="s">
        <v>26</v>
      </c>
      <c r="M1215" t="s">
        <v>27</v>
      </c>
      <c r="N1215">
        <v>149.24273744408401</v>
      </c>
      <c r="O1215">
        <v>186.56419906905899</v>
      </c>
      <c r="P1215">
        <v>121.251641225353</v>
      </c>
      <c r="Q1215">
        <v>195.99097619401499</v>
      </c>
      <c r="R1215">
        <v>197.591811310683</v>
      </c>
      <c r="S1215">
        <v>166.109809702478</v>
      </c>
      <c r="T1215">
        <v>146.65455089860001</v>
      </c>
      <c r="U1215">
        <v>113.486607531933</v>
      </c>
      <c r="V1215">
        <v>119.91154069312999</v>
      </c>
      <c r="W1215">
        <v>104.953865777749</v>
      </c>
    </row>
    <row r="1216" spans="1:23" x14ac:dyDescent="0.2">
      <c r="A1216" t="s">
        <v>2441</v>
      </c>
      <c r="B1216" s="3" t="str">
        <f>HYPERLINK("http://www.ncbi.nlm.nih.gov/gene/21453","Tcof1")</f>
        <v>Tcof1</v>
      </c>
      <c r="C1216">
        <v>21453</v>
      </c>
      <c r="D1216" t="s">
        <v>2442</v>
      </c>
      <c r="E1216" s="3" t="str">
        <f>HYPERLINK("http://genome.ucsc.edu/cgi-bin/hgTracks?db=mm10&amp;lastVirtModeType=default&amp;lastVirtModeExtraState=&amp;virtModeType=default&amp;virtMode=0&amp;nonVirtPosition=&amp;position=chr18:60813755-60848964","chr18:60813755-60848964")</f>
        <v>chr18:60813755-60848964</v>
      </c>
      <c r="F1216" t="s">
        <v>25</v>
      </c>
      <c r="G1216">
        <v>0.63332017084507297</v>
      </c>
      <c r="H1216">
        <v>0.16013619623681499</v>
      </c>
      <c r="I1216">
        <v>3.9548845653139999</v>
      </c>
      <c r="J1216" s="1">
        <v>7.6571613555586501E-5</v>
      </c>
      <c r="K1216">
        <v>8.4741361745690796E-4</v>
      </c>
      <c r="L1216" t="s">
        <v>26</v>
      </c>
      <c r="M1216" t="s">
        <v>27</v>
      </c>
      <c r="N1216">
        <v>254.116479745031</v>
      </c>
      <c r="O1216">
        <v>190.31590119696199</v>
      </c>
      <c r="P1216">
        <v>301.96691365608302</v>
      </c>
      <c r="Q1216">
        <v>157.015497973614</v>
      </c>
      <c r="R1216">
        <v>196.07479164610899</v>
      </c>
      <c r="S1216">
        <v>217.857413971163</v>
      </c>
      <c r="T1216">
        <v>288.72614708162001</v>
      </c>
      <c r="U1216">
        <v>359.73113330876998</v>
      </c>
      <c r="V1216">
        <v>299.41102492088203</v>
      </c>
      <c r="W1216">
        <v>259.99934931306001</v>
      </c>
    </row>
    <row r="1217" spans="1:23" x14ac:dyDescent="0.2">
      <c r="A1217" t="s">
        <v>2443</v>
      </c>
      <c r="B1217" s="3" t="str">
        <f>HYPERLINK("http://www.ncbi.nlm.nih.gov/gene/102866","Pls3")</f>
        <v>Pls3</v>
      </c>
      <c r="C1217">
        <v>102866</v>
      </c>
      <c r="D1217" t="s">
        <v>2444</v>
      </c>
      <c r="E1217" s="3" t="str">
        <f>HYPERLINK("http://genome.ucsc.edu/cgi-bin/hgTracks?db=mm10&amp;lastVirtModeType=default&amp;lastVirtModeExtraState=&amp;virtModeType=default&amp;virtMode=0&amp;nonVirtPosition=&amp;position=chrX:75785653-75875170","chrX:75785653-75875170")</f>
        <v>chrX:75785653-75875170</v>
      </c>
      <c r="F1217" t="s">
        <v>25</v>
      </c>
      <c r="G1217">
        <v>-0.77712132375820597</v>
      </c>
      <c r="H1217">
        <v>0.19666570609071299</v>
      </c>
      <c r="I1217">
        <v>-3.95148365826299</v>
      </c>
      <c r="J1217" s="1">
        <v>7.7668176662917194E-5</v>
      </c>
      <c r="K1217">
        <v>8.5883943327260401E-4</v>
      </c>
      <c r="L1217" t="s">
        <v>26</v>
      </c>
      <c r="M1217" t="s">
        <v>27</v>
      </c>
      <c r="N1217">
        <v>337.99333402825499</v>
      </c>
      <c r="O1217">
        <v>454.30683391099302</v>
      </c>
      <c r="P1217">
        <v>250.75820911620201</v>
      </c>
      <c r="Q1217">
        <v>581.84821057598299</v>
      </c>
      <c r="R1217">
        <v>412.629348763959</v>
      </c>
      <c r="S1217">
        <v>368.44294239303599</v>
      </c>
      <c r="T1217">
        <v>206.23296220115699</v>
      </c>
      <c r="U1217">
        <v>237.67949879329399</v>
      </c>
      <c r="V1217">
        <v>332.51543799567202</v>
      </c>
      <c r="W1217">
        <v>226.60493747468601</v>
      </c>
    </row>
    <row r="1218" spans="1:23" x14ac:dyDescent="0.2">
      <c r="A1218" t="s">
        <v>2445</v>
      </c>
      <c r="B1218" s="3" t="str">
        <f>HYPERLINK("http://www.ncbi.nlm.nih.gov/gene/18606","Enpp2")</f>
        <v>Enpp2</v>
      </c>
      <c r="C1218">
        <v>18606</v>
      </c>
      <c r="D1218" t="s">
        <v>2446</v>
      </c>
      <c r="E1218" s="3" t="str">
        <f>HYPERLINK("http://genome.ucsc.edu/cgi-bin/hgTracks?db=mm10&amp;lastVirtModeType=default&amp;lastVirtModeExtraState=&amp;virtModeType=default&amp;virtMode=0&amp;nonVirtPosition=&amp;position=chr15:54838900-54920146","chr15:54838900-54920146")</f>
        <v>chr15:54838900-54920146</v>
      </c>
      <c r="F1218" t="s">
        <v>25</v>
      </c>
      <c r="G1218">
        <v>-0.91403817776623197</v>
      </c>
      <c r="H1218">
        <v>0.23133318768384001</v>
      </c>
      <c r="I1218">
        <v>-3.9511761667998901</v>
      </c>
      <c r="J1218" s="1">
        <v>7.7768050450998906E-5</v>
      </c>
      <c r="K1218">
        <v>8.5923429339053404E-4</v>
      </c>
      <c r="L1218" t="s">
        <v>26</v>
      </c>
      <c r="M1218" t="s">
        <v>27</v>
      </c>
      <c r="N1218">
        <v>1677.18793320072</v>
      </c>
      <c r="O1218">
        <v>2353.4967089445599</v>
      </c>
      <c r="P1218">
        <v>1169.9563513928499</v>
      </c>
      <c r="Q1218">
        <v>2568.4840147244099</v>
      </c>
      <c r="R1218">
        <v>3156.9179219772</v>
      </c>
      <c r="S1218">
        <v>1335.0881901320699</v>
      </c>
      <c r="T1218">
        <v>1127.4068600329899</v>
      </c>
      <c r="U1218">
        <v>948.57673842729196</v>
      </c>
      <c r="V1218">
        <v>1418.3401868487999</v>
      </c>
      <c r="W1218">
        <v>1185.5016202623001</v>
      </c>
    </row>
    <row r="1219" spans="1:23" x14ac:dyDescent="0.2">
      <c r="A1219" t="s">
        <v>2447</v>
      </c>
      <c r="B1219" s="3" t="str">
        <f>HYPERLINK("http://www.ncbi.nlm.nih.gov/gene/22781","Ikzf4")</f>
        <v>Ikzf4</v>
      </c>
      <c r="C1219">
        <v>22781</v>
      </c>
      <c r="D1219" t="s">
        <v>2448</v>
      </c>
      <c r="E1219" s="3" t="str">
        <f>HYPERLINK("http://genome.ucsc.edu/cgi-bin/hgTracks?db=mm10&amp;lastVirtModeType=default&amp;lastVirtModeExtraState=&amp;virtModeType=default&amp;virtMode=0&amp;nonVirtPosition=&amp;position=chr10:128632414-128645993","chr10:128632414-128645993")</f>
        <v>chr10:128632414-128645993</v>
      </c>
      <c r="F1219" t="s">
        <v>25</v>
      </c>
      <c r="G1219">
        <v>0.96261897286679399</v>
      </c>
      <c r="H1219">
        <v>0.24367363009210499</v>
      </c>
      <c r="I1219">
        <v>3.9504437657162099</v>
      </c>
      <c r="J1219" s="1">
        <v>7.8006424923383303E-5</v>
      </c>
      <c r="K1219">
        <v>8.6115749064223104E-4</v>
      </c>
      <c r="L1219" t="s">
        <v>26</v>
      </c>
      <c r="M1219" t="s">
        <v>27</v>
      </c>
      <c r="N1219">
        <v>52.946886153268998</v>
      </c>
      <c r="O1219">
        <v>31.5665966624492</v>
      </c>
      <c r="P1219">
        <v>68.982103271383707</v>
      </c>
      <c r="Q1219">
        <v>37.861893128389298</v>
      </c>
      <c r="R1219">
        <v>25.789334297747398</v>
      </c>
      <c r="S1219">
        <v>31.0485625612109</v>
      </c>
      <c r="T1219">
        <v>96.242049027206505</v>
      </c>
      <c r="U1219">
        <v>55.672675393023901</v>
      </c>
      <c r="V1219">
        <v>69.151440645117603</v>
      </c>
      <c r="W1219">
        <v>54.862248020187003</v>
      </c>
    </row>
    <row r="1220" spans="1:23" x14ac:dyDescent="0.2">
      <c r="A1220" t="s">
        <v>2449</v>
      </c>
      <c r="B1220" s="3" t="str">
        <f>HYPERLINK("http://www.ncbi.nlm.nih.gov/gene/243743","Plxna4")</f>
        <v>Plxna4</v>
      </c>
      <c r="C1220">
        <v>243743</v>
      </c>
      <c r="D1220" t="s">
        <v>2450</v>
      </c>
      <c r="E1220" s="3" t="str">
        <f>HYPERLINK("http://genome.ucsc.edu/cgi-bin/hgTracks?db=mm10&amp;lastVirtModeType=default&amp;lastVirtModeExtraState=&amp;virtModeType=default&amp;virtMode=0&amp;nonVirtPosition=&amp;position=chr6:32144556-32588192","chr6:32144556-32588192")</f>
        <v>chr6:32144556-32588192</v>
      </c>
      <c r="F1220" t="s">
        <v>25</v>
      </c>
      <c r="G1220">
        <v>-0.68769855473769204</v>
      </c>
      <c r="H1220">
        <v>0.17409543345383799</v>
      </c>
      <c r="I1220">
        <v>-3.9501240273486999</v>
      </c>
      <c r="J1220" s="1">
        <v>7.8110706594768694E-5</v>
      </c>
      <c r="K1220">
        <v>8.6159841187030304E-4</v>
      </c>
      <c r="L1220" t="s">
        <v>26</v>
      </c>
      <c r="M1220" t="s">
        <v>27</v>
      </c>
      <c r="N1220">
        <v>196.29064143044201</v>
      </c>
      <c r="O1220">
        <v>255.49836770823001</v>
      </c>
      <c r="P1220">
        <v>151.88484672210001</v>
      </c>
      <c r="Q1220">
        <v>301.78155993510302</v>
      </c>
      <c r="R1220">
        <v>254.100793816041</v>
      </c>
      <c r="S1220">
        <v>210.61274937354699</v>
      </c>
      <c r="T1220">
        <v>128.322732036275</v>
      </c>
      <c r="U1220">
        <v>149.88797221198701</v>
      </c>
      <c r="V1220">
        <v>145.65941752907801</v>
      </c>
      <c r="W1220">
        <v>183.66926511106101</v>
      </c>
    </row>
    <row r="1221" spans="1:23" x14ac:dyDescent="0.2">
      <c r="A1221" t="s">
        <v>2451</v>
      </c>
      <c r="B1221" s="3" t="str">
        <f>HYPERLINK("http://www.ncbi.nlm.nih.gov/gene/56440","Snx1")</f>
        <v>Snx1</v>
      </c>
      <c r="C1221">
        <v>56440</v>
      </c>
      <c r="D1221" t="s">
        <v>2452</v>
      </c>
      <c r="E1221" s="3" t="str">
        <f>HYPERLINK("http://genome.ucsc.edu/cgi-bin/hgTracks?db=mm10&amp;lastVirtModeType=default&amp;lastVirtModeExtraState=&amp;virtModeType=default&amp;virtMode=0&amp;nonVirtPosition=&amp;position=chr9:66088126-66124886","chr9:66088126-66124886")</f>
        <v>chr9:66088126-66124886</v>
      </c>
      <c r="F1221" t="s">
        <v>25</v>
      </c>
      <c r="G1221">
        <v>-0.79322253945491605</v>
      </c>
      <c r="H1221">
        <v>0.20091921174882599</v>
      </c>
      <c r="I1221">
        <v>-3.9479676062363902</v>
      </c>
      <c r="J1221" s="1">
        <v>7.8817466178455702E-5</v>
      </c>
      <c r="K1221">
        <v>8.6865866834436804E-4</v>
      </c>
      <c r="L1221" t="s">
        <v>26</v>
      </c>
      <c r="M1221" t="s">
        <v>27</v>
      </c>
      <c r="N1221">
        <v>813.45737052704203</v>
      </c>
      <c r="O1221">
        <v>1092.8018076471601</v>
      </c>
      <c r="P1221">
        <v>603.94904268695598</v>
      </c>
      <c r="Q1221">
        <v>1522.82761332566</v>
      </c>
      <c r="R1221">
        <v>824.12093277948804</v>
      </c>
      <c r="S1221">
        <v>931.45687683632605</v>
      </c>
      <c r="T1221">
        <v>595.78411302556401</v>
      </c>
      <c r="U1221">
        <v>490.34779480778798</v>
      </c>
      <c r="V1221">
        <v>685.62917746010203</v>
      </c>
      <c r="W1221">
        <v>644.03508545437001</v>
      </c>
    </row>
    <row r="1222" spans="1:23" x14ac:dyDescent="0.2">
      <c r="A1222" t="s">
        <v>2453</v>
      </c>
      <c r="B1222" s="3" t="str">
        <f>HYPERLINK("http://www.ncbi.nlm.nih.gov/gene/329584","Slc2a4rg-ps")</f>
        <v>Slc2a4rg-ps</v>
      </c>
      <c r="C1222">
        <v>329584</v>
      </c>
      <c r="D1222" t="s">
        <v>2454</v>
      </c>
      <c r="E1222" s="3" t="str">
        <f>HYPERLINK("http://genome.ucsc.edu/cgi-bin/hgTracks?db=mm10&amp;lastVirtModeType=default&amp;lastVirtModeExtraState=&amp;virtModeType=default&amp;virtMode=0&amp;nonVirtPosition=&amp;position=chr2:181384249-181387596","chr2:181384249-181387596")</f>
        <v>chr2:181384249-181387596</v>
      </c>
      <c r="F1222" t="s">
        <v>30</v>
      </c>
      <c r="G1222">
        <v>1.0810551530099399</v>
      </c>
      <c r="H1222">
        <v>0.27383902142807698</v>
      </c>
      <c r="I1222">
        <v>3.9477761327520402</v>
      </c>
      <c r="J1222" s="1">
        <v>7.8880512337148201E-5</v>
      </c>
      <c r="K1222">
        <v>8.6865866834436804E-4</v>
      </c>
      <c r="L1222" t="s">
        <v>26</v>
      </c>
      <c r="M1222" t="s">
        <v>27</v>
      </c>
      <c r="N1222">
        <v>31.074851014227701</v>
      </c>
      <c r="O1222">
        <v>17.484612831189299</v>
      </c>
      <c r="P1222">
        <v>41.2675296515065</v>
      </c>
      <c r="Q1222">
        <v>18.930946564194599</v>
      </c>
      <c r="R1222">
        <v>15.9287064780205</v>
      </c>
      <c r="S1222">
        <v>17.5941854513528</v>
      </c>
      <c r="T1222">
        <v>36.663637724650101</v>
      </c>
      <c r="U1222">
        <v>42.825134917710699</v>
      </c>
      <c r="V1222">
        <v>33.104413074790401</v>
      </c>
      <c r="W1222">
        <v>52.4769328888746</v>
      </c>
    </row>
    <row r="1223" spans="1:23" x14ac:dyDescent="0.2">
      <c r="A1223" t="s">
        <v>2455</v>
      </c>
      <c r="B1223" s="3" t="str">
        <f>HYPERLINK("http://www.ncbi.nlm.nih.gov/gene/66616","Snx9")</f>
        <v>Snx9</v>
      </c>
      <c r="C1223">
        <v>66616</v>
      </c>
      <c r="D1223" t="s">
        <v>2456</v>
      </c>
      <c r="E1223" s="3" t="str">
        <f>HYPERLINK("http://genome.ucsc.edu/cgi-bin/hgTracks?db=mm10&amp;lastVirtModeType=default&amp;lastVirtModeExtraState=&amp;virtModeType=default&amp;virtMode=0&amp;nonVirtPosition=&amp;position=chr17:5841379-5930711","chr17:5841379-5930711")</f>
        <v>chr17:5841379-5930711</v>
      </c>
      <c r="F1223" t="s">
        <v>30</v>
      </c>
      <c r="G1223">
        <v>-0.50350157960389197</v>
      </c>
      <c r="H1223">
        <v>0.127558574394013</v>
      </c>
      <c r="I1223">
        <v>-3.9472186169832701</v>
      </c>
      <c r="J1223" s="1">
        <v>7.9064356257858596E-5</v>
      </c>
      <c r="K1223">
        <v>8.69967785249782E-4</v>
      </c>
      <c r="L1223" t="s">
        <v>26</v>
      </c>
      <c r="M1223" t="s">
        <v>27</v>
      </c>
      <c r="N1223">
        <v>271.27196041903699</v>
      </c>
      <c r="O1223">
        <v>328.623658277027</v>
      </c>
      <c r="P1223">
        <v>228.258187025544</v>
      </c>
      <c r="Q1223">
        <v>344.654585977544</v>
      </c>
      <c r="R1223">
        <v>296.57734442409497</v>
      </c>
      <c r="S1223">
        <v>344.63904442944101</v>
      </c>
      <c r="T1223">
        <v>215.39887163231899</v>
      </c>
      <c r="U1223">
        <v>241.96201228506499</v>
      </c>
      <c r="V1223">
        <v>230.25958427576401</v>
      </c>
      <c r="W1223">
        <v>225.412279909029</v>
      </c>
    </row>
    <row r="1224" spans="1:23" x14ac:dyDescent="0.2">
      <c r="A1224" t="s">
        <v>2457</v>
      </c>
      <c r="B1224" s="3" t="str">
        <f>HYPERLINK("http://www.ncbi.nlm.nih.gov/gene/20440","St6gal1")</f>
        <v>St6gal1</v>
      </c>
      <c r="C1224">
        <v>20440</v>
      </c>
      <c r="D1224" t="s">
        <v>2458</v>
      </c>
      <c r="E1224" s="3" t="str">
        <f>HYPERLINK("http://genome.ucsc.edu/cgi-bin/hgTracks?db=mm10&amp;lastVirtModeType=default&amp;lastVirtModeExtraState=&amp;virtModeType=default&amp;virtMode=0&amp;nonVirtPosition=&amp;position=chr16:23290469-23360350","chr16:23290469-23360350")</f>
        <v>chr16:23290469-23360350</v>
      </c>
      <c r="F1224" t="s">
        <v>30</v>
      </c>
      <c r="G1224">
        <v>-0.97205556689971795</v>
      </c>
      <c r="H1224">
        <v>0.246291395439966</v>
      </c>
      <c r="I1224">
        <v>-3.9467703090612298</v>
      </c>
      <c r="J1224" s="1">
        <v>7.9212482030073598E-5</v>
      </c>
      <c r="K1224">
        <v>8.7088205818121203E-4</v>
      </c>
      <c r="L1224" t="s">
        <v>26</v>
      </c>
      <c r="M1224" t="s">
        <v>27</v>
      </c>
      <c r="N1224">
        <v>248.17620884961201</v>
      </c>
      <c r="O1224">
        <v>358.05422287298398</v>
      </c>
      <c r="P1224">
        <v>165.767698332083</v>
      </c>
      <c r="Q1224">
        <v>507.23800941121499</v>
      </c>
      <c r="R1224">
        <v>209.34871371112601</v>
      </c>
      <c r="S1224">
        <v>357.57594549661201</v>
      </c>
      <c r="T1224">
        <v>142.07159618301901</v>
      </c>
      <c r="U1224">
        <v>141.32294522844501</v>
      </c>
      <c r="V1224">
        <v>216.28216542196401</v>
      </c>
      <c r="W1224">
        <v>163.394086494905</v>
      </c>
    </row>
    <row r="1225" spans="1:23" x14ac:dyDescent="0.2">
      <c r="A1225" t="s">
        <v>2459</v>
      </c>
      <c r="B1225" s="3" t="str">
        <f>HYPERLINK("http://www.ncbi.nlm.nih.gov/gene/231670","Fbxo21")</f>
        <v>Fbxo21</v>
      </c>
      <c r="C1225">
        <v>231670</v>
      </c>
      <c r="D1225" t="s">
        <v>2460</v>
      </c>
      <c r="E1225" s="3" t="str">
        <f>HYPERLINK("http://genome.ucsc.edu/cgi-bin/hgTracks?db=mm10&amp;lastVirtModeType=default&amp;lastVirtModeExtraState=&amp;virtModeType=default&amp;virtMode=0&amp;nonVirtPosition=&amp;position=chr5:117976769-118010191","chr5:117976769-118010191")</f>
        <v>chr5:117976769-118010191</v>
      </c>
      <c r="F1225" t="s">
        <v>30</v>
      </c>
      <c r="G1225">
        <v>-0.46730615037291001</v>
      </c>
      <c r="H1225">
        <v>0.1184831610569</v>
      </c>
      <c r="I1225">
        <v>-3.9440722732615998</v>
      </c>
      <c r="J1225" s="1">
        <v>8.0109497463649905E-5</v>
      </c>
      <c r="K1225">
        <v>8.8002155909412195E-4</v>
      </c>
      <c r="L1225" t="s">
        <v>26</v>
      </c>
      <c r="M1225" t="s">
        <v>27</v>
      </c>
      <c r="N1225">
        <v>484.84872739990902</v>
      </c>
      <c r="O1225">
        <v>579.01995694994002</v>
      </c>
      <c r="P1225">
        <v>414.22030523738499</v>
      </c>
      <c r="Q1225">
        <v>522.27140815336998</v>
      </c>
      <c r="R1225">
        <v>581.39778644774697</v>
      </c>
      <c r="S1225">
        <v>633.39067624870199</v>
      </c>
      <c r="T1225">
        <v>384.96819610882602</v>
      </c>
      <c r="U1225">
        <v>445.38140314419098</v>
      </c>
      <c r="V1225">
        <v>403.13818588855798</v>
      </c>
      <c r="W1225">
        <v>423.39343580796498</v>
      </c>
    </row>
    <row r="1226" spans="1:23" x14ac:dyDescent="0.2">
      <c r="A1226" t="s">
        <v>2461</v>
      </c>
      <c r="B1226" s="3" t="str">
        <f>HYPERLINK("http://www.ncbi.nlm.nih.gov/gene/99480","Dnttip2")</f>
        <v>Dnttip2</v>
      </c>
      <c r="C1226">
        <v>99480</v>
      </c>
      <c r="D1226" t="s">
        <v>2462</v>
      </c>
      <c r="E1226" s="3" t="str">
        <f>HYPERLINK("http://genome.ucsc.edu/cgi-bin/hgTracks?db=mm10&amp;lastVirtModeType=default&amp;lastVirtModeExtraState=&amp;virtModeType=default&amp;virtMode=0&amp;nonVirtPosition=&amp;position=chr3:122274413-122285271","chr3:122274413-122285271")</f>
        <v>chr3:122274413-122285271</v>
      </c>
      <c r="F1226" t="s">
        <v>30</v>
      </c>
      <c r="G1226">
        <v>-0.596660057099765</v>
      </c>
      <c r="H1226">
        <v>0.15129196486744501</v>
      </c>
      <c r="I1226">
        <v>-3.9437656693964498</v>
      </c>
      <c r="J1226" s="1">
        <v>8.0212039428708898E-5</v>
      </c>
      <c r="K1226">
        <v>8.8042575409003304E-4</v>
      </c>
      <c r="L1226" t="s">
        <v>26</v>
      </c>
      <c r="M1226" t="s">
        <v>27</v>
      </c>
      <c r="N1226">
        <v>194.46483849205401</v>
      </c>
      <c r="O1226">
        <v>242.11762805365501</v>
      </c>
      <c r="P1226">
        <v>158.72524632085401</v>
      </c>
      <c r="Q1226">
        <v>224.944188586313</v>
      </c>
      <c r="R1226">
        <v>272.68428470706499</v>
      </c>
      <c r="S1226">
        <v>228.72441086758701</v>
      </c>
      <c r="T1226">
        <v>169.56932447650701</v>
      </c>
      <c r="U1226">
        <v>156.31174244964399</v>
      </c>
      <c r="V1226">
        <v>170.671640741141</v>
      </c>
      <c r="W1226">
        <v>138.34827761612399</v>
      </c>
    </row>
    <row r="1227" spans="1:23" x14ac:dyDescent="0.2">
      <c r="A1227" t="s">
        <v>2463</v>
      </c>
      <c r="B1227" s="3" t="str">
        <f>HYPERLINK("http://www.ncbi.nlm.nih.gov/gene/74493","Tnks2")</f>
        <v>Tnks2</v>
      </c>
      <c r="C1227">
        <v>74493</v>
      </c>
      <c r="D1227" t="s">
        <v>2464</v>
      </c>
      <c r="E1227" s="3" t="str">
        <f>HYPERLINK("http://genome.ucsc.edu/cgi-bin/hgTracks?db=mm10&amp;lastVirtModeType=default&amp;lastVirtModeExtraState=&amp;virtModeType=default&amp;virtMode=0&amp;nonVirtPosition=&amp;position=chr19:36834231-36893477","chr19:36834231-36893477")</f>
        <v>chr19:36834231-36893477</v>
      </c>
      <c r="F1227" t="s">
        <v>30</v>
      </c>
      <c r="G1227">
        <v>-0.456624974868797</v>
      </c>
      <c r="H1227">
        <v>0.115795487395918</v>
      </c>
      <c r="I1227">
        <v>-3.9433745229427202</v>
      </c>
      <c r="J1227" s="1">
        <v>8.0343036310425505E-5</v>
      </c>
      <c r="K1227">
        <v>8.8114135891310995E-4</v>
      </c>
      <c r="L1227" t="s">
        <v>26</v>
      </c>
      <c r="M1227" t="s">
        <v>27</v>
      </c>
      <c r="N1227">
        <v>1430.7544109666701</v>
      </c>
      <c r="O1227">
        <v>1704.8723218231701</v>
      </c>
      <c r="P1227">
        <v>1225.1659778242899</v>
      </c>
      <c r="Q1227">
        <v>1758.90765283209</v>
      </c>
      <c r="R1227">
        <v>1584.9062945630401</v>
      </c>
      <c r="S1227">
        <v>1770.8030180743899</v>
      </c>
      <c r="T1227">
        <v>1081.57731287718</v>
      </c>
      <c r="U1227">
        <v>1241.92891261361</v>
      </c>
      <c r="V1227">
        <v>1384.50012015012</v>
      </c>
      <c r="W1227">
        <v>1192.65756565624</v>
      </c>
    </row>
    <row r="1228" spans="1:23" x14ac:dyDescent="0.2">
      <c r="A1228" t="s">
        <v>2465</v>
      </c>
      <c r="B1228" s="3" t="str">
        <f>HYPERLINK("http://www.ncbi.nlm.nih.gov/gene/209456","Trp53bp2")</f>
        <v>Trp53bp2</v>
      </c>
      <c r="C1228">
        <v>209456</v>
      </c>
      <c r="D1228" t="s">
        <v>2466</v>
      </c>
      <c r="E1228" s="3" t="str">
        <f>HYPERLINK("http://genome.ucsc.edu/cgi-bin/hgTracks?db=mm10&amp;lastVirtModeType=default&amp;lastVirtModeExtraState=&amp;virtModeType=default&amp;virtMode=0&amp;nonVirtPosition=&amp;position=chr1:182409166-182462436","chr1:182409166-182462436")</f>
        <v>chr1:182409166-182462436</v>
      </c>
      <c r="F1228" t="s">
        <v>30</v>
      </c>
      <c r="G1228">
        <v>0.62053572743385699</v>
      </c>
      <c r="H1228">
        <v>0.15740272617056</v>
      </c>
      <c r="I1228">
        <v>3.94234421811379</v>
      </c>
      <c r="J1228" s="1">
        <v>8.0689059069195498E-5</v>
      </c>
      <c r="K1228">
        <v>8.8407791793515805E-4</v>
      </c>
      <c r="L1228" t="s">
        <v>26</v>
      </c>
      <c r="M1228" t="s">
        <v>27</v>
      </c>
      <c r="N1228">
        <v>140.04529684007599</v>
      </c>
      <c r="O1228">
        <v>107.843220603009</v>
      </c>
      <c r="P1228">
        <v>164.19685401787601</v>
      </c>
      <c r="Q1228">
        <v>111.358509201145</v>
      </c>
      <c r="R1228">
        <v>105.053611771706</v>
      </c>
      <c r="S1228">
        <v>107.117540836177</v>
      </c>
      <c r="T1228">
        <v>146.65455089860001</v>
      </c>
      <c r="U1228">
        <v>143.46420197433099</v>
      </c>
      <c r="V1228">
        <v>185.38471321882599</v>
      </c>
      <c r="W1228">
        <v>181.283949979748</v>
      </c>
    </row>
    <row r="1229" spans="1:23" x14ac:dyDescent="0.2">
      <c r="A1229" t="s">
        <v>2467</v>
      </c>
      <c r="B1229" s="3" t="str">
        <f>HYPERLINK("http://www.ncbi.nlm.nih.gov/gene/19771","Rlbp1")</f>
        <v>Rlbp1</v>
      </c>
      <c r="C1229">
        <v>19771</v>
      </c>
      <c r="D1229" t="s">
        <v>2468</v>
      </c>
      <c r="E1229" s="3" t="str">
        <f>HYPERLINK("http://genome.ucsc.edu/cgi-bin/hgTracks?db=mm10&amp;lastVirtModeType=default&amp;lastVirtModeExtraState=&amp;virtModeType=default&amp;virtMode=0&amp;nonVirtPosition=&amp;position=chr7:79374870-79387027","chr7:79374870-79387027")</f>
        <v>chr7:79374870-79387027</v>
      </c>
      <c r="F1229" t="s">
        <v>25</v>
      </c>
      <c r="G1229">
        <v>1.3979076585108099</v>
      </c>
      <c r="H1229">
        <v>0.35461967306097902</v>
      </c>
      <c r="I1229">
        <v>3.9419912788381501</v>
      </c>
      <c r="J1229" s="1">
        <v>8.0807915552391605E-5</v>
      </c>
      <c r="K1229">
        <v>8.8407791793515805E-4</v>
      </c>
      <c r="L1229" t="s">
        <v>26</v>
      </c>
      <c r="M1229" t="s">
        <v>27</v>
      </c>
      <c r="N1229">
        <v>356.75905163765901</v>
      </c>
      <c r="O1229">
        <v>137.13038470980601</v>
      </c>
      <c r="P1229">
        <v>521.48055183354904</v>
      </c>
      <c r="Q1229">
        <v>251.67023079458801</v>
      </c>
      <c r="R1229">
        <v>68.645139821945406</v>
      </c>
      <c r="S1229">
        <v>91.075783512885195</v>
      </c>
      <c r="T1229">
        <v>508.70797342952</v>
      </c>
      <c r="U1229">
        <v>473.21774084070302</v>
      </c>
      <c r="V1229">
        <v>536.29149181160403</v>
      </c>
      <c r="W1229">
        <v>567.70500125237004</v>
      </c>
    </row>
    <row r="1230" spans="1:23" x14ac:dyDescent="0.2">
      <c r="A1230" t="s">
        <v>2469</v>
      </c>
      <c r="B1230" s="3" t="str">
        <f>HYPERLINK("http://www.ncbi.nlm.nih.gov/gene/110639","Prps2")</f>
        <v>Prps2</v>
      </c>
      <c r="C1230">
        <v>110639</v>
      </c>
      <c r="D1230" t="s">
        <v>2470</v>
      </c>
      <c r="E1230" s="3" t="str">
        <f>HYPERLINK("http://genome.ucsc.edu/cgi-bin/hgTracks?db=mm10&amp;lastVirtModeType=default&amp;lastVirtModeExtraState=&amp;virtModeType=default&amp;virtMode=0&amp;nonVirtPosition=&amp;position=chrX:167346319-167382749","chrX:167346319-167382749")</f>
        <v>chrX:167346319-167382749</v>
      </c>
      <c r="F1230" t="s">
        <v>25</v>
      </c>
      <c r="G1230">
        <v>-0.73871338467727798</v>
      </c>
      <c r="H1230">
        <v>0.187396129161231</v>
      </c>
      <c r="I1230">
        <v>-3.9419884924181599</v>
      </c>
      <c r="J1230" s="1">
        <v>8.08088545704304E-5</v>
      </c>
      <c r="K1230">
        <v>8.8407791793515805E-4</v>
      </c>
      <c r="L1230" t="s">
        <v>26</v>
      </c>
      <c r="M1230" t="s">
        <v>27</v>
      </c>
      <c r="N1230">
        <v>270.15767405806201</v>
      </c>
      <c r="O1230">
        <v>354.46635071266201</v>
      </c>
      <c r="P1230">
        <v>206.926166567113</v>
      </c>
      <c r="Q1230">
        <v>262.24928916869601</v>
      </c>
      <c r="R1230">
        <v>356.120366258601</v>
      </c>
      <c r="S1230">
        <v>445.02939671068901</v>
      </c>
      <c r="T1230">
        <v>201.650007485576</v>
      </c>
      <c r="U1230">
        <v>246.24452577683701</v>
      </c>
      <c r="V1230">
        <v>194.948210329321</v>
      </c>
      <c r="W1230">
        <v>184.861922676717</v>
      </c>
    </row>
    <row r="1231" spans="1:23" x14ac:dyDescent="0.2">
      <c r="A1231" t="s">
        <v>2471</v>
      </c>
      <c r="B1231" s="3" t="str">
        <f>HYPERLINK("http://www.ncbi.nlm.nih.gov/gene/18000","Sept2")</f>
        <v>Sept2</v>
      </c>
      <c r="C1231">
        <v>18000</v>
      </c>
      <c r="D1231" t="s">
        <v>2472</v>
      </c>
      <c r="E1231" s="3" t="str">
        <f>HYPERLINK("http://genome.ucsc.edu/cgi-bin/hgTracks?db=mm10&amp;lastVirtModeType=default&amp;lastVirtModeExtraState=&amp;virtModeType=default&amp;virtMode=0&amp;nonVirtPosition=&amp;position=chr1:93478992-93509732","chr1:93478992-93509732")</f>
        <v>chr1:93478992-93509732</v>
      </c>
      <c r="F1231" t="s">
        <v>30</v>
      </c>
      <c r="G1231">
        <v>0.889538774198669</v>
      </c>
      <c r="H1231">
        <v>0.225677220568654</v>
      </c>
      <c r="I1231">
        <v>3.94164183676686</v>
      </c>
      <c r="J1231" s="1">
        <v>8.0925757336621003E-5</v>
      </c>
      <c r="K1231">
        <v>8.8463413591403396E-4</v>
      </c>
      <c r="L1231" t="s">
        <v>26</v>
      </c>
      <c r="M1231" t="s">
        <v>27</v>
      </c>
      <c r="N1231">
        <v>48.351594714918399</v>
      </c>
      <c r="O1231">
        <v>30.718633926407801</v>
      </c>
      <c r="P1231">
        <v>61.576315306301403</v>
      </c>
      <c r="Q1231">
        <v>27.282834754280501</v>
      </c>
      <c r="R1231">
        <v>30.719648207610899</v>
      </c>
      <c r="S1231">
        <v>34.153418817331897</v>
      </c>
      <c r="T1231">
        <v>68.744320733718993</v>
      </c>
      <c r="U1231">
        <v>62.096445630680499</v>
      </c>
      <c r="V1231">
        <v>61.7949044062753</v>
      </c>
      <c r="W1231">
        <v>53.669590454530798</v>
      </c>
    </row>
    <row r="1232" spans="1:23" x14ac:dyDescent="0.2">
      <c r="A1232" t="s">
        <v>2473</v>
      </c>
      <c r="B1232" s="3" t="str">
        <f>HYPERLINK("http://www.ncbi.nlm.nih.gov/gene/15931","Ids")</f>
        <v>Ids</v>
      </c>
      <c r="C1232">
        <v>15931</v>
      </c>
      <c r="D1232" t="s">
        <v>2474</v>
      </c>
      <c r="E1232" s="3" t="str">
        <f>HYPERLINK("http://genome.ucsc.edu/cgi-bin/hgTracks?db=mm10&amp;lastVirtModeType=default&amp;lastVirtModeExtraState=&amp;virtModeType=default&amp;virtMode=0&amp;nonVirtPosition=&amp;position=chrX:70343069-70365085","chrX:70343069-70365085")</f>
        <v>chrX:70343069-70365085</v>
      </c>
      <c r="F1232" t="s">
        <v>25</v>
      </c>
      <c r="G1232">
        <v>-0.51675785918565698</v>
      </c>
      <c r="H1232">
        <v>0.13112203592816399</v>
      </c>
      <c r="I1232">
        <v>-3.9410451151686199</v>
      </c>
      <c r="J1232" s="1">
        <v>8.1127364408474503E-5</v>
      </c>
      <c r="K1232">
        <v>8.8539245052476098E-4</v>
      </c>
      <c r="L1232" t="s">
        <v>26</v>
      </c>
      <c r="M1232" t="s">
        <v>27</v>
      </c>
      <c r="N1232">
        <v>559.01384402111603</v>
      </c>
      <c r="O1232">
        <v>682.99368829946297</v>
      </c>
      <c r="P1232">
        <v>466.02896081235701</v>
      </c>
      <c r="Q1232">
        <v>761.69220293583203</v>
      </c>
      <c r="R1232">
        <v>606.80786582935104</v>
      </c>
      <c r="S1232">
        <v>680.48099613320505</v>
      </c>
      <c r="T1232">
        <v>384.96819610882602</v>
      </c>
      <c r="U1232">
        <v>511.76036226664303</v>
      </c>
      <c r="V1232">
        <v>495.09488887408702</v>
      </c>
      <c r="W1232">
        <v>472.29239599987102</v>
      </c>
    </row>
    <row r="1233" spans="1:23" x14ac:dyDescent="0.2">
      <c r="A1233" t="s">
        <v>2475</v>
      </c>
      <c r="B1233" s="3" t="str">
        <f>HYPERLINK("http://www.ncbi.nlm.nih.gov/gene/20844","Stam")</f>
        <v>Stam</v>
      </c>
      <c r="C1233">
        <v>20844</v>
      </c>
      <c r="D1233" t="s">
        <v>2476</v>
      </c>
      <c r="E1233" s="3" t="str">
        <f>HYPERLINK("http://genome.ucsc.edu/cgi-bin/hgTracks?db=mm10&amp;lastVirtModeType=default&amp;lastVirtModeExtraState=&amp;virtModeType=default&amp;virtMode=0&amp;nonVirtPosition=&amp;position=chr2:14074111-14148330","chr2:14074111-14148330")</f>
        <v>chr2:14074111-14148330</v>
      </c>
      <c r="F1233" t="s">
        <v>30</v>
      </c>
      <c r="G1233">
        <v>-0.50127977234059995</v>
      </c>
      <c r="H1233">
        <v>0.127234015442414</v>
      </c>
      <c r="I1233">
        <v>-3.9398251371503701</v>
      </c>
      <c r="J1233" s="1">
        <v>8.1541021957486594E-5</v>
      </c>
      <c r="K1233">
        <v>8.8918226794194096E-4</v>
      </c>
      <c r="L1233" t="s">
        <v>26</v>
      </c>
      <c r="M1233" t="s">
        <v>27</v>
      </c>
      <c r="N1233">
        <v>398.06227134938598</v>
      </c>
      <c r="O1233">
        <v>484.36961378695298</v>
      </c>
      <c r="P1233">
        <v>333.33176452121103</v>
      </c>
      <c r="Q1233">
        <v>480.51196720294098</v>
      </c>
      <c r="R1233">
        <v>487.72182216034099</v>
      </c>
      <c r="S1233">
        <v>484.87505199757601</v>
      </c>
      <c r="T1233">
        <v>302.47501122836297</v>
      </c>
      <c r="U1233">
        <v>323.32976862871601</v>
      </c>
      <c r="V1233">
        <v>395.04599602583198</v>
      </c>
      <c r="W1233">
        <v>312.47628220193502</v>
      </c>
    </row>
    <row r="1234" spans="1:23" x14ac:dyDescent="0.2">
      <c r="A1234" t="s">
        <v>2477</v>
      </c>
      <c r="B1234" s="3" t="str">
        <f>HYPERLINK("http://www.ncbi.nlm.nih.gov/gene/14789","P3h3")</f>
        <v>P3h3</v>
      </c>
      <c r="C1234">
        <v>14789</v>
      </c>
      <c r="D1234" t="s">
        <v>2478</v>
      </c>
      <c r="E1234" s="3" t="str">
        <f>HYPERLINK("http://genome.ucsc.edu/cgi-bin/hgTracks?db=mm10&amp;lastVirtModeType=default&amp;lastVirtModeExtraState=&amp;virtModeType=default&amp;virtMode=0&amp;nonVirtPosition=&amp;position=chr6:124841094-124857687","chr6:124841094-124857687")</f>
        <v>chr6:124841094-124857687</v>
      </c>
      <c r="F1234" t="s">
        <v>25</v>
      </c>
      <c r="G1234">
        <v>0.72512765719111005</v>
      </c>
      <c r="H1234">
        <v>0.18406337069964299</v>
      </c>
      <c r="I1234">
        <v>3.93955437431591</v>
      </c>
      <c r="J1234" s="1">
        <v>8.1633099361666704E-5</v>
      </c>
      <c r="K1234">
        <v>8.8946202892764797E-4</v>
      </c>
      <c r="L1234" t="s">
        <v>26</v>
      </c>
      <c r="M1234" t="s">
        <v>27</v>
      </c>
      <c r="N1234">
        <v>128.993126570871</v>
      </c>
      <c r="O1234">
        <v>91.883192009440094</v>
      </c>
      <c r="P1234">
        <v>156.82557749194399</v>
      </c>
      <c r="Q1234">
        <v>89.643599906921693</v>
      </c>
      <c r="R1234">
        <v>73.196198815665497</v>
      </c>
      <c r="S1234">
        <v>112.80977730573299</v>
      </c>
      <c r="T1234">
        <v>169.56932447650701</v>
      </c>
      <c r="U1234">
        <v>141.32294522844501</v>
      </c>
      <c r="V1234">
        <v>153.01595376792</v>
      </c>
      <c r="W1234">
        <v>163.394086494905</v>
      </c>
    </row>
    <row r="1235" spans="1:23" x14ac:dyDescent="0.2">
      <c r="A1235" t="s">
        <v>2479</v>
      </c>
      <c r="B1235" s="3" t="str">
        <f>HYPERLINK("http://www.ncbi.nlm.nih.gov/gene/66201","Vta1")</f>
        <v>Vta1</v>
      </c>
      <c r="C1235">
        <v>66201</v>
      </c>
      <c r="D1235" t="s">
        <v>2480</v>
      </c>
      <c r="E1235" s="3" t="str">
        <f>HYPERLINK("http://genome.ucsc.edu/cgi-bin/hgTracks?db=mm10&amp;lastVirtModeType=default&amp;lastVirtModeExtraState=&amp;virtModeType=default&amp;virtMode=0&amp;nonVirtPosition=&amp;position=chr10:14655332-14705489","chr10:14655332-14705489")</f>
        <v>chr10:14655332-14705489</v>
      </c>
      <c r="F1235" t="s">
        <v>25</v>
      </c>
      <c r="G1235">
        <v>-0.66114587271553504</v>
      </c>
      <c r="H1235">
        <v>0.16789122730820299</v>
      </c>
      <c r="I1235">
        <v>-3.9379417454722101</v>
      </c>
      <c r="J1235" s="1">
        <v>8.2183539554041795E-5</v>
      </c>
      <c r="K1235">
        <v>8.9341128764131895E-4</v>
      </c>
      <c r="L1235" t="s">
        <v>26</v>
      </c>
      <c r="M1235" t="s">
        <v>27</v>
      </c>
      <c r="N1235">
        <v>135.404000048478</v>
      </c>
      <c r="O1235">
        <v>173.22046665746299</v>
      </c>
      <c r="P1235">
        <v>107.04165009174</v>
      </c>
      <c r="Q1235">
        <v>158.12908306562599</v>
      </c>
      <c r="R1235">
        <v>190.765222820102</v>
      </c>
      <c r="S1235">
        <v>170.76709408665999</v>
      </c>
      <c r="T1235">
        <v>119.15682260511301</v>
      </c>
      <c r="U1235">
        <v>83.509013089535898</v>
      </c>
      <c r="V1235">
        <v>116.96892619759301</v>
      </c>
      <c r="W1235">
        <v>108.531838474718</v>
      </c>
    </row>
    <row r="1236" spans="1:23" x14ac:dyDescent="0.2">
      <c r="A1236" t="s">
        <v>2481</v>
      </c>
      <c r="B1236" s="3" t="str">
        <f>HYPERLINK("http://www.ncbi.nlm.nih.gov/gene/242022","Frem2")</f>
        <v>Frem2</v>
      </c>
      <c r="C1236">
        <v>242022</v>
      </c>
      <c r="D1236" t="s">
        <v>2482</v>
      </c>
      <c r="E1236" s="3" t="str">
        <f>HYPERLINK("http://genome.ucsc.edu/cgi-bin/hgTracks?db=mm10&amp;lastVirtModeType=default&amp;lastVirtModeExtraState=&amp;virtModeType=default&amp;virtMode=0&amp;nonVirtPosition=&amp;position=chr3:53513937-53657355","chr3:53513937-53657355")</f>
        <v>chr3:53513937-53657355</v>
      </c>
      <c r="F1236" t="s">
        <v>25</v>
      </c>
      <c r="G1236">
        <v>0.98667410457027804</v>
      </c>
      <c r="H1236">
        <v>0.250560227564044</v>
      </c>
      <c r="I1236">
        <v>3.93787200052763</v>
      </c>
      <c r="J1236" s="1">
        <v>8.2207424624531494E-5</v>
      </c>
      <c r="K1236">
        <v>8.9341128764131895E-4</v>
      </c>
      <c r="L1236" t="s">
        <v>26</v>
      </c>
      <c r="M1236" t="s">
        <v>27</v>
      </c>
      <c r="N1236">
        <v>65.881347382459396</v>
      </c>
      <c r="O1236">
        <v>40.8985091800348</v>
      </c>
      <c r="P1236">
        <v>84.618476034277904</v>
      </c>
      <c r="Q1236">
        <v>41.202648404423599</v>
      </c>
      <c r="R1236">
        <v>44.752080104914697</v>
      </c>
      <c r="S1236">
        <v>36.740799030766198</v>
      </c>
      <c r="T1236">
        <v>68.744320733718993</v>
      </c>
      <c r="U1236">
        <v>62.096445630680499</v>
      </c>
      <c r="V1236">
        <v>126.532423308088</v>
      </c>
      <c r="W1236">
        <v>81.100714464624303</v>
      </c>
    </row>
    <row r="1237" spans="1:23" x14ac:dyDescent="0.2">
      <c r="A1237" t="s">
        <v>2483</v>
      </c>
      <c r="B1237" s="3" t="str">
        <f>HYPERLINK("http://www.ncbi.nlm.nih.gov/gene/207304","Hectd1")</f>
        <v>Hectd1</v>
      </c>
      <c r="C1237">
        <v>207304</v>
      </c>
      <c r="D1237" t="s">
        <v>2484</v>
      </c>
      <c r="E1237" s="3" t="str">
        <f>HYPERLINK("http://genome.ucsc.edu/cgi-bin/hgTracks?db=mm10&amp;lastVirtModeType=default&amp;lastVirtModeExtraState=&amp;virtModeType=default&amp;virtMode=0&amp;nonVirtPosition=&amp;position=chr12:51743721-51829536","chr12:51743721-51829536")</f>
        <v>chr12:51743721-51829536</v>
      </c>
      <c r="F1237" t="s">
        <v>25</v>
      </c>
      <c r="G1237">
        <v>-0.40764351170555302</v>
      </c>
      <c r="H1237">
        <v>0.103520332435351</v>
      </c>
      <c r="I1237">
        <v>-3.9378110764871099</v>
      </c>
      <c r="J1237" s="1">
        <v>8.2228294229406097E-5</v>
      </c>
      <c r="K1237">
        <v>8.9341128764131895E-4</v>
      </c>
      <c r="L1237" t="s">
        <v>26</v>
      </c>
      <c r="M1237" t="s">
        <v>27</v>
      </c>
      <c r="N1237">
        <v>1274.3362815995999</v>
      </c>
      <c r="O1237">
        <v>1492.27122252812</v>
      </c>
      <c r="P1237">
        <v>1110.88507590321</v>
      </c>
      <c r="Q1237">
        <v>1542.3153524358599</v>
      </c>
      <c r="R1237">
        <v>1445.71974033843</v>
      </c>
      <c r="S1237">
        <v>1488.77857481006</v>
      </c>
      <c r="T1237">
        <v>980.75230913438998</v>
      </c>
      <c r="U1237">
        <v>1166.98492650762</v>
      </c>
      <c r="V1237">
        <v>1196.1727924357599</v>
      </c>
      <c r="W1237">
        <v>1099.63027553505</v>
      </c>
    </row>
    <row r="1238" spans="1:23" x14ac:dyDescent="0.2">
      <c r="A1238" t="s">
        <v>2485</v>
      </c>
      <c r="B1238" s="3" t="str">
        <f>HYPERLINK("http://www.ncbi.nlm.nih.gov/gene/16529","Kcnk5")</f>
        <v>Kcnk5</v>
      </c>
      <c r="C1238">
        <v>16529</v>
      </c>
      <c r="D1238" t="s">
        <v>2486</v>
      </c>
      <c r="E1238" s="3" t="str">
        <f>HYPERLINK("http://genome.ucsc.edu/cgi-bin/hgTracks?db=mm10&amp;lastVirtModeType=default&amp;lastVirtModeExtraState=&amp;virtModeType=default&amp;virtMode=0&amp;nonVirtPosition=&amp;position=chr14:20140057-20181782","chr14:20140057-20181782")</f>
        <v>chr14:20140057-20181782</v>
      </c>
      <c r="F1238" t="s">
        <v>25</v>
      </c>
      <c r="G1238">
        <v>1.3419750108703199</v>
      </c>
      <c r="H1238">
        <v>0.34080074672921801</v>
      </c>
      <c r="I1238">
        <v>3.9377114743723798</v>
      </c>
      <c r="J1238" s="1">
        <v>8.2262423841516401E-5</v>
      </c>
      <c r="K1238">
        <v>8.9341128764131895E-4</v>
      </c>
      <c r="L1238" t="s">
        <v>26</v>
      </c>
      <c r="M1238" t="s">
        <v>27</v>
      </c>
      <c r="N1238">
        <v>18.582446732444701</v>
      </c>
      <c r="O1238">
        <v>7.40714133066699</v>
      </c>
      <c r="P1238">
        <v>26.963925783777899</v>
      </c>
      <c r="Q1238">
        <v>8.9086807360916005</v>
      </c>
      <c r="R1238">
        <v>6.0680786582935102</v>
      </c>
      <c r="S1238">
        <v>7.2446645976158699</v>
      </c>
      <c r="T1238">
        <v>45.829547155812598</v>
      </c>
      <c r="U1238">
        <v>14.9887972211987</v>
      </c>
      <c r="V1238">
        <v>27.954837707600699</v>
      </c>
      <c r="W1238">
        <v>19.0825210504998</v>
      </c>
    </row>
    <row r="1239" spans="1:23" x14ac:dyDescent="0.2">
      <c r="A1239" t="s">
        <v>2487</v>
      </c>
      <c r="B1239" s="3" t="str">
        <f>HYPERLINK("http://www.ncbi.nlm.nih.gov/gene/18214","Ddr2")</f>
        <v>Ddr2</v>
      </c>
      <c r="C1239">
        <v>18214</v>
      </c>
      <c r="D1239" t="s">
        <v>2488</v>
      </c>
      <c r="E1239" s="3" t="str">
        <f>HYPERLINK("http://genome.ucsc.edu/cgi-bin/hgTracks?db=mm10&amp;lastVirtModeType=default&amp;lastVirtModeExtraState=&amp;virtModeType=default&amp;virtMode=0&amp;nonVirtPosition=&amp;position=chr1:169972306-170088944","chr1:169972306-170088944")</f>
        <v>chr1:169972306-170088944</v>
      </c>
      <c r="F1239" t="s">
        <v>25</v>
      </c>
      <c r="G1239">
        <v>0.82356388104259304</v>
      </c>
      <c r="H1239">
        <v>0.209249175505028</v>
      </c>
      <c r="I1239">
        <v>3.9358046647252198</v>
      </c>
      <c r="J1239" s="1">
        <v>8.2918397646246004E-5</v>
      </c>
      <c r="K1239">
        <v>8.9912383384189195E-4</v>
      </c>
      <c r="L1239" t="s">
        <v>26</v>
      </c>
      <c r="M1239" t="s">
        <v>27</v>
      </c>
      <c r="N1239">
        <v>426.73668518964399</v>
      </c>
      <c r="O1239">
        <v>287.99079733877301</v>
      </c>
      <c r="P1239">
        <v>530.79610107779797</v>
      </c>
      <c r="Q1239">
        <v>386.97081947397902</v>
      </c>
      <c r="R1239">
        <v>243.10240124788399</v>
      </c>
      <c r="S1239">
        <v>233.89917129445499</v>
      </c>
      <c r="T1239">
        <v>513.29092814510102</v>
      </c>
      <c r="U1239">
        <v>387.56747100528202</v>
      </c>
      <c r="V1239">
        <v>528.19930194887695</v>
      </c>
      <c r="W1239">
        <v>694.12670321193195</v>
      </c>
    </row>
    <row r="1240" spans="1:23" x14ac:dyDescent="0.2">
      <c r="A1240" t="s">
        <v>2489</v>
      </c>
      <c r="B1240" s="3" t="str">
        <f>HYPERLINK("http://www.ncbi.nlm.nih.gov/gene/225791","Zadh2")</f>
        <v>Zadh2</v>
      </c>
      <c r="C1240">
        <v>225791</v>
      </c>
      <c r="D1240" t="s">
        <v>2490</v>
      </c>
      <c r="E1240" s="3" t="str">
        <f>HYPERLINK("http://genome.ucsc.edu/cgi-bin/hgTracks?db=mm10&amp;lastVirtModeType=default&amp;lastVirtModeExtraState=&amp;virtModeType=default&amp;virtMode=0&amp;nonVirtPosition=&amp;position=chr18:84088157-84097514","chr18:84088157-84097514")</f>
        <v>chr18:84088157-84097514</v>
      </c>
      <c r="F1240" t="s">
        <v>30</v>
      </c>
      <c r="G1240">
        <v>0.77236190023774898</v>
      </c>
      <c r="H1240">
        <v>0.196240518400807</v>
      </c>
      <c r="I1240">
        <v>3.9357921928246</v>
      </c>
      <c r="J1240" s="1">
        <v>8.2922704413018993E-5</v>
      </c>
      <c r="K1240">
        <v>8.9912383384189195E-4</v>
      </c>
      <c r="L1240" t="s">
        <v>26</v>
      </c>
      <c r="M1240" t="s">
        <v>27</v>
      </c>
      <c r="N1240">
        <v>161.85262040946699</v>
      </c>
      <c r="O1240">
        <v>111.76056838556001</v>
      </c>
      <c r="P1240">
        <v>199.421659427397</v>
      </c>
      <c r="Q1240">
        <v>85.746052084881697</v>
      </c>
      <c r="R1240">
        <v>100.502552777986</v>
      </c>
      <c r="S1240">
        <v>149.033100293812</v>
      </c>
      <c r="T1240">
        <v>206.23296220115699</v>
      </c>
      <c r="U1240">
        <v>220.54944482620999</v>
      </c>
      <c r="V1240">
        <v>192.00559583378401</v>
      </c>
      <c r="W1240">
        <v>178.89863484843599</v>
      </c>
    </row>
    <row r="1241" spans="1:23" x14ac:dyDescent="0.2">
      <c r="A1241" t="s">
        <v>2491</v>
      </c>
      <c r="B1241" s="3" t="str">
        <f>HYPERLINK("http://www.ncbi.nlm.nih.gov/gene/320376","Bcorl1")</f>
        <v>Bcorl1</v>
      </c>
      <c r="C1241">
        <v>320376</v>
      </c>
      <c r="D1241" t="s">
        <v>2492</v>
      </c>
      <c r="E1241" s="3" t="str">
        <f>HYPERLINK("http://genome.ucsc.edu/cgi-bin/hgTracks?db=mm10&amp;lastVirtModeType=default&amp;lastVirtModeExtraState=&amp;virtModeType=default&amp;virtMode=0&amp;nonVirtPosition=&amp;position=chrX:48341357-48406728","chrX:48341357-48406728")</f>
        <v>chrX:48341357-48406728</v>
      </c>
      <c r="F1241" t="s">
        <v>30</v>
      </c>
      <c r="G1241">
        <v>0.64934565698998803</v>
      </c>
      <c r="H1241">
        <v>0.16500747548946201</v>
      </c>
      <c r="I1241">
        <v>3.93524993376109</v>
      </c>
      <c r="J1241" s="1">
        <v>8.3110160562427295E-5</v>
      </c>
      <c r="K1241">
        <v>9.0029189596622396E-4</v>
      </c>
      <c r="L1241" t="s">
        <v>26</v>
      </c>
      <c r="M1241" t="s">
        <v>27</v>
      </c>
      <c r="N1241">
        <v>119.70899705485201</v>
      </c>
      <c r="O1241">
        <v>90.494952204326097</v>
      </c>
      <c r="P1241">
        <v>141.619530692746</v>
      </c>
      <c r="Q1241">
        <v>95.211525366979004</v>
      </c>
      <c r="R1241">
        <v>80.022787306245704</v>
      </c>
      <c r="S1241">
        <v>96.250543939753697</v>
      </c>
      <c r="T1241">
        <v>128.322732036275</v>
      </c>
      <c r="U1241">
        <v>132.75791824490301</v>
      </c>
      <c r="V1241">
        <v>151.54464652015099</v>
      </c>
      <c r="W1241">
        <v>153.85282596965499</v>
      </c>
    </row>
    <row r="1242" spans="1:23" x14ac:dyDescent="0.2">
      <c r="A1242" t="s">
        <v>2493</v>
      </c>
      <c r="B1242" s="3" t="str">
        <f>HYPERLINK("http://www.ncbi.nlm.nih.gov/gene/68667","Trpm4")</f>
        <v>Trpm4</v>
      </c>
      <c r="C1242">
        <v>68667</v>
      </c>
      <c r="D1242" t="s">
        <v>2494</v>
      </c>
      <c r="E1242" s="3" t="str">
        <f>HYPERLINK("http://genome.ucsc.edu/cgi-bin/hgTracks?db=mm10&amp;lastVirtModeType=default&amp;lastVirtModeExtraState=&amp;virtModeType=default&amp;virtMode=0&amp;nonVirtPosition=&amp;position=chr7:45303154-45333780","chr7:45303154-45333780")</f>
        <v>chr7:45303154-45333780</v>
      </c>
      <c r="F1242" t="s">
        <v>25</v>
      </c>
      <c r="G1242">
        <v>0.96636526208156204</v>
      </c>
      <c r="H1242">
        <v>0.245576292619307</v>
      </c>
      <c r="I1242">
        <v>3.9350918273679798</v>
      </c>
      <c r="J1242" s="1">
        <v>8.3164892488254706E-5</v>
      </c>
      <c r="K1242">
        <v>9.0029189596622396E-4</v>
      </c>
      <c r="L1242" t="s">
        <v>26</v>
      </c>
      <c r="M1242" t="s">
        <v>27</v>
      </c>
      <c r="N1242">
        <v>69.794681714834795</v>
      </c>
      <c r="O1242">
        <v>40.639159169553103</v>
      </c>
      <c r="P1242">
        <v>91.661323623795994</v>
      </c>
      <c r="Q1242">
        <v>38.418685674395</v>
      </c>
      <c r="R1242">
        <v>36.4084719497611</v>
      </c>
      <c r="S1242">
        <v>47.090319884503103</v>
      </c>
      <c r="T1242">
        <v>146.65455089860001</v>
      </c>
      <c r="U1242">
        <v>74.943986105993702</v>
      </c>
      <c r="V1242">
        <v>79.450591379496899</v>
      </c>
      <c r="W1242">
        <v>65.596166111093197</v>
      </c>
    </row>
    <row r="1243" spans="1:23" x14ac:dyDescent="0.2">
      <c r="A1243" t="s">
        <v>2495</v>
      </c>
      <c r="B1243" s="3" t="str">
        <f>HYPERLINK("http://www.ncbi.nlm.nih.gov/gene/100040736","Foxd2os")</f>
        <v>Foxd2os</v>
      </c>
      <c r="C1243">
        <v>100040736</v>
      </c>
      <c r="D1243" t="s">
        <v>2496</v>
      </c>
      <c r="E1243" s="3" t="str">
        <f>HYPERLINK("http://genome.ucsc.edu/cgi-bin/hgTracks?db=mm10&amp;lastVirtModeType=default&amp;lastVirtModeExtraState=&amp;virtModeType=default&amp;virtMode=0&amp;nonVirtPosition=&amp;position=chr4:114909288-114921118","chr4:114909288-114921118")</f>
        <v>chr4:114909288-114921118</v>
      </c>
      <c r="F1243" t="s">
        <v>30</v>
      </c>
      <c r="G1243">
        <v>1.41113990470415</v>
      </c>
      <c r="H1243">
        <v>0.35863757223762099</v>
      </c>
      <c r="I1243">
        <v>3.93472411688415</v>
      </c>
      <c r="J1243" s="1">
        <v>8.3292315140720202E-5</v>
      </c>
      <c r="K1243">
        <v>9.0094296611420302E-4</v>
      </c>
      <c r="L1243" t="s">
        <v>26</v>
      </c>
      <c r="M1243" t="s">
        <v>27</v>
      </c>
      <c r="N1243">
        <v>15.427689727130501</v>
      </c>
      <c r="O1243">
        <v>5.84160770150016</v>
      </c>
      <c r="P1243">
        <v>22.617251246353199</v>
      </c>
      <c r="Q1243">
        <v>8.3518881900858695</v>
      </c>
      <c r="R1243">
        <v>6.0680786582935102</v>
      </c>
      <c r="S1243">
        <v>3.10485625612109</v>
      </c>
      <c r="T1243">
        <v>27.497728293487601</v>
      </c>
      <c r="U1243">
        <v>10.7062837294277</v>
      </c>
      <c r="V1243">
        <v>27.219184083716499</v>
      </c>
      <c r="W1243">
        <v>25.045808878780999</v>
      </c>
    </row>
    <row r="1244" spans="1:23" x14ac:dyDescent="0.2">
      <c r="A1244" t="s">
        <v>2497</v>
      </c>
      <c r="B1244" s="3" t="str">
        <f>HYPERLINK("http://www.ncbi.nlm.nih.gov/gene/83814","Nedd4l")</f>
        <v>Nedd4l</v>
      </c>
      <c r="C1244">
        <v>83814</v>
      </c>
      <c r="D1244" t="s">
        <v>2498</v>
      </c>
      <c r="E1244" s="3" t="str">
        <f>HYPERLINK("http://genome.ucsc.edu/cgi-bin/hgTracks?db=mm10&amp;lastVirtModeType=default&amp;lastVirtModeExtraState=&amp;virtModeType=default&amp;virtMode=0&amp;nonVirtPosition=&amp;position=chr18:65023526-65217826","chr18:65023526-65217826")</f>
        <v>chr18:65023526-65217826</v>
      </c>
      <c r="F1244" t="s">
        <v>30</v>
      </c>
      <c r="G1244">
        <v>1.00970616522128</v>
      </c>
      <c r="H1244">
        <v>0.25665623440581298</v>
      </c>
      <c r="I1244">
        <v>3.9340800255986998</v>
      </c>
      <c r="J1244" s="1">
        <v>8.3515956749823195E-5</v>
      </c>
      <c r="K1244">
        <v>9.0246717907258999E-4</v>
      </c>
      <c r="L1244" t="s">
        <v>26</v>
      </c>
      <c r="M1244" t="s">
        <v>27</v>
      </c>
      <c r="N1244">
        <v>111.052016731191</v>
      </c>
      <c r="O1244">
        <v>65.199629722923504</v>
      </c>
      <c r="P1244">
        <v>145.44130698739099</v>
      </c>
      <c r="Q1244">
        <v>50.111329140515302</v>
      </c>
      <c r="R1244">
        <v>102.01957244256</v>
      </c>
      <c r="S1244">
        <v>43.467987585695198</v>
      </c>
      <c r="T1244">
        <v>155.82046032976299</v>
      </c>
      <c r="U1244">
        <v>143.46420197433099</v>
      </c>
      <c r="V1244">
        <v>159.63683638287799</v>
      </c>
      <c r="W1244">
        <v>122.843729262593</v>
      </c>
    </row>
    <row r="1245" spans="1:23" x14ac:dyDescent="0.2">
      <c r="A1245" t="s">
        <v>2499</v>
      </c>
      <c r="B1245" s="3" t="str">
        <f>HYPERLINK("http://www.ncbi.nlm.nih.gov/gene/109275","Actr5")</f>
        <v>Actr5</v>
      </c>
      <c r="C1245">
        <v>109275</v>
      </c>
      <c r="D1245" t="s">
        <v>2500</v>
      </c>
      <c r="E1245" s="3" t="str">
        <f>HYPERLINK("http://genome.ucsc.edu/cgi-bin/hgTracks?db=mm10&amp;lastVirtModeType=default&amp;lastVirtModeExtraState=&amp;virtModeType=default&amp;virtMode=0&amp;nonVirtPosition=&amp;position=chr2:158624912-158639211","chr2:158624912-158639211")</f>
        <v>chr2:158624912-158639211</v>
      </c>
      <c r="F1245" t="s">
        <v>30</v>
      </c>
      <c r="G1245">
        <v>0.92243305835373701</v>
      </c>
      <c r="H1245">
        <v>0.23448341365712999</v>
      </c>
      <c r="I1245">
        <v>3.9338947005546099</v>
      </c>
      <c r="J1245" s="1">
        <v>8.3580410437093298E-5</v>
      </c>
      <c r="K1245">
        <v>9.0246717907258999E-4</v>
      </c>
      <c r="L1245" t="s">
        <v>26</v>
      </c>
      <c r="M1245" t="s">
        <v>27</v>
      </c>
      <c r="N1245">
        <v>53.3307958778028</v>
      </c>
      <c r="O1245">
        <v>34.138111363133</v>
      </c>
      <c r="P1245">
        <v>67.725309263805201</v>
      </c>
      <c r="Q1245">
        <v>28.953212392297701</v>
      </c>
      <c r="R1245">
        <v>34.132942452900998</v>
      </c>
      <c r="S1245">
        <v>39.328179244200399</v>
      </c>
      <c r="T1245">
        <v>45.829547155812598</v>
      </c>
      <c r="U1245">
        <v>92.074040073077995</v>
      </c>
      <c r="V1245">
        <v>66.208826149580702</v>
      </c>
      <c r="W1245">
        <v>66.788823676749402</v>
      </c>
    </row>
    <row r="1246" spans="1:23" x14ac:dyDescent="0.2">
      <c r="A1246" t="s">
        <v>2501</v>
      </c>
      <c r="B1246" s="3" t="str">
        <f>HYPERLINK("http://www.ncbi.nlm.nih.gov/gene/26412","Map4k2")</f>
        <v>Map4k2</v>
      </c>
      <c r="C1246">
        <v>26412</v>
      </c>
      <c r="D1246" t="s">
        <v>2502</v>
      </c>
      <c r="E1246" s="3" t="str">
        <f>HYPERLINK("http://genome.ucsc.edu/cgi-bin/hgTracks?db=mm10&amp;lastVirtModeType=default&amp;lastVirtModeExtraState=&amp;virtModeType=default&amp;virtMode=0&amp;nonVirtPosition=&amp;position=chr19:6341159-6355619","chr19:6341159-6355619")</f>
        <v>chr19:6341159-6355619</v>
      </c>
      <c r="F1246" t="s">
        <v>30</v>
      </c>
      <c r="G1246">
        <v>0.78842249367961204</v>
      </c>
      <c r="H1246">
        <v>0.200426012465727</v>
      </c>
      <c r="I1246">
        <v>3.9337333711333198</v>
      </c>
      <c r="J1246" s="1">
        <v>8.3636557023057003E-5</v>
      </c>
      <c r="K1246">
        <v>9.0246717907258999E-4</v>
      </c>
      <c r="L1246" t="s">
        <v>26</v>
      </c>
      <c r="M1246" t="s">
        <v>27</v>
      </c>
      <c r="N1246">
        <v>157.78599812107399</v>
      </c>
      <c r="O1246">
        <v>109.98013051576</v>
      </c>
      <c r="P1246">
        <v>193.64039882505901</v>
      </c>
      <c r="Q1246">
        <v>108.57454647111599</v>
      </c>
      <c r="R1246">
        <v>132.35996573402701</v>
      </c>
      <c r="S1246">
        <v>89.005879342137803</v>
      </c>
      <c r="T1246">
        <v>123.739777320694</v>
      </c>
      <c r="U1246">
        <v>246.24452577683701</v>
      </c>
      <c r="V1246">
        <v>193.47690308155299</v>
      </c>
      <c r="W1246">
        <v>211.100389121154</v>
      </c>
    </row>
    <row r="1247" spans="1:23" x14ac:dyDescent="0.2">
      <c r="A1247" t="s">
        <v>2503</v>
      </c>
      <c r="B1247" s="3" t="str">
        <f>HYPERLINK("http://www.ncbi.nlm.nih.gov/gene/546071","Mast3")</f>
        <v>Mast3</v>
      </c>
      <c r="C1247">
        <v>546071</v>
      </c>
      <c r="D1247" t="s">
        <v>2504</v>
      </c>
      <c r="E1247" s="3" t="str">
        <f>HYPERLINK("http://genome.ucsc.edu/cgi-bin/hgTracks?db=mm10&amp;lastVirtModeType=default&amp;lastVirtModeExtraState=&amp;virtModeType=default&amp;virtMode=0&amp;nonVirtPosition=&amp;position=chr8:70778116-70792433","chr8:70778116-70792433")</f>
        <v>chr8:70778116-70792433</v>
      </c>
      <c r="F1247" t="s">
        <v>25</v>
      </c>
      <c r="G1247">
        <v>0.67617333214414499</v>
      </c>
      <c r="H1247">
        <v>0.17189930444638099</v>
      </c>
      <c r="I1247">
        <v>3.9335431537773302</v>
      </c>
      <c r="J1247" s="1">
        <v>8.3702803107173204E-5</v>
      </c>
      <c r="K1247">
        <v>9.0246717907258999E-4</v>
      </c>
      <c r="L1247" t="s">
        <v>26</v>
      </c>
      <c r="M1247" t="s">
        <v>27</v>
      </c>
      <c r="N1247">
        <v>223.749292161808</v>
      </c>
      <c r="O1247">
        <v>162.57389402496</v>
      </c>
      <c r="P1247">
        <v>269.63084076444397</v>
      </c>
      <c r="Q1247">
        <v>151.44757251355699</v>
      </c>
      <c r="R1247">
        <v>142.22059355375399</v>
      </c>
      <c r="S1247">
        <v>194.05351600756799</v>
      </c>
      <c r="T1247">
        <v>284.14319236603802</v>
      </c>
      <c r="U1247">
        <v>316.90599839105897</v>
      </c>
      <c r="V1247">
        <v>216.28216542196401</v>
      </c>
      <c r="W1247">
        <v>261.192006878717</v>
      </c>
    </row>
    <row r="1248" spans="1:23" x14ac:dyDescent="0.2">
      <c r="A1248" t="s">
        <v>2505</v>
      </c>
      <c r="B1248" s="3" t="str">
        <f>HYPERLINK("http://www.ncbi.nlm.nih.gov/gene/236573","Gbp9")</f>
        <v>Gbp9</v>
      </c>
      <c r="C1248">
        <v>236573</v>
      </c>
      <c r="D1248" t="s">
        <v>2506</v>
      </c>
      <c r="E1248" s="3" t="str">
        <f>HYPERLINK("http://genome.ucsc.edu/cgi-bin/hgTracks?db=mm10&amp;lastVirtModeType=default&amp;lastVirtModeExtraState=&amp;virtModeType=default&amp;virtMode=0&amp;nonVirtPosition=&amp;position=chr5:105078393-105110292","chr5:105078393-105110292")</f>
        <v>chr5:105078393-105110292</v>
      </c>
      <c r="F1248" t="s">
        <v>25</v>
      </c>
      <c r="G1248">
        <v>1.31932272364869</v>
      </c>
      <c r="H1248">
        <v>0.335444005938354</v>
      </c>
      <c r="I1248">
        <v>3.9330639400101499</v>
      </c>
      <c r="J1248" s="1">
        <v>8.3869916477226703E-5</v>
      </c>
      <c r="K1248">
        <v>9.0282529971629801E-4</v>
      </c>
      <c r="L1248" t="s">
        <v>26</v>
      </c>
      <c r="M1248" t="s">
        <v>27</v>
      </c>
      <c r="N1248">
        <v>63.339104994459099</v>
      </c>
      <c r="O1248">
        <v>26.658915923251001</v>
      </c>
      <c r="P1248">
        <v>90.849246797865106</v>
      </c>
      <c r="Q1248">
        <v>38.418685674395</v>
      </c>
      <c r="R1248">
        <v>20.859020387884001</v>
      </c>
      <c r="S1248">
        <v>20.699041707473899</v>
      </c>
      <c r="T1248">
        <v>164.98636976092499</v>
      </c>
      <c r="U1248">
        <v>32.118851188283003</v>
      </c>
      <c r="V1248">
        <v>62.530558030159597</v>
      </c>
      <c r="W1248">
        <v>103.761208212093</v>
      </c>
    </row>
    <row r="1249" spans="1:23" x14ac:dyDescent="0.2">
      <c r="A1249" t="s">
        <v>2507</v>
      </c>
      <c r="B1249" s="3" t="str">
        <f>HYPERLINK("http://www.ncbi.nlm.nih.gov/gene/209012","Ulk4")</f>
        <v>Ulk4</v>
      </c>
      <c r="C1249">
        <v>209012</v>
      </c>
      <c r="D1249" t="s">
        <v>2508</v>
      </c>
      <c r="E1249" s="3" t="str">
        <f>HYPERLINK("http://genome.ucsc.edu/cgi-bin/hgTracks?db=mm10&amp;lastVirtModeType=default&amp;lastVirtModeExtraState=&amp;virtModeType=default&amp;virtMode=0&amp;nonVirtPosition=&amp;position=chr9:120964453-121277172","chr9:120964453-121277172")</f>
        <v>chr9:120964453-121277172</v>
      </c>
      <c r="F1249" t="s">
        <v>25</v>
      </c>
      <c r="G1249">
        <v>0.93975872776908298</v>
      </c>
      <c r="H1249">
        <v>0.23893823931838901</v>
      </c>
      <c r="I1249">
        <v>3.93306123979945</v>
      </c>
      <c r="J1249" s="1">
        <v>8.3870858998362602E-5</v>
      </c>
      <c r="K1249">
        <v>9.0282529971629801E-4</v>
      </c>
      <c r="L1249" t="s">
        <v>26</v>
      </c>
      <c r="M1249" t="s">
        <v>27</v>
      </c>
      <c r="N1249">
        <v>55.931371735473803</v>
      </c>
      <c r="O1249">
        <v>34.930637824909901</v>
      </c>
      <c r="P1249">
        <v>71.681922168396696</v>
      </c>
      <c r="Q1249">
        <v>40.0890633124122</v>
      </c>
      <c r="R1249">
        <v>26.927099046177499</v>
      </c>
      <c r="S1249">
        <v>37.775751116139901</v>
      </c>
      <c r="T1249">
        <v>68.744320733718993</v>
      </c>
      <c r="U1249">
        <v>72.802729360108202</v>
      </c>
      <c r="V1249">
        <v>58.116636286854202</v>
      </c>
      <c r="W1249">
        <v>87.064002292905499</v>
      </c>
    </row>
    <row r="1250" spans="1:23" x14ac:dyDescent="0.2">
      <c r="A1250" t="s">
        <v>2509</v>
      </c>
      <c r="B1250" s="3" t="str">
        <f>HYPERLINK("http://www.ncbi.nlm.nih.gov/gene/22668","Sf1")</f>
        <v>Sf1</v>
      </c>
      <c r="C1250">
        <v>22668</v>
      </c>
      <c r="D1250" t="s">
        <v>2510</v>
      </c>
      <c r="E1250" s="3" t="str">
        <f>HYPERLINK("http://genome.ucsc.edu/cgi-bin/hgTracks?db=mm10&amp;lastVirtModeType=default&amp;lastVirtModeExtraState=&amp;virtModeType=default&amp;virtMode=0&amp;nonVirtPosition=&amp;position=chr19:6363689-6378038","chr19:6363689-6378038")</f>
        <v>chr19:6363689-6378038</v>
      </c>
      <c r="F1250" t="s">
        <v>30</v>
      </c>
      <c r="G1250">
        <v>0.75750269779602797</v>
      </c>
      <c r="H1250">
        <v>0.19265061361739799</v>
      </c>
      <c r="I1250">
        <v>3.9320025177828999</v>
      </c>
      <c r="J1250" s="1">
        <v>8.4241183231623202E-5</v>
      </c>
      <c r="K1250">
        <v>9.0608328084712205E-4</v>
      </c>
      <c r="L1250" t="s">
        <v>26</v>
      </c>
      <c r="M1250" t="s">
        <v>27</v>
      </c>
      <c r="N1250">
        <v>689.859598972296</v>
      </c>
      <c r="O1250">
        <v>482.46455392860901</v>
      </c>
      <c r="P1250">
        <v>845.40588275506298</v>
      </c>
      <c r="Q1250">
        <v>321.82609159130902</v>
      </c>
      <c r="R1250">
        <v>479.757468921331</v>
      </c>
      <c r="S1250">
        <v>645.81010127318598</v>
      </c>
      <c r="T1250">
        <v>847.84662238253395</v>
      </c>
      <c r="U1250">
        <v>899.32783327192499</v>
      </c>
      <c r="V1250">
        <v>770.96499783067304</v>
      </c>
      <c r="W1250">
        <v>863.48407753511799</v>
      </c>
    </row>
    <row r="1251" spans="1:23" x14ac:dyDescent="0.2">
      <c r="A1251" t="s">
        <v>2511</v>
      </c>
      <c r="B1251" s="3" t="str">
        <f>HYPERLINK("http://www.ncbi.nlm.nih.gov/gene/15499","Hsf1")</f>
        <v>Hsf1</v>
      </c>
      <c r="C1251">
        <v>15499</v>
      </c>
      <c r="D1251" t="s">
        <v>2512</v>
      </c>
      <c r="E1251" s="3" t="str">
        <f>HYPERLINK("http://genome.ucsc.edu/cgi-bin/hgTracks?db=mm10&amp;lastVirtModeType=default&amp;lastVirtModeExtraState=&amp;virtModeType=default&amp;virtMode=0&amp;nonVirtPosition=&amp;position=chr15:76477361-76501155","chr15:76477361-76501155")</f>
        <v>chr15:76477361-76501155</v>
      </c>
      <c r="F1251" t="s">
        <v>30</v>
      </c>
      <c r="G1251">
        <v>0.708666336567776</v>
      </c>
      <c r="H1251">
        <v>0.18035089709058399</v>
      </c>
      <c r="I1251">
        <v>3.9293751680749298</v>
      </c>
      <c r="J1251" s="1">
        <v>8.5166875257708505E-5</v>
      </c>
      <c r="K1251">
        <v>9.1530467622469899E-4</v>
      </c>
      <c r="L1251" t="s">
        <v>26</v>
      </c>
      <c r="M1251" t="s">
        <v>27</v>
      </c>
      <c r="N1251">
        <v>175.200511042198</v>
      </c>
      <c r="O1251">
        <v>124.554176302626</v>
      </c>
      <c r="P1251">
        <v>213.18526209687599</v>
      </c>
      <c r="Q1251">
        <v>131.95983340335701</v>
      </c>
      <c r="R1251">
        <v>103.536592107133</v>
      </c>
      <c r="S1251">
        <v>138.16610339738801</v>
      </c>
      <c r="T1251">
        <v>233.73069049464399</v>
      </c>
      <c r="U1251">
        <v>246.24452577683701</v>
      </c>
      <c r="V1251">
        <v>164.05075812618301</v>
      </c>
      <c r="W1251">
        <v>208.71507398984201</v>
      </c>
    </row>
    <row r="1252" spans="1:23" x14ac:dyDescent="0.2">
      <c r="A1252" t="s">
        <v>2513</v>
      </c>
      <c r="B1252" s="3" t="str">
        <f>HYPERLINK("http://www.ncbi.nlm.nih.gov/gene/105298","Epdr1")</f>
        <v>Epdr1</v>
      </c>
      <c r="C1252">
        <v>105298</v>
      </c>
      <c r="D1252" t="s">
        <v>2514</v>
      </c>
      <c r="E1252" s="3" t="str">
        <f>HYPERLINK("http://genome.ucsc.edu/cgi-bin/hgTracks?db=mm10&amp;lastVirtModeType=default&amp;lastVirtModeExtraState=&amp;virtModeType=default&amp;virtMode=0&amp;nonVirtPosition=&amp;position=chr13:19591707-19619830","chr13:19591707-19619830")</f>
        <v>chr13:19591707-19619830</v>
      </c>
      <c r="F1252" t="s">
        <v>25</v>
      </c>
      <c r="G1252">
        <v>-0.67448403430359904</v>
      </c>
      <c r="H1252">
        <v>0.17166475180778701</v>
      </c>
      <c r="I1252">
        <v>-3.9290770364950598</v>
      </c>
      <c r="J1252" s="1">
        <v>8.5272520850772105E-5</v>
      </c>
      <c r="K1252">
        <v>9.15705153739125E-4</v>
      </c>
      <c r="L1252" t="s">
        <v>26</v>
      </c>
      <c r="M1252" t="s">
        <v>27</v>
      </c>
      <c r="N1252">
        <v>358.316456358962</v>
      </c>
      <c r="O1252">
        <v>462.104702770681</v>
      </c>
      <c r="P1252">
        <v>280.47527155017298</v>
      </c>
      <c r="Q1252">
        <v>589.64330622006298</v>
      </c>
      <c r="R1252">
        <v>403.90648569266199</v>
      </c>
      <c r="S1252">
        <v>392.76431639931701</v>
      </c>
      <c r="T1252">
        <v>238.31364521022601</v>
      </c>
      <c r="U1252">
        <v>323.32976862871601</v>
      </c>
      <c r="V1252">
        <v>269.249226341628</v>
      </c>
      <c r="W1252">
        <v>291.00844602012302</v>
      </c>
    </row>
    <row r="1253" spans="1:23" x14ac:dyDescent="0.2">
      <c r="A1253" t="s">
        <v>2515</v>
      </c>
      <c r="B1253" s="3" t="str">
        <f>HYPERLINK("http://www.ncbi.nlm.nih.gov/gene/229759","Olfm3")</f>
        <v>Olfm3</v>
      </c>
      <c r="C1253">
        <v>229759</v>
      </c>
      <c r="D1253" t="s">
        <v>2516</v>
      </c>
      <c r="E1253" s="3" t="str">
        <f>HYPERLINK("http://genome.ucsc.edu/cgi-bin/hgTracks?db=mm10&amp;lastVirtModeType=default&amp;lastVirtModeExtraState=&amp;virtModeType=default&amp;virtMode=0&amp;nonVirtPosition=&amp;position=chr3:115080964-115125764","chr3:115080964-115125764")</f>
        <v>chr3:115080964-115125764</v>
      </c>
      <c r="F1253" t="s">
        <v>30</v>
      </c>
      <c r="G1253">
        <v>-1.5593656303633501</v>
      </c>
      <c r="H1253">
        <v>0.39692080588866901</v>
      </c>
      <c r="I1253">
        <v>-3.9286568182589399</v>
      </c>
      <c r="J1253" s="1">
        <v>8.5421639240469105E-5</v>
      </c>
      <c r="K1253">
        <v>9.1657145117718104E-4</v>
      </c>
      <c r="L1253" t="s">
        <v>26</v>
      </c>
      <c r="M1253" t="s">
        <v>27</v>
      </c>
      <c r="N1253">
        <v>19.264275506940098</v>
      </c>
      <c r="O1253">
        <v>37.843899383174502</v>
      </c>
      <c r="P1253">
        <v>5.3295575997643203</v>
      </c>
      <c r="Q1253">
        <v>25.055664570257601</v>
      </c>
      <c r="R1253">
        <v>78.126512725528997</v>
      </c>
      <c r="S1253">
        <v>10.349520853736999</v>
      </c>
      <c r="T1253">
        <v>4.58295471558126</v>
      </c>
      <c r="U1253">
        <v>8.5650269835421398</v>
      </c>
      <c r="V1253">
        <v>2.2069608716526901</v>
      </c>
      <c r="W1253">
        <v>5.9632878282812003</v>
      </c>
    </row>
    <row r="1254" spans="1:23" x14ac:dyDescent="0.2">
      <c r="A1254" t="s">
        <v>2517</v>
      </c>
      <c r="B1254" s="3" t="str">
        <f>HYPERLINK("http://www.ncbi.nlm.nih.gov/gene/70218","Kif18b")</f>
        <v>Kif18b</v>
      </c>
      <c r="C1254">
        <v>70218</v>
      </c>
      <c r="D1254" t="s">
        <v>2518</v>
      </c>
      <c r="E1254" s="3" t="str">
        <f>HYPERLINK("http://genome.ucsc.edu/cgi-bin/hgTracks?db=mm10&amp;lastVirtModeType=default&amp;lastVirtModeExtraState=&amp;virtModeType=default&amp;virtMode=0&amp;nonVirtPosition=&amp;position=chr11:102905518-102925124","chr11:102905518-102925124")</f>
        <v>chr11:102905518-102925124</v>
      </c>
      <c r="F1254" t="s">
        <v>25</v>
      </c>
      <c r="G1254">
        <v>0.75565628578224697</v>
      </c>
      <c r="H1254">
        <v>0.192357116435208</v>
      </c>
      <c r="I1254">
        <v>3.9284030650187902</v>
      </c>
      <c r="J1254" s="1">
        <v>8.5511805249246096E-5</v>
      </c>
      <c r="K1254">
        <v>9.1680431072270203E-4</v>
      </c>
      <c r="L1254" t="s">
        <v>26</v>
      </c>
      <c r="M1254" t="s">
        <v>27</v>
      </c>
      <c r="N1254">
        <v>232.49503205221299</v>
      </c>
      <c r="O1254">
        <v>162.582562033263</v>
      </c>
      <c r="P1254">
        <v>284.92938456642599</v>
      </c>
      <c r="Q1254">
        <v>109.688131563128</v>
      </c>
      <c r="R1254">
        <v>186.59341874252601</v>
      </c>
      <c r="S1254">
        <v>191.466135794134</v>
      </c>
      <c r="T1254">
        <v>302.47501122836297</v>
      </c>
      <c r="U1254">
        <v>244.103269030951</v>
      </c>
      <c r="V1254">
        <v>285.43360606708097</v>
      </c>
      <c r="W1254">
        <v>307.70565193930997</v>
      </c>
    </row>
    <row r="1255" spans="1:23" x14ac:dyDescent="0.2">
      <c r="A1255" t="s">
        <v>2519</v>
      </c>
      <c r="B1255" s="3" t="str">
        <f>HYPERLINK("http://www.ncbi.nlm.nih.gov/gene/19653","Rbm4")</f>
        <v>Rbm4</v>
      </c>
      <c r="C1255">
        <v>19653</v>
      </c>
      <c r="D1255" t="s">
        <v>2520</v>
      </c>
      <c r="E1255" s="3" t="str">
        <f>HYPERLINK("http://genome.ucsc.edu/cgi-bin/hgTracks?db=mm10&amp;lastVirtModeType=default&amp;lastVirtModeExtraState=&amp;virtModeType=default&amp;virtMode=0&amp;nonVirtPosition=&amp;position=chr19:4784292-4794009","chr19:4784292-4794009")</f>
        <v>chr19:4784292-4794009</v>
      </c>
      <c r="F1255" t="s">
        <v>25</v>
      </c>
      <c r="G1255">
        <v>0.75427852478271795</v>
      </c>
      <c r="H1255">
        <v>0.19204445633234199</v>
      </c>
      <c r="I1255">
        <v>3.9276245677063701</v>
      </c>
      <c r="J1255" s="1">
        <v>8.5788989807322204E-5</v>
      </c>
      <c r="K1255">
        <v>9.1904029000788097E-4</v>
      </c>
      <c r="L1255" t="s">
        <v>26</v>
      </c>
      <c r="M1255" t="s">
        <v>27</v>
      </c>
      <c r="N1255">
        <v>80.802394767875896</v>
      </c>
      <c r="O1255">
        <v>57.564948108942701</v>
      </c>
      <c r="P1255">
        <v>98.230479762075504</v>
      </c>
      <c r="Q1255">
        <v>51.2249142325267</v>
      </c>
      <c r="R1255">
        <v>55.750472673071698</v>
      </c>
      <c r="S1255">
        <v>65.719457421229606</v>
      </c>
      <c r="T1255">
        <v>77.910230164881497</v>
      </c>
      <c r="U1255">
        <v>113.486607531933</v>
      </c>
      <c r="V1255">
        <v>103.727160967676</v>
      </c>
      <c r="W1255">
        <v>97.7979203838117</v>
      </c>
    </row>
    <row r="1256" spans="1:23" x14ac:dyDescent="0.2">
      <c r="A1256" t="s">
        <v>2521</v>
      </c>
      <c r="B1256" s="3" t="str">
        <f>HYPERLINK("http://www.ncbi.nlm.nih.gov/gene/68750","Rreb1")</f>
        <v>Rreb1</v>
      </c>
      <c r="C1256">
        <v>68750</v>
      </c>
      <c r="D1256" t="s">
        <v>2522</v>
      </c>
      <c r="E1256" s="3" t="str">
        <f>HYPERLINK("http://genome.ucsc.edu/cgi-bin/hgTracks?db=mm10&amp;lastVirtModeType=default&amp;lastVirtModeExtraState=&amp;virtModeType=default&amp;virtMode=0&amp;nonVirtPosition=&amp;position=chr13:37826911-37952002","chr13:37826911-37952002")</f>
        <v>chr13:37826911-37952002</v>
      </c>
      <c r="F1256" t="s">
        <v>30</v>
      </c>
      <c r="G1256">
        <v>0.84267900535943896</v>
      </c>
      <c r="H1256">
        <v>0.21470002045651401</v>
      </c>
      <c r="I1256">
        <v>3.9249134842542799</v>
      </c>
      <c r="J1256" s="1">
        <v>8.6760913932307197E-5</v>
      </c>
      <c r="K1256">
        <v>9.2870935129298602E-4</v>
      </c>
      <c r="L1256" t="s">
        <v>26</v>
      </c>
      <c r="M1256" t="s">
        <v>27</v>
      </c>
      <c r="N1256">
        <v>84.539341453698597</v>
      </c>
      <c r="O1256">
        <v>55.816487822031498</v>
      </c>
      <c r="P1256">
        <v>106.08148167744901</v>
      </c>
      <c r="Q1256">
        <v>70.155860796721299</v>
      </c>
      <c r="R1256">
        <v>43.993570272627998</v>
      </c>
      <c r="S1256">
        <v>53.300032396745301</v>
      </c>
      <c r="T1256">
        <v>128.322732036275</v>
      </c>
      <c r="U1256">
        <v>85.650269835421398</v>
      </c>
      <c r="V1256">
        <v>112.555004454287</v>
      </c>
      <c r="W1256">
        <v>97.7979203838117</v>
      </c>
    </row>
    <row r="1257" spans="1:23" x14ac:dyDescent="0.2">
      <c r="A1257" t="s">
        <v>2523</v>
      </c>
      <c r="B1257" s="3" t="str">
        <f>HYPERLINK("http://www.ncbi.nlm.nih.gov/gene/16164","Il13ra1")</f>
        <v>Il13ra1</v>
      </c>
      <c r="C1257">
        <v>16164</v>
      </c>
      <c r="D1257" t="s">
        <v>2524</v>
      </c>
      <c r="E1257" s="3" t="str">
        <f>HYPERLINK("http://genome.ucsc.edu/cgi-bin/hgTracks?db=mm10&amp;lastVirtModeType=default&amp;lastVirtModeExtraState=&amp;virtModeType=default&amp;virtMode=0&amp;nonVirtPosition=&amp;position=chrX:36112107-36171261","chrX:36112107-36171261")</f>
        <v>chrX:36112107-36171261</v>
      </c>
      <c r="F1257" t="s">
        <v>30</v>
      </c>
      <c r="G1257">
        <v>-0.83286970324020804</v>
      </c>
      <c r="H1257">
        <v>0.212219598845579</v>
      </c>
      <c r="I1257">
        <v>-3.9245654396238998</v>
      </c>
      <c r="J1257" s="1">
        <v>8.6886438914083594E-5</v>
      </c>
      <c r="K1257">
        <v>9.2931014656429101E-4</v>
      </c>
      <c r="L1257" t="s">
        <v>26</v>
      </c>
      <c r="M1257" t="s">
        <v>27</v>
      </c>
      <c r="N1257">
        <v>61.389412126803499</v>
      </c>
      <c r="O1257">
        <v>84.488094554166594</v>
      </c>
      <c r="P1257">
        <v>44.065400306281198</v>
      </c>
      <c r="Q1257">
        <v>93.541147728961803</v>
      </c>
      <c r="R1257">
        <v>76.6094930609556</v>
      </c>
      <c r="S1257">
        <v>83.313642872582506</v>
      </c>
      <c r="T1257">
        <v>41.246592440231403</v>
      </c>
      <c r="U1257">
        <v>40.683878171825199</v>
      </c>
      <c r="V1257">
        <v>47.817485552474999</v>
      </c>
      <c r="W1257">
        <v>46.513645060593397</v>
      </c>
    </row>
    <row r="1258" spans="1:23" x14ac:dyDescent="0.2">
      <c r="A1258" t="s">
        <v>2525</v>
      </c>
      <c r="B1258" s="3" t="str">
        <f>HYPERLINK("http://www.ncbi.nlm.nih.gov/gene/100702","Gbp6")</f>
        <v>Gbp6</v>
      </c>
      <c r="C1258">
        <v>100702</v>
      </c>
      <c r="D1258" t="s">
        <v>2526</v>
      </c>
      <c r="E1258" s="3" t="str">
        <f>HYPERLINK("http://genome.ucsc.edu/cgi-bin/hgTracks?db=mm10&amp;lastVirtModeType=default&amp;lastVirtModeExtraState=&amp;virtModeType=default&amp;virtMode=0&amp;nonVirtPosition=&amp;position=chr5:105270701-105293699","chr5:105270701-105293699")</f>
        <v>chr5:105270701-105293699</v>
      </c>
      <c r="F1258" t="s">
        <v>25</v>
      </c>
      <c r="G1258">
        <v>1.55645603084768</v>
      </c>
      <c r="H1258">
        <v>0.39662454441697897</v>
      </c>
      <c r="I1258">
        <v>3.9242554520563</v>
      </c>
      <c r="J1258" s="1">
        <v>8.6998382774846104E-5</v>
      </c>
      <c r="K1258">
        <v>9.2976483937587005E-4</v>
      </c>
      <c r="L1258" t="s">
        <v>26</v>
      </c>
      <c r="M1258" t="s">
        <v>27</v>
      </c>
      <c r="N1258">
        <v>104.002386158226</v>
      </c>
      <c r="O1258">
        <v>21.819701009334601</v>
      </c>
      <c r="P1258">
        <v>165.63940001989599</v>
      </c>
      <c r="Q1258">
        <v>26.726042208274801</v>
      </c>
      <c r="R1258">
        <v>14.411686813447099</v>
      </c>
      <c r="S1258">
        <v>24.3213740062818</v>
      </c>
      <c r="T1258">
        <v>311.64092065952599</v>
      </c>
      <c r="U1258">
        <v>36.401364680054101</v>
      </c>
      <c r="V1258">
        <v>127.268076931972</v>
      </c>
      <c r="W1258">
        <v>187.24723780803001</v>
      </c>
    </row>
    <row r="1259" spans="1:23" x14ac:dyDescent="0.2">
      <c r="A1259" t="s">
        <v>2527</v>
      </c>
      <c r="B1259" s="3" t="str">
        <f>HYPERLINK("http://www.ncbi.nlm.nih.gov/gene/353234","Pcdha2")</f>
        <v>Pcdha2</v>
      </c>
      <c r="C1259">
        <v>353234</v>
      </c>
      <c r="D1259" t="s">
        <v>2528</v>
      </c>
      <c r="E1259" s="3" t="str">
        <f>HYPERLINK("http://genome.ucsc.edu/cgi-bin/hgTracks?db=mm10&amp;lastVirtModeType=default&amp;lastVirtModeExtraState=&amp;virtModeType=default&amp;virtMode=0&amp;nonVirtPosition=&amp;position=chr18:36939204-37187660","chr18:36939204-37187660")</f>
        <v>chr18:36939204-37187660</v>
      </c>
      <c r="F1259" t="s">
        <v>30</v>
      </c>
      <c r="G1259">
        <v>1.4047094632580299</v>
      </c>
      <c r="H1259">
        <v>0.35807566469428098</v>
      </c>
      <c r="I1259">
        <v>3.92294032172597</v>
      </c>
      <c r="J1259" s="1">
        <v>8.7474824693896001E-5</v>
      </c>
      <c r="K1259">
        <v>9.34111146312569E-4</v>
      </c>
      <c r="L1259" t="s">
        <v>26</v>
      </c>
      <c r="M1259" t="s">
        <v>27</v>
      </c>
      <c r="N1259">
        <v>33.701014812354501</v>
      </c>
      <c r="O1259">
        <v>12.394603104690599</v>
      </c>
      <c r="P1259">
        <v>49.680823593102403</v>
      </c>
      <c r="Q1259">
        <v>5.0111329140515304</v>
      </c>
      <c r="R1259">
        <v>23.893059717030699</v>
      </c>
      <c r="S1259">
        <v>8.2796166829895608</v>
      </c>
      <c r="T1259">
        <v>59.578411302556397</v>
      </c>
      <c r="U1259">
        <v>51.390161901252803</v>
      </c>
      <c r="V1259">
        <v>60.3235971585069</v>
      </c>
      <c r="W1259">
        <v>27.431124010093502</v>
      </c>
    </row>
    <row r="1260" spans="1:23" x14ac:dyDescent="0.2">
      <c r="A1260" t="s">
        <v>2529</v>
      </c>
      <c r="B1260" s="3" t="str">
        <f>HYPERLINK("http://www.ncbi.nlm.nih.gov/gene/226525","Rasal2")</f>
        <v>Rasal2</v>
      </c>
      <c r="C1260">
        <v>226525</v>
      </c>
      <c r="D1260" t="s">
        <v>2530</v>
      </c>
      <c r="E1260" s="3" t="str">
        <f>HYPERLINK("http://genome.ucsc.edu/cgi-bin/hgTracks?db=mm10&amp;lastVirtModeType=default&amp;lastVirtModeExtraState=&amp;virtModeType=default&amp;virtMode=0&amp;nonVirtPosition=&amp;position=chr1:157135182-157412595","chr1:157135182-157412595")</f>
        <v>chr1:157135182-157412595</v>
      </c>
      <c r="F1260" t="s">
        <v>25</v>
      </c>
      <c r="G1260">
        <v>-0.60207091926493295</v>
      </c>
      <c r="H1260">
        <v>0.15357221395259299</v>
      </c>
      <c r="I1260">
        <v>-3.92044175029468</v>
      </c>
      <c r="J1260" s="1">
        <v>8.8386798981119998E-5</v>
      </c>
      <c r="K1260">
        <v>9.4309770928779099E-4</v>
      </c>
      <c r="L1260" t="s">
        <v>26</v>
      </c>
      <c r="M1260" t="s">
        <v>27</v>
      </c>
      <c r="N1260">
        <v>706.22115938853699</v>
      </c>
      <c r="O1260">
        <v>886.85129179968897</v>
      </c>
      <c r="P1260">
        <v>570.74856008017298</v>
      </c>
      <c r="Q1260">
        <v>711.02408124931105</v>
      </c>
      <c r="R1260">
        <v>878.35438578798596</v>
      </c>
      <c r="S1260">
        <v>1071.17540836177</v>
      </c>
      <c r="T1260">
        <v>517.87388286068301</v>
      </c>
      <c r="U1260">
        <v>558.86801067612498</v>
      </c>
      <c r="V1260">
        <v>638.54734553151195</v>
      </c>
      <c r="W1260">
        <v>567.70500125237004</v>
      </c>
    </row>
    <row r="1261" spans="1:23" x14ac:dyDescent="0.2">
      <c r="A1261" t="s">
        <v>2531</v>
      </c>
      <c r="B1261" s="3" t="str">
        <f>HYPERLINK("http://www.ncbi.nlm.nih.gov/gene/14467","Gbas")</f>
        <v>Gbas</v>
      </c>
      <c r="C1261">
        <v>14467</v>
      </c>
      <c r="D1261" t="s">
        <v>2532</v>
      </c>
      <c r="E1261" s="3" t="str">
        <f>HYPERLINK("http://genome.ucsc.edu/cgi-bin/hgTracks?db=mm10&amp;lastVirtModeType=default&amp;lastVirtModeExtraState=&amp;virtModeType=default&amp;virtMode=0&amp;nonVirtPosition=&amp;position=chr5:129725074-129758325","chr5:129725074-129758325")</f>
        <v>chr5:129725074-129758325</v>
      </c>
      <c r="F1261" t="s">
        <v>30</v>
      </c>
      <c r="G1261">
        <v>-0.67737696657699498</v>
      </c>
      <c r="H1261">
        <v>0.17284084199146699</v>
      </c>
      <c r="I1261">
        <v>-3.9190793030876101</v>
      </c>
      <c r="J1261" s="1">
        <v>8.8887866831956303E-5</v>
      </c>
      <c r="K1261">
        <v>9.4768903244166105E-4</v>
      </c>
      <c r="L1261" t="s">
        <v>26</v>
      </c>
      <c r="M1261" t="s">
        <v>27</v>
      </c>
      <c r="N1261">
        <v>274.840519013056</v>
      </c>
      <c r="O1261">
        <v>356.09279054329397</v>
      </c>
      <c r="P1261">
        <v>213.901315365378</v>
      </c>
      <c r="Q1261">
        <v>281.18023573289099</v>
      </c>
      <c r="R1261">
        <v>431.59209457112598</v>
      </c>
      <c r="S1261">
        <v>355.50604132586398</v>
      </c>
      <c r="T1261">
        <v>178.735233907669</v>
      </c>
      <c r="U1261">
        <v>224.83195831798099</v>
      </c>
      <c r="V1261">
        <v>245.70831037733299</v>
      </c>
      <c r="W1261">
        <v>206.329758858529</v>
      </c>
    </row>
    <row r="1262" spans="1:23" x14ac:dyDescent="0.2">
      <c r="A1262" t="s">
        <v>2533</v>
      </c>
      <c r="B1262" s="3" t="str">
        <f>HYPERLINK("http://www.ncbi.nlm.nih.gov/gene/231134","Dok7")</f>
        <v>Dok7</v>
      </c>
      <c r="C1262">
        <v>231134</v>
      </c>
      <c r="D1262" t="s">
        <v>2534</v>
      </c>
      <c r="E1262" s="3" t="str">
        <f>HYPERLINK("http://genome.ucsc.edu/cgi-bin/hgTracks?db=mm10&amp;lastVirtModeType=default&amp;lastVirtModeExtraState=&amp;virtModeType=default&amp;virtMode=0&amp;nonVirtPosition=&amp;position=chr5:35057083-35087831","chr5:35057083-35087831")</f>
        <v>chr5:35057083-35087831</v>
      </c>
      <c r="F1262" t="s">
        <v>30</v>
      </c>
      <c r="G1262">
        <v>0.95526287860360004</v>
      </c>
      <c r="H1262">
        <v>0.243874771890526</v>
      </c>
      <c r="I1262">
        <v>3.9170221306548698</v>
      </c>
      <c r="J1262" s="1">
        <v>8.9649521651507196E-5</v>
      </c>
      <c r="K1262">
        <v>9.5504912047361396E-4</v>
      </c>
      <c r="L1262" t="s">
        <v>26</v>
      </c>
      <c r="M1262" t="s">
        <v>27</v>
      </c>
      <c r="N1262">
        <v>78.897397252858596</v>
      </c>
      <c r="O1262">
        <v>48.968170383164299</v>
      </c>
      <c r="P1262">
        <v>101.344317405129</v>
      </c>
      <c r="Q1262">
        <v>67.371898066692694</v>
      </c>
      <c r="R1262">
        <v>34.512197369044401</v>
      </c>
      <c r="S1262">
        <v>45.020415713755703</v>
      </c>
      <c r="T1262">
        <v>87.076139596044001</v>
      </c>
      <c r="U1262">
        <v>115.627864277819</v>
      </c>
      <c r="V1262">
        <v>84.600166746686497</v>
      </c>
      <c r="W1262">
        <v>118.073098999968</v>
      </c>
    </row>
    <row r="1263" spans="1:23" x14ac:dyDescent="0.2">
      <c r="A1263" t="s">
        <v>2535</v>
      </c>
      <c r="B1263" s="3" t="str">
        <f>HYPERLINK("http://www.ncbi.nlm.nih.gov/gene/53883","Celsr2")</f>
        <v>Celsr2</v>
      </c>
      <c r="C1263">
        <v>53883</v>
      </c>
      <c r="D1263" t="s">
        <v>2536</v>
      </c>
      <c r="E1263" s="3" t="str">
        <f>HYPERLINK("http://genome.ucsc.edu/cgi-bin/hgTracks?db=mm10&amp;lastVirtModeType=default&amp;lastVirtModeExtraState=&amp;virtModeType=default&amp;virtMode=0&amp;nonVirtPosition=&amp;position=chr3:108390847-108415494","chr3:108390847-108415494")</f>
        <v>chr3:108390847-108415494</v>
      </c>
      <c r="F1263" t="s">
        <v>25</v>
      </c>
      <c r="G1263">
        <v>0.62506050383007805</v>
      </c>
      <c r="H1263">
        <v>0.15966692031461099</v>
      </c>
      <c r="I1263">
        <v>3.9147777297792401</v>
      </c>
      <c r="J1263" s="1">
        <v>9.0487527179589495E-5</v>
      </c>
      <c r="K1263">
        <v>9.6321023566127504E-4</v>
      </c>
      <c r="L1263" t="s">
        <v>26</v>
      </c>
      <c r="M1263" t="s">
        <v>27</v>
      </c>
      <c r="N1263">
        <v>607.59223076055605</v>
      </c>
      <c r="O1263">
        <v>459.18051449836003</v>
      </c>
      <c r="P1263">
        <v>718.90101795720295</v>
      </c>
      <c r="Q1263">
        <v>390.31157475001299</v>
      </c>
      <c r="R1263">
        <v>420.593702002969</v>
      </c>
      <c r="S1263">
        <v>566.63626674209797</v>
      </c>
      <c r="T1263">
        <v>614.11593188788902</v>
      </c>
      <c r="U1263">
        <v>845.79641462478605</v>
      </c>
      <c r="V1263">
        <v>673.85871947795499</v>
      </c>
      <c r="W1263">
        <v>741.83300583818095</v>
      </c>
    </row>
    <row r="1264" spans="1:23" x14ac:dyDescent="0.2">
      <c r="A1264" t="s">
        <v>2537</v>
      </c>
      <c r="B1264" s="3" t="str">
        <f>HYPERLINK("http://www.ncbi.nlm.nih.gov/gene/330941","AI593442")</f>
        <v>AI593442</v>
      </c>
      <c r="C1264">
        <v>330941</v>
      </c>
      <c r="D1264" t="s">
        <v>2538</v>
      </c>
      <c r="E1264" s="3" t="str">
        <f>HYPERLINK("http://genome.ucsc.edu/cgi-bin/hgTracks?db=mm10&amp;lastVirtModeType=default&amp;lastVirtModeExtraState=&amp;virtModeType=default&amp;virtMode=0&amp;nonVirtPosition=&amp;position=chr9:52673031-52679780","chr9:52673031-52679780")</f>
        <v>chr9:52673031-52679780</v>
      </c>
      <c r="F1264" t="s">
        <v>25</v>
      </c>
      <c r="G1264">
        <v>-1.25100047147782</v>
      </c>
      <c r="H1264">
        <v>0.31966405437245299</v>
      </c>
      <c r="I1264">
        <v>-3.9134849676286398</v>
      </c>
      <c r="J1264" s="1">
        <v>9.0973566353960499E-5</v>
      </c>
      <c r="K1264">
        <v>9.6761479511190296E-4</v>
      </c>
      <c r="L1264" t="s">
        <v>26</v>
      </c>
      <c r="M1264" t="s">
        <v>27</v>
      </c>
      <c r="N1264">
        <v>53.249051601624402</v>
      </c>
      <c r="O1264">
        <v>86.201544835156199</v>
      </c>
      <c r="P1264">
        <v>28.5346816764755</v>
      </c>
      <c r="Q1264">
        <v>77.394163894795795</v>
      </c>
      <c r="R1264">
        <v>73.575453731808807</v>
      </c>
      <c r="S1264">
        <v>107.63501687886399</v>
      </c>
      <c r="T1264">
        <v>9.1659094311625307</v>
      </c>
      <c r="U1264">
        <v>55.672675393023901</v>
      </c>
      <c r="V1264">
        <v>14.7130724776846</v>
      </c>
      <c r="W1264">
        <v>34.587069404030998</v>
      </c>
    </row>
    <row r="1265" spans="1:23" x14ac:dyDescent="0.2">
      <c r="A1265" t="s">
        <v>2539</v>
      </c>
      <c r="B1265" s="3" t="str">
        <f>HYPERLINK("http://www.ncbi.nlm.nih.gov/gene/100503572","Bbip1")</f>
        <v>Bbip1</v>
      </c>
      <c r="C1265">
        <v>100503572</v>
      </c>
      <c r="D1265" t="s">
        <v>2540</v>
      </c>
      <c r="E1265" s="3" t="str">
        <f>HYPERLINK("http://genome.ucsc.edu/cgi-bin/hgTracks?db=mm10&amp;lastVirtModeType=default&amp;lastVirtModeExtraState=&amp;virtModeType=default&amp;virtMode=0&amp;nonVirtPosition=&amp;position=chr19:53929658-53944627","chr19:53929658-53944627")</f>
        <v>chr19:53929658-53944627</v>
      </c>
      <c r="F1265" t="s">
        <v>25</v>
      </c>
      <c r="G1265">
        <v>-0.65660839619752698</v>
      </c>
      <c r="H1265">
        <v>0.16788271914298999</v>
      </c>
      <c r="I1265">
        <v>-3.9111136604731702</v>
      </c>
      <c r="J1265" s="1">
        <v>9.1871522239001205E-5</v>
      </c>
      <c r="K1265">
        <v>9.7639012246227399E-4</v>
      </c>
      <c r="L1265" t="s">
        <v>26</v>
      </c>
      <c r="M1265" t="s">
        <v>27</v>
      </c>
      <c r="N1265">
        <v>142.273308138217</v>
      </c>
      <c r="O1265">
        <v>180.92177924404101</v>
      </c>
      <c r="P1265">
        <v>113.28695480885</v>
      </c>
      <c r="Q1265">
        <v>197.10456128602701</v>
      </c>
      <c r="R1265">
        <v>194.55777198153601</v>
      </c>
      <c r="S1265">
        <v>151.10300446456</v>
      </c>
      <c r="T1265">
        <v>123.739777320694</v>
      </c>
      <c r="U1265">
        <v>104.92158054839101</v>
      </c>
      <c r="V1265">
        <v>114.76196532594</v>
      </c>
      <c r="W1265">
        <v>109.72449604037401</v>
      </c>
    </row>
    <row r="1266" spans="1:23" x14ac:dyDescent="0.2">
      <c r="A1266" t="s">
        <v>2541</v>
      </c>
      <c r="B1266" s="3" t="str">
        <f>HYPERLINK("http://www.ncbi.nlm.nih.gov/gene/98970","Fibcd1")</f>
        <v>Fibcd1</v>
      </c>
      <c r="C1266">
        <v>98970</v>
      </c>
      <c r="D1266" t="s">
        <v>2542</v>
      </c>
      <c r="E1266" s="3" t="str">
        <f>HYPERLINK("http://genome.ucsc.edu/cgi-bin/hgTracks?db=mm10&amp;lastVirtModeType=default&amp;lastVirtModeExtraState=&amp;virtModeType=default&amp;virtMode=0&amp;nonVirtPosition=&amp;position=chr2:31813289-31846005","chr2:31813289-31846005")</f>
        <v>chr2:31813289-31846005</v>
      </c>
      <c r="F1266" t="s">
        <v>25</v>
      </c>
      <c r="G1266">
        <v>1.19330236630746</v>
      </c>
      <c r="H1266">
        <v>0.30512826267738202</v>
      </c>
      <c r="I1266">
        <v>3.91082214356905</v>
      </c>
      <c r="J1266" s="1">
        <v>9.1982488589405901E-5</v>
      </c>
      <c r="K1266">
        <v>9.7679421467147809E-4</v>
      </c>
      <c r="L1266" t="s">
        <v>26</v>
      </c>
      <c r="M1266" t="s">
        <v>27</v>
      </c>
      <c r="N1266">
        <v>31.397100171439401</v>
      </c>
      <c r="O1266">
        <v>15.2561399672225</v>
      </c>
      <c r="P1266">
        <v>43.502820324602098</v>
      </c>
      <c r="Q1266">
        <v>11.692643466120201</v>
      </c>
      <c r="R1266">
        <v>14.411686813447099</v>
      </c>
      <c r="S1266">
        <v>19.6640896221002</v>
      </c>
      <c r="T1266">
        <v>45.829547155812598</v>
      </c>
      <c r="U1266">
        <v>59.955188884795</v>
      </c>
      <c r="V1266">
        <v>26.483530459832298</v>
      </c>
      <c r="W1266">
        <v>41.743014797968399</v>
      </c>
    </row>
    <row r="1267" spans="1:23" x14ac:dyDescent="0.2">
      <c r="A1267" t="s">
        <v>2543</v>
      </c>
      <c r="B1267" s="3" t="str">
        <f>HYPERLINK("http://www.ncbi.nlm.nih.gov/gene/108686","Ccdc88a")</f>
        <v>Ccdc88a</v>
      </c>
      <c r="C1267">
        <v>108686</v>
      </c>
      <c r="D1267" t="s">
        <v>2544</v>
      </c>
      <c r="E1267" s="3" t="str">
        <f>HYPERLINK("http://genome.ucsc.edu/cgi-bin/hgTracks?db=mm10&amp;lastVirtModeType=default&amp;lastVirtModeExtraState=&amp;virtModeType=default&amp;virtMode=0&amp;nonVirtPosition=&amp;position=chr11:29374171-29510808","chr11:29374171-29510808")</f>
        <v>chr11:29374171-29510808</v>
      </c>
      <c r="F1267" t="s">
        <v>30</v>
      </c>
      <c r="G1267">
        <v>-0.50056158321102495</v>
      </c>
      <c r="H1267">
        <v>0.12801920125121499</v>
      </c>
      <c r="I1267">
        <v>-3.9100508229914901</v>
      </c>
      <c r="J1267" s="1">
        <v>9.2276703832070895E-5</v>
      </c>
      <c r="K1267">
        <v>9.7914210856993701E-4</v>
      </c>
      <c r="L1267" t="s">
        <v>26</v>
      </c>
      <c r="M1267" t="s">
        <v>27</v>
      </c>
      <c r="N1267">
        <v>1694.4473138077501</v>
      </c>
      <c r="O1267">
        <v>2045.26474702369</v>
      </c>
      <c r="P1267">
        <v>1431.3342388957899</v>
      </c>
      <c r="Q1267">
        <v>2417.0364422108501</v>
      </c>
      <c r="R1267">
        <v>1893.61979630372</v>
      </c>
      <c r="S1267">
        <v>1825.1380025565099</v>
      </c>
      <c r="T1267">
        <v>1429.8818712613499</v>
      </c>
      <c r="U1267">
        <v>1421.794479268</v>
      </c>
      <c r="V1267">
        <v>1498.5264318521799</v>
      </c>
      <c r="W1267">
        <v>1375.1341732016399</v>
      </c>
    </row>
    <row r="1268" spans="1:23" x14ac:dyDescent="0.2">
      <c r="A1268" t="s">
        <v>2545</v>
      </c>
      <c r="B1268" s="3" t="str">
        <f>HYPERLINK("http://www.ncbi.nlm.nih.gov/gene/16409","Itgam")</f>
        <v>Itgam</v>
      </c>
      <c r="C1268">
        <v>16409</v>
      </c>
      <c r="D1268" t="s">
        <v>2546</v>
      </c>
      <c r="E1268" s="3" t="str">
        <f>HYPERLINK("http://genome.ucsc.edu/cgi-bin/hgTracks?db=mm10&amp;lastVirtModeType=default&amp;lastVirtModeExtraState=&amp;virtModeType=default&amp;virtMode=0&amp;nonVirtPosition=&amp;position=chr7:128062639-128118491","chr7:128062639-128118491")</f>
        <v>chr7:128062639-128118491</v>
      </c>
      <c r="F1268" t="s">
        <v>30</v>
      </c>
      <c r="G1268">
        <v>-1.1810096794327001</v>
      </c>
      <c r="H1268">
        <v>0.30212572520687597</v>
      </c>
      <c r="I1268">
        <v>-3.9090007268464899</v>
      </c>
      <c r="J1268" s="1">
        <v>9.2678685182628594E-5</v>
      </c>
      <c r="K1268">
        <v>9.8262887829024602E-4</v>
      </c>
      <c r="L1268" t="s">
        <v>26</v>
      </c>
      <c r="M1268" t="s">
        <v>27</v>
      </c>
      <c r="N1268">
        <v>147.40922546297301</v>
      </c>
      <c r="O1268">
        <v>230.74058050106899</v>
      </c>
      <c r="P1268">
        <v>84.910709184402194</v>
      </c>
      <c r="Q1268">
        <v>388.64119711199601</v>
      </c>
      <c r="R1268">
        <v>124.01635757887399</v>
      </c>
      <c r="S1268">
        <v>179.564186812336</v>
      </c>
      <c r="T1268">
        <v>54.995456586975202</v>
      </c>
      <c r="U1268">
        <v>130.61666149901799</v>
      </c>
      <c r="V1268">
        <v>76.507976883959898</v>
      </c>
      <c r="W1268">
        <v>77.522741767655603</v>
      </c>
    </row>
    <row r="1269" spans="1:23" x14ac:dyDescent="0.2">
      <c r="A1269" t="s">
        <v>2547</v>
      </c>
      <c r="B1269" s="3" t="str">
        <f>HYPERLINK("http://www.ncbi.nlm.nih.gov/gene/72179","Fbxl2")</f>
        <v>Fbxl2</v>
      </c>
      <c r="C1269">
        <v>72179</v>
      </c>
      <c r="D1269" t="s">
        <v>2548</v>
      </c>
      <c r="E1269" s="3" t="str">
        <f>HYPERLINK("http://genome.ucsc.edu/cgi-bin/hgTracks?db=mm10&amp;lastVirtModeType=default&amp;lastVirtModeExtraState=&amp;virtModeType=default&amp;virtMode=0&amp;nonVirtPosition=&amp;position=chr9:113976957-114026751","chr9:113976957-114026751")</f>
        <v>chr9:113976957-114026751</v>
      </c>
      <c r="F1269" t="s">
        <v>25</v>
      </c>
      <c r="G1269">
        <v>1.01074590096379</v>
      </c>
      <c r="H1269">
        <v>0.25865263958558599</v>
      </c>
      <c r="I1269">
        <v>3.9077347232303898</v>
      </c>
      <c r="J1269" s="1">
        <v>9.3165515774353206E-5</v>
      </c>
      <c r="K1269">
        <v>9.870090361822491E-4</v>
      </c>
      <c r="L1269" t="s">
        <v>26</v>
      </c>
      <c r="M1269" t="s">
        <v>27</v>
      </c>
      <c r="N1269">
        <v>41.251026868367703</v>
      </c>
      <c r="O1269">
        <v>24.236056992625901</v>
      </c>
      <c r="P1269">
        <v>54.012254275174001</v>
      </c>
      <c r="Q1269">
        <v>27.8396273002862</v>
      </c>
      <c r="R1269">
        <v>23.134549884744001</v>
      </c>
      <c r="S1269">
        <v>21.733993792847599</v>
      </c>
      <c r="T1269">
        <v>68.744320733718993</v>
      </c>
      <c r="U1269">
        <v>32.118851188283003</v>
      </c>
      <c r="V1269">
        <v>60.3235971585069</v>
      </c>
      <c r="W1269">
        <v>54.862248020187003</v>
      </c>
    </row>
    <row r="1270" spans="1:23" x14ac:dyDescent="0.2">
      <c r="A1270" t="s">
        <v>2549</v>
      </c>
      <c r="B1270" s="3" t="str">
        <f>HYPERLINK("http://www.ncbi.nlm.nih.gov/gene/51798","Ech1")</f>
        <v>Ech1</v>
      </c>
      <c r="C1270">
        <v>51798</v>
      </c>
      <c r="D1270" t="s">
        <v>2550</v>
      </c>
      <c r="E1270" s="3" t="str">
        <f>HYPERLINK("http://genome.ucsc.edu/cgi-bin/hgTracks?db=mm10&amp;lastVirtModeType=default&amp;lastVirtModeExtraState=&amp;virtModeType=default&amp;virtMode=0&amp;nonVirtPosition=&amp;position=chr7:28825337-28832239","chr7:28825337-28832239")</f>
        <v>chr7:28825337-28832239</v>
      </c>
      <c r="F1270" t="s">
        <v>30</v>
      </c>
      <c r="G1270">
        <v>-0.80240994230104001</v>
      </c>
      <c r="H1270">
        <v>0.20539454656174899</v>
      </c>
      <c r="I1270">
        <v>-3.9066759840179301</v>
      </c>
      <c r="J1270" s="1">
        <v>9.3574498046991095E-5</v>
      </c>
      <c r="K1270">
        <v>9.9055818446423501E-4</v>
      </c>
      <c r="L1270" t="s">
        <v>26</v>
      </c>
      <c r="M1270" t="s">
        <v>27</v>
      </c>
      <c r="N1270">
        <v>103.383398980473</v>
      </c>
      <c r="O1270">
        <v>140.04002934674801</v>
      </c>
      <c r="P1270">
        <v>75.890926205765595</v>
      </c>
      <c r="Q1270">
        <v>169.26493398573999</v>
      </c>
      <c r="R1270">
        <v>143.73761321832799</v>
      </c>
      <c r="S1270">
        <v>107.117540836177</v>
      </c>
      <c r="T1270">
        <v>64.161366018137699</v>
      </c>
      <c r="U1270">
        <v>85.650269835421398</v>
      </c>
      <c r="V1270">
        <v>75.036669636191505</v>
      </c>
      <c r="W1270">
        <v>78.715399333311794</v>
      </c>
    </row>
    <row r="1271" spans="1:23" x14ac:dyDescent="0.2">
      <c r="A1271" t="s">
        <v>2551</v>
      </c>
      <c r="B1271" s="3" t="str">
        <f>HYPERLINK("http://www.ncbi.nlm.nih.gov/gene/17532","Mras")</f>
        <v>Mras</v>
      </c>
      <c r="C1271">
        <v>17532</v>
      </c>
      <c r="D1271" t="s">
        <v>2552</v>
      </c>
      <c r="E1271" s="3" t="str">
        <f>HYPERLINK("http://genome.ucsc.edu/cgi-bin/hgTracks?db=mm10&amp;lastVirtModeType=default&amp;lastVirtModeExtraState=&amp;virtModeType=default&amp;virtMode=0&amp;nonVirtPosition=&amp;position=chr9:99385419-99436712","chr9:99385419-99436712")</f>
        <v>chr9:99385419-99436712</v>
      </c>
      <c r="F1271" t="s">
        <v>25</v>
      </c>
      <c r="G1271">
        <v>-0.89470304572717596</v>
      </c>
      <c r="H1271">
        <v>0.22906887338976001</v>
      </c>
      <c r="I1271">
        <v>-3.9058254946967099</v>
      </c>
      <c r="J1271" s="1">
        <v>9.3904262556639503E-5</v>
      </c>
      <c r="K1271">
        <v>9.9326380718480303E-4</v>
      </c>
      <c r="L1271" t="s">
        <v>26</v>
      </c>
      <c r="M1271" t="s">
        <v>27</v>
      </c>
      <c r="N1271">
        <v>563.876446102263</v>
      </c>
      <c r="O1271">
        <v>789.934016701215</v>
      </c>
      <c r="P1271">
        <v>394.33326815305003</v>
      </c>
      <c r="Q1271">
        <v>580.73462548397094</v>
      </c>
      <c r="R1271">
        <v>780.50661742300304</v>
      </c>
      <c r="S1271">
        <v>1008.56080719667</v>
      </c>
      <c r="T1271">
        <v>215.39887163231899</v>
      </c>
      <c r="U1271">
        <v>513.90161901252804</v>
      </c>
      <c r="V1271">
        <v>456.84090043210699</v>
      </c>
      <c r="W1271">
        <v>391.19168153524703</v>
      </c>
    </row>
    <row r="1272" spans="1:23" x14ac:dyDescent="0.2">
      <c r="A1272" t="s">
        <v>2553</v>
      </c>
      <c r="B1272" s="3" t="str">
        <f>HYPERLINK("http://www.ncbi.nlm.nih.gov/gene/22344","Vezf1")</f>
        <v>Vezf1</v>
      </c>
      <c r="C1272">
        <v>22344</v>
      </c>
      <c r="D1272" t="s">
        <v>2554</v>
      </c>
      <c r="E1272" s="3" t="str">
        <f>HYPERLINK("http://genome.ucsc.edu/cgi-bin/hgTracks?db=mm10&amp;lastVirtModeType=default&amp;lastVirtModeExtraState=&amp;virtModeType=default&amp;virtMode=0&amp;nonVirtPosition=&amp;position=chr11:88068278-88084729","chr11:88068278-88084729")</f>
        <v>chr11:88068278-88084729</v>
      </c>
      <c r="F1272" t="s">
        <v>30</v>
      </c>
      <c r="G1272">
        <v>-0.49349358632896001</v>
      </c>
      <c r="H1272">
        <v>0.12638182529407699</v>
      </c>
      <c r="I1272">
        <v>-3.9047828687444102</v>
      </c>
      <c r="J1272" s="1">
        <v>9.4310022600494606E-5</v>
      </c>
      <c r="K1272">
        <v>9.9676836041296193E-4</v>
      </c>
      <c r="L1272" t="s">
        <v>26</v>
      </c>
      <c r="M1272" t="s">
        <v>27</v>
      </c>
      <c r="N1272">
        <v>784.85178917365704</v>
      </c>
      <c r="O1272">
        <v>945.60777836147599</v>
      </c>
      <c r="P1272">
        <v>664.28479728279399</v>
      </c>
      <c r="Q1272">
        <v>963.80789713591003</v>
      </c>
      <c r="R1272">
        <v>930.69156421576804</v>
      </c>
      <c r="S1272">
        <v>942.32387373275003</v>
      </c>
      <c r="T1272">
        <v>701.19207148393298</v>
      </c>
      <c r="U1272">
        <v>563.15052416789604</v>
      </c>
      <c r="V1272">
        <v>770.22934420678905</v>
      </c>
      <c r="W1272">
        <v>622.56724927255698</v>
      </c>
    </row>
    <row r="1273" spans="1:23" x14ac:dyDescent="0.2">
      <c r="A1273" t="s">
        <v>2555</v>
      </c>
      <c r="B1273" s="3" t="str">
        <f>HYPERLINK("http://www.ncbi.nlm.nih.gov/gene/70110","Ifi35")</f>
        <v>Ifi35</v>
      </c>
      <c r="C1273">
        <v>70110</v>
      </c>
      <c r="D1273" t="s">
        <v>2556</v>
      </c>
      <c r="E1273" s="3" t="str">
        <f>HYPERLINK("http://genome.ucsc.edu/cgi-bin/hgTracks?db=mm10&amp;lastVirtModeType=default&amp;lastVirtModeExtraState=&amp;virtModeType=default&amp;virtMode=0&amp;nonVirtPosition=&amp;position=chr11:101448411-101458701","chr11:101448411-101458701")</f>
        <v>chr11:101448411-101458701</v>
      </c>
      <c r="F1273" t="s">
        <v>30</v>
      </c>
      <c r="G1273">
        <v>1.04392114466928</v>
      </c>
      <c r="H1273">
        <v>0.26737379567124497</v>
      </c>
      <c r="I1273">
        <v>3.9043509931423999</v>
      </c>
      <c r="J1273" s="1">
        <v>9.4478580644690802E-5</v>
      </c>
      <c r="K1273">
        <v>9.97762360735848E-4</v>
      </c>
      <c r="L1273" t="s">
        <v>26</v>
      </c>
      <c r="M1273" t="s">
        <v>27</v>
      </c>
      <c r="N1273">
        <v>71.589541602794895</v>
      </c>
      <c r="O1273">
        <v>41.1120188350923</v>
      </c>
      <c r="P1273">
        <v>94.447683678571906</v>
      </c>
      <c r="Q1273">
        <v>46.213781318475199</v>
      </c>
      <c r="R1273">
        <v>26.927099046177499</v>
      </c>
      <c r="S1273">
        <v>50.195176140624199</v>
      </c>
      <c r="T1273">
        <v>114.573867889532</v>
      </c>
      <c r="U1273">
        <v>55.672675393023901</v>
      </c>
      <c r="V1273">
        <v>88.278434866107602</v>
      </c>
      <c r="W1273">
        <v>119.265756565624</v>
      </c>
    </row>
    <row r="1274" spans="1:23" x14ac:dyDescent="0.2">
      <c r="A1274" t="s">
        <v>2557</v>
      </c>
      <c r="B1274" s="3" t="str">
        <f>HYPERLINK("http://www.ncbi.nlm.nih.gov/gene/218581","Depdc1b")</f>
        <v>Depdc1b</v>
      </c>
      <c r="C1274">
        <v>218581</v>
      </c>
      <c r="D1274" t="s">
        <v>2558</v>
      </c>
      <c r="E1274" s="3" t="str">
        <f>HYPERLINK("http://genome.ucsc.edu/cgi-bin/hgTracks?db=mm10&amp;lastVirtModeType=default&amp;lastVirtModeExtraState=&amp;virtModeType=default&amp;virtMode=0&amp;nonVirtPosition=&amp;position=chr13:108316336-108389557","chr13:108316336-108389557")</f>
        <v>chr13:108316336-108389557</v>
      </c>
      <c r="F1274" t="s">
        <v>30</v>
      </c>
      <c r="G1274">
        <v>0.93108701648984304</v>
      </c>
      <c r="H1274">
        <v>0.238488304664279</v>
      </c>
      <c r="I1274">
        <v>3.9041202368415502</v>
      </c>
      <c r="J1274" s="1">
        <v>9.4568759796572006E-5</v>
      </c>
      <c r="K1274">
        <v>9.9792770877533206E-4</v>
      </c>
      <c r="L1274" t="s">
        <v>26</v>
      </c>
      <c r="M1274" t="s">
        <v>27</v>
      </c>
      <c r="N1274">
        <v>100.663845475165</v>
      </c>
      <c r="O1274">
        <v>62.539957097620999</v>
      </c>
      <c r="P1274">
        <v>129.256761758322</v>
      </c>
      <c r="Q1274">
        <v>38.418685674395</v>
      </c>
      <c r="R1274">
        <v>64.852590660511893</v>
      </c>
      <c r="S1274">
        <v>84.348594957956195</v>
      </c>
      <c r="T1274">
        <v>151.237505614182</v>
      </c>
      <c r="U1274">
        <v>104.92158054839101</v>
      </c>
      <c r="V1274">
        <v>136.831574042467</v>
      </c>
      <c r="W1274">
        <v>124.03638682824899</v>
      </c>
    </row>
    <row r="1275" spans="1:23" x14ac:dyDescent="0.2">
      <c r="A1275" t="s">
        <v>2559</v>
      </c>
      <c r="B1275" s="3" t="str">
        <f>HYPERLINK("http://www.ncbi.nlm.nih.gov/gene/12339","Capn7")</f>
        <v>Capn7</v>
      </c>
      <c r="C1275">
        <v>12339</v>
      </c>
      <c r="D1275" t="s">
        <v>2560</v>
      </c>
      <c r="E1275" s="3" t="str">
        <f>HYPERLINK("http://genome.ucsc.edu/cgi-bin/hgTracks?db=mm10&amp;lastVirtModeType=default&amp;lastVirtModeExtraState=&amp;virtModeType=default&amp;virtMode=0&amp;nonVirtPosition=&amp;position=chr14:31336723-31371983","chr14:31336723-31371983")</f>
        <v>chr14:31336723-31371983</v>
      </c>
      <c r="F1275" t="s">
        <v>30</v>
      </c>
      <c r="G1275">
        <v>-0.650589301511042</v>
      </c>
      <c r="H1275">
        <v>0.16669153616908999</v>
      </c>
      <c r="I1275">
        <v>-3.9029534220087299</v>
      </c>
      <c r="J1275" s="1">
        <v>9.5025994939705295E-5</v>
      </c>
      <c r="K1275">
        <v>1.0018919145046701E-3</v>
      </c>
      <c r="L1275" t="s">
        <v>26</v>
      </c>
      <c r="M1275" t="s">
        <v>27</v>
      </c>
      <c r="N1275">
        <v>357.864982567288</v>
      </c>
      <c r="O1275">
        <v>457.60326117681001</v>
      </c>
      <c r="P1275">
        <v>283.06127361014501</v>
      </c>
      <c r="Q1275">
        <v>551.22462054566802</v>
      </c>
      <c r="R1275">
        <v>450.55484037829302</v>
      </c>
      <c r="S1275">
        <v>371.03032260647001</v>
      </c>
      <c r="T1275">
        <v>284.14319236603802</v>
      </c>
      <c r="U1275">
        <v>229.11447180975199</v>
      </c>
      <c r="V1275">
        <v>314.85975102244998</v>
      </c>
      <c r="W1275">
        <v>304.127679242341</v>
      </c>
    </row>
    <row r="1276" spans="1:23" x14ac:dyDescent="0.2">
      <c r="A1276" t="s">
        <v>2561</v>
      </c>
      <c r="B1276" s="3" t="str">
        <f>HYPERLINK("http://www.ncbi.nlm.nih.gov/gene/53890","Sart3")</f>
        <v>Sart3</v>
      </c>
      <c r="C1276">
        <v>53890</v>
      </c>
      <c r="D1276" t="s">
        <v>2562</v>
      </c>
      <c r="E1276" s="3" t="str">
        <f>HYPERLINK("http://genome.ucsc.edu/cgi-bin/hgTracks?db=mm10&amp;lastVirtModeType=default&amp;lastVirtModeExtraState=&amp;virtModeType=default&amp;virtMode=0&amp;nonVirtPosition=&amp;position=chr5:113742445-113771649","chr5:113742445-113771649")</f>
        <v>chr5:113742445-113771649</v>
      </c>
      <c r="F1276" t="s">
        <v>25</v>
      </c>
      <c r="G1276">
        <v>0.70577564409418803</v>
      </c>
      <c r="H1276">
        <v>0.18084339110103301</v>
      </c>
      <c r="I1276">
        <v>3.9026897239495302</v>
      </c>
      <c r="J1276" s="1">
        <v>9.5129618071604602E-5</v>
      </c>
      <c r="K1276">
        <v>1.0018919145046701E-3</v>
      </c>
      <c r="L1276" t="s">
        <v>26</v>
      </c>
      <c r="M1276" t="s">
        <v>27</v>
      </c>
      <c r="N1276">
        <v>333.80670259898199</v>
      </c>
      <c r="O1276">
        <v>239.50386678463599</v>
      </c>
      <c r="P1276">
        <v>404.53382945974101</v>
      </c>
      <c r="Q1276">
        <v>195.434183648009</v>
      </c>
      <c r="R1276">
        <v>208.96945879498301</v>
      </c>
      <c r="S1276">
        <v>314.10795791091698</v>
      </c>
      <c r="T1276">
        <v>435.38069798022002</v>
      </c>
      <c r="U1276">
        <v>426.11009243122197</v>
      </c>
      <c r="V1276">
        <v>333.25109161955601</v>
      </c>
      <c r="W1276">
        <v>423.39343580796498</v>
      </c>
    </row>
    <row r="1277" spans="1:23" x14ac:dyDescent="0.2">
      <c r="A1277" t="s">
        <v>2563</v>
      </c>
      <c r="B1277" s="3" t="str">
        <f>HYPERLINK("http://www.ncbi.nlm.nih.gov/gene/76192","Abhd12")</f>
        <v>Abhd12</v>
      </c>
      <c r="C1277">
        <v>76192</v>
      </c>
      <c r="D1277" t="s">
        <v>2564</v>
      </c>
      <c r="E1277" s="3" t="str">
        <f>HYPERLINK("http://genome.ucsc.edu/cgi-bin/hgTracks?db=mm10&amp;lastVirtModeType=default&amp;lastVirtModeExtraState=&amp;virtModeType=default&amp;virtMode=0&amp;nonVirtPosition=&amp;position=chr2:150832514-150904731","chr2:150832514-150904731")</f>
        <v>chr2:150832514-150904731</v>
      </c>
      <c r="F1277" t="s">
        <v>25</v>
      </c>
      <c r="G1277">
        <v>-0.64471525679321595</v>
      </c>
      <c r="H1277">
        <v>0.16520189865408999</v>
      </c>
      <c r="I1277">
        <v>-3.9025898736379498</v>
      </c>
      <c r="J1277" s="1">
        <v>9.5168883223802804E-5</v>
      </c>
      <c r="K1277">
        <v>1.0018919145046701E-3</v>
      </c>
      <c r="L1277" t="s">
        <v>26</v>
      </c>
      <c r="M1277" t="s">
        <v>27</v>
      </c>
      <c r="N1277">
        <v>761.52626752806998</v>
      </c>
      <c r="O1277">
        <v>972.61496450410402</v>
      </c>
      <c r="P1277">
        <v>603.20974479604297</v>
      </c>
      <c r="Q1277">
        <v>1207.12623974041</v>
      </c>
      <c r="R1277">
        <v>900.35117092430005</v>
      </c>
      <c r="S1277">
        <v>810.36748284760301</v>
      </c>
      <c r="T1277">
        <v>476.627290420451</v>
      </c>
      <c r="U1277">
        <v>653.08330749508798</v>
      </c>
      <c r="V1277">
        <v>676.06568034960799</v>
      </c>
      <c r="W1277">
        <v>607.06270091902604</v>
      </c>
    </row>
    <row r="1278" spans="1:23" x14ac:dyDescent="0.2">
      <c r="A1278" t="s">
        <v>2565</v>
      </c>
      <c r="B1278" s="3" t="str">
        <f>HYPERLINK("http://www.ncbi.nlm.nih.gov/gene/19170","Psmb1")</f>
        <v>Psmb1</v>
      </c>
      <c r="C1278">
        <v>19170</v>
      </c>
      <c r="D1278" t="s">
        <v>2566</v>
      </c>
      <c r="E1278" s="3" t="str">
        <f>HYPERLINK("http://genome.ucsc.edu/cgi-bin/hgTracks?db=mm10&amp;lastVirtModeType=default&amp;lastVirtModeExtraState=&amp;virtModeType=default&amp;virtMode=0&amp;nonVirtPosition=&amp;position=chr17:15475720-15498276","chr17:15475720-15498276")</f>
        <v>chr17:15475720-15498276</v>
      </c>
      <c r="F1278" t="s">
        <v>25</v>
      </c>
      <c r="G1278">
        <v>-0.57195686030549198</v>
      </c>
      <c r="H1278">
        <v>0.14659443808643899</v>
      </c>
      <c r="I1278">
        <v>-3.90162729071782</v>
      </c>
      <c r="J1278" s="1">
        <v>9.5548195189604999E-5</v>
      </c>
      <c r="K1278">
        <v>1.0050949581963901E-3</v>
      </c>
      <c r="L1278" t="s">
        <v>26</v>
      </c>
      <c r="M1278" t="s">
        <v>27</v>
      </c>
      <c r="N1278">
        <v>548.44088767893504</v>
      </c>
      <c r="O1278">
        <v>684.45851154860702</v>
      </c>
      <c r="P1278">
        <v>446.427669776681</v>
      </c>
      <c r="Q1278">
        <v>598.551986956154</v>
      </c>
      <c r="R1278">
        <v>761.92312653197905</v>
      </c>
      <c r="S1278">
        <v>692.90042115768904</v>
      </c>
      <c r="T1278">
        <v>362.05342253091999</v>
      </c>
      <c r="U1278">
        <v>443.24014639830602</v>
      </c>
      <c r="V1278">
        <v>535.55583818772004</v>
      </c>
      <c r="W1278">
        <v>444.86127198977698</v>
      </c>
    </row>
    <row r="1279" spans="1:23" x14ac:dyDescent="0.2">
      <c r="A1279" t="s">
        <v>2567</v>
      </c>
      <c r="B1279" s="3" t="str">
        <f>HYPERLINK("http://www.ncbi.nlm.nih.gov/gene/216516","Ccdc157")</f>
        <v>Ccdc157</v>
      </c>
      <c r="C1279">
        <v>216516</v>
      </c>
      <c r="D1279" t="s">
        <v>2568</v>
      </c>
      <c r="E1279" s="3" t="str">
        <f>HYPERLINK("http://genome.ucsc.edu/cgi-bin/hgTracks?db=mm10&amp;lastVirtModeType=default&amp;lastVirtModeExtraState=&amp;virtModeType=default&amp;virtMode=0&amp;nonVirtPosition=&amp;position=chr11:4141123-4160293","chr11:4141123-4160293")</f>
        <v>chr11:4141123-4160293</v>
      </c>
      <c r="F1279" t="s">
        <v>25</v>
      </c>
      <c r="G1279">
        <v>0.68494311673599195</v>
      </c>
      <c r="H1279">
        <v>0.17558553142758801</v>
      </c>
      <c r="I1279">
        <v>3.9009086407467901</v>
      </c>
      <c r="J1279" s="1">
        <v>9.5832314078604094E-5</v>
      </c>
      <c r="K1279">
        <v>1.00729240017785E-3</v>
      </c>
      <c r="L1279" t="s">
        <v>26</v>
      </c>
      <c r="M1279" t="s">
        <v>27</v>
      </c>
      <c r="N1279">
        <v>114.07046753461</v>
      </c>
      <c r="O1279">
        <v>83.666088562142505</v>
      </c>
      <c r="P1279">
        <v>136.873751763961</v>
      </c>
      <c r="Q1279">
        <v>95.211525366979004</v>
      </c>
      <c r="R1279">
        <v>70.920669318805395</v>
      </c>
      <c r="S1279">
        <v>84.866071000643004</v>
      </c>
      <c r="T1279">
        <v>137.48864146743799</v>
      </c>
      <c r="U1279">
        <v>124.192891261361</v>
      </c>
      <c r="V1279">
        <v>133.15330592304599</v>
      </c>
      <c r="W1279">
        <v>152.66016840399899</v>
      </c>
    </row>
    <row r="1280" spans="1:23" x14ac:dyDescent="0.2">
      <c r="A1280" t="s">
        <v>2569</v>
      </c>
      <c r="B1280" s="3" t="str">
        <f>HYPERLINK("http://www.ncbi.nlm.nih.gov/gene/12576","Cdkn1b")</f>
        <v>Cdkn1b</v>
      </c>
      <c r="C1280">
        <v>12576</v>
      </c>
      <c r="D1280" t="s">
        <v>2570</v>
      </c>
      <c r="E1280" s="3" t="str">
        <f>HYPERLINK("http://genome.ucsc.edu/cgi-bin/hgTracks?db=mm10&amp;lastVirtModeType=default&amp;lastVirtModeExtraState=&amp;virtModeType=default&amp;virtMode=0&amp;nonVirtPosition=&amp;position=chr6:134920400-134925525","chr6:134920400-134925525")</f>
        <v>chr6:134920400-134925525</v>
      </c>
      <c r="F1280" t="s">
        <v>30</v>
      </c>
      <c r="G1280">
        <v>-0.53316768185226504</v>
      </c>
      <c r="H1280">
        <v>0.13674231651770599</v>
      </c>
      <c r="I1280">
        <v>-3.8990686674759498</v>
      </c>
      <c r="J1280" s="1">
        <v>9.6563389407466007E-5</v>
      </c>
      <c r="K1280">
        <v>1.01418066474932E-3</v>
      </c>
      <c r="L1280" t="s">
        <v>26</v>
      </c>
      <c r="M1280" t="s">
        <v>27</v>
      </c>
      <c r="N1280">
        <v>484.50990128493601</v>
      </c>
      <c r="O1280">
        <v>592.69488103258095</v>
      </c>
      <c r="P1280">
        <v>403.37116647420203</v>
      </c>
      <c r="Q1280">
        <v>528.95291870543895</v>
      </c>
      <c r="R1280">
        <v>667.48865241228702</v>
      </c>
      <c r="S1280">
        <v>581.643071980017</v>
      </c>
      <c r="T1280">
        <v>412.46592440231399</v>
      </c>
      <c r="U1280">
        <v>336.17730910402901</v>
      </c>
      <c r="V1280">
        <v>425.94344822896898</v>
      </c>
      <c r="W1280">
        <v>438.89798416149603</v>
      </c>
    </row>
    <row r="1281" spans="1:23" x14ac:dyDescent="0.2">
      <c r="A1281" t="s">
        <v>2571</v>
      </c>
      <c r="B1281" s="3" t="str">
        <f>HYPERLINK("http://www.ncbi.nlm.nih.gov/gene/19303","Pxn")</f>
        <v>Pxn</v>
      </c>
      <c r="C1281">
        <v>19303</v>
      </c>
      <c r="D1281" t="s">
        <v>2572</v>
      </c>
      <c r="E1281" s="3" t="str">
        <f>HYPERLINK("http://genome.ucsc.edu/cgi-bin/hgTracks?db=mm10&amp;lastVirtModeType=default&amp;lastVirtModeExtraState=&amp;virtModeType=default&amp;virtMode=0&amp;nonVirtPosition=&amp;position=chr5:115506675-115555987","chr5:115506675-115555987")</f>
        <v>chr5:115506675-115555987</v>
      </c>
      <c r="F1281" t="s">
        <v>30</v>
      </c>
      <c r="G1281">
        <v>0.56331482882651995</v>
      </c>
      <c r="H1281">
        <v>0.144568549595155</v>
      </c>
      <c r="I1281">
        <v>3.8965240393156599</v>
      </c>
      <c r="J1281" s="1">
        <v>9.7583125725960097E-5</v>
      </c>
      <c r="K1281">
        <v>1.0240874894955601E-3</v>
      </c>
      <c r="L1281" t="s">
        <v>26</v>
      </c>
      <c r="M1281" t="s">
        <v>27</v>
      </c>
      <c r="N1281">
        <v>403.84113635028802</v>
      </c>
      <c r="O1281">
        <v>317.643505979662</v>
      </c>
      <c r="P1281">
        <v>468.48935912825698</v>
      </c>
      <c r="Q1281">
        <v>335.189112695446</v>
      </c>
      <c r="R1281">
        <v>265.85769621648501</v>
      </c>
      <c r="S1281">
        <v>351.883709027056</v>
      </c>
      <c r="T1281">
        <v>384.96819610882602</v>
      </c>
      <c r="U1281">
        <v>490.34779480778798</v>
      </c>
      <c r="V1281">
        <v>521.57841933391899</v>
      </c>
      <c r="W1281">
        <v>477.06302626249601</v>
      </c>
    </row>
    <row r="1282" spans="1:23" x14ac:dyDescent="0.2">
      <c r="A1282" t="s">
        <v>2573</v>
      </c>
      <c r="B1282" s="3" t="str">
        <f>HYPERLINK("http://www.ncbi.nlm.nih.gov/gene/268595","D430019H16Rik")</f>
        <v>D430019H16Rik</v>
      </c>
      <c r="C1282">
        <v>268595</v>
      </c>
      <c r="D1282" t="s">
        <v>2574</v>
      </c>
      <c r="E1282" s="3" t="str">
        <f>HYPERLINK("http://genome.ucsc.edu/cgi-bin/hgTracks?db=mm10&amp;lastVirtModeType=default&amp;lastVirtModeExtraState=&amp;virtModeType=default&amp;virtMode=0&amp;nonVirtPosition=&amp;position=chr12:105453855-105493095","chr12:105453855-105493095")</f>
        <v>chr12:105453855-105493095</v>
      </c>
      <c r="F1282" t="s">
        <v>30</v>
      </c>
      <c r="G1282">
        <v>-0.67349969025174805</v>
      </c>
      <c r="H1282">
        <v>0.17291847820651901</v>
      </c>
      <c r="I1282">
        <v>-3.89489716331749</v>
      </c>
      <c r="J1282" s="1">
        <v>9.8240400288387595E-5</v>
      </c>
      <c r="K1282">
        <v>1.0301779171979599E-3</v>
      </c>
      <c r="L1282" t="s">
        <v>26</v>
      </c>
      <c r="M1282" t="s">
        <v>27</v>
      </c>
      <c r="N1282">
        <v>453.16734144892501</v>
      </c>
      <c r="O1282">
        <v>580.66533662132701</v>
      </c>
      <c r="P1282">
        <v>357.54384506962299</v>
      </c>
      <c r="Q1282">
        <v>753.34031474574601</v>
      </c>
      <c r="R1282">
        <v>459.27770344958998</v>
      </c>
      <c r="S1282">
        <v>529.377991668645</v>
      </c>
      <c r="T1282">
        <v>403.30001497115097</v>
      </c>
      <c r="U1282">
        <v>327.61228212048701</v>
      </c>
      <c r="V1282">
        <v>354.58504671219902</v>
      </c>
      <c r="W1282">
        <v>344.67803647465303</v>
      </c>
    </row>
    <row r="1283" spans="1:23" x14ac:dyDescent="0.2">
      <c r="A1283" t="s">
        <v>2575</v>
      </c>
      <c r="B1283" s="3" t="str">
        <f>HYPERLINK("http://www.ncbi.nlm.nih.gov/gene/104799","Vipas39")</f>
        <v>Vipas39</v>
      </c>
      <c r="C1283">
        <v>104799</v>
      </c>
      <c r="D1283" t="s">
        <v>2576</v>
      </c>
      <c r="E1283" s="3" t="str">
        <f>HYPERLINK("http://genome.ucsc.edu/cgi-bin/hgTracks?db=mm10&amp;lastVirtModeType=default&amp;lastVirtModeExtraState=&amp;virtModeType=default&amp;virtMode=0&amp;nonVirtPosition=&amp;position=chr12:87238874-87266286","chr12:87238874-87266286")</f>
        <v>chr12:87238874-87266286</v>
      </c>
      <c r="F1283" t="s">
        <v>25</v>
      </c>
      <c r="G1283">
        <v>-0.55595305886221702</v>
      </c>
      <c r="H1283">
        <v>0.14304586555871801</v>
      </c>
      <c r="I1283">
        <v>-3.8865370676093298</v>
      </c>
      <c r="J1283">
        <v>1.01684405623796E-4</v>
      </c>
      <c r="K1283">
        <v>1.0654584316965999E-3</v>
      </c>
      <c r="L1283" t="s">
        <v>26</v>
      </c>
      <c r="M1283" t="s">
        <v>27</v>
      </c>
      <c r="N1283">
        <v>289.70463491668698</v>
      </c>
      <c r="O1283">
        <v>359.53032447135899</v>
      </c>
      <c r="P1283">
        <v>237.33536775068299</v>
      </c>
      <c r="Q1283">
        <v>407.57214367619099</v>
      </c>
      <c r="R1283">
        <v>361.050680168464</v>
      </c>
      <c r="S1283">
        <v>309.968149569422</v>
      </c>
      <c r="T1283">
        <v>206.23296220115699</v>
      </c>
      <c r="U1283">
        <v>237.67949879329399</v>
      </c>
      <c r="V1283">
        <v>244.23700312956399</v>
      </c>
      <c r="W1283">
        <v>261.192006878717</v>
      </c>
    </row>
    <row r="1284" spans="1:23" x14ac:dyDescent="0.2">
      <c r="A1284" t="s">
        <v>2577</v>
      </c>
      <c r="B1284" s="3" t="str">
        <f>HYPERLINK("http://www.ncbi.nlm.nih.gov/gene/109672","Cyb5a")</f>
        <v>Cyb5a</v>
      </c>
      <c r="C1284">
        <v>109672</v>
      </c>
      <c r="D1284" t="s">
        <v>2578</v>
      </c>
      <c r="E1284" s="3" t="str">
        <f>HYPERLINK("http://genome.ucsc.edu/cgi-bin/hgTracks?db=mm10&amp;lastVirtModeType=default&amp;lastVirtModeExtraState=&amp;virtModeType=default&amp;virtMode=0&amp;nonVirtPosition=&amp;position=chr18:84851413-84879863","chr18:84851413-84879863")</f>
        <v>chr18:84851413-84879863</v>
      </c>
      <c r="F1284" t="s">
        <v>30</v>
      </c>
      <c r="G1284">
        <v>-0.91446146033624498</v>
      </c>
      <c r="H1284">
        <v>0.23534619807579699</v>
      </c>
      <c r="I1284">
        <v>-3.8856011603881</v>
      </c>
      <c r="J1284">
        <v>1.02076975366774E-4</v>
      </c>
      <c r="K1284">
        <v>1.0687355567916099E-3</v>
      </c>
      <c r="L1284" t="s">
        <v>26</v>
      </c>
      <c r="M1284" t="s">
        <v>27</v>
      </c>
      <c r="N1284">
        <v>154.52084894654499</v>
      </c>
      <c r="O1284">
        <v>220.60310423807201</v>
      </c>
      <c r="P1284">
        <v>104.95915747790001</v>
      </c>
      <c r="Q1284">
        <v>298.99759720507399</v>
      </c>
      <c r="R1284">
        <v>185.83490891023899</v>
      </c>
      <c r="S1284">
        <v>176.97680659890199</v>
      </c>
      <c r="T1284">
        <v>73.327275449300203</v>
      </c>
      <c r="U1284">
        <v>89.932783327192496</v>
      </c>
      <c r="V1284">
        <v>145.65941752907801</v>
      </c>
      <c r="W1284">
        <v>110.91715360603</v>
      </c>
    </row>
    <row r="1285" spans="1:23" x14ac:dyDescent="0.2">
      <c r="A1285" t="s">
        <v>2579</v>
      </c>
      <c r="B1285" s="3" t="str">
        <f>HYPERLINK("http://www.ncbi.nlm.nih.gov/gene/320634","Ocrl")</f>
        <v>Ocrl</v>
      </c>
      <c r="C1285">
        <v>320634</v>
      </c>
      <c r="D1285" t="s">
        <v>2580</v>
      </c>
      <c r="E1285" s="3" t="str">
        <f>HYPERLINK("http://genome.ucsc.edu/cgi-bin/hgTracks?db=mm10&amp;lastVirtModeType=default&amp;lastVirtModeExtraState=&amp;virtModeType=default&amp;virtMode=0&amp;nonVirtPosition=&amp;position=chrX:47912455-47965866","chrX:47912455-47965866")</f>
        <v>chrX:47912455-47965866</v>
      </c>
      <c r="F1285" t="s">
        <v>30</v>
      </c>
      <c r="G1285">
        <v>-0.49617687096672602</v>
      </c>
      <c r="H1285">
        <v>0.12772043100776001</v>
      </c>
      <c r="I1285">
        <v>-3.8848668693936599</v>
      </c>
      <c r="J1285">
        <v>1.0238597743433E-4</v>
      </c>
      <c r="K1285">
        <v>1.07113329986181E-3</v>
      </c>
      <c r="L1285" t="s">
        <v>26</v>
      </c>
      <c r="M1285" t="s">
        <v>27</v>
      </c>
      <c r="N1285">
        <v>242.24125938853101</v>
      </c>
      <c r="O1285">
        <v>290.17181288282001</v>
      </c>
      <c r="P1285">
        <v>206.29334426781401</v>
      </c>
      <c r="Q1285">
        <v>277.282687910851</v>
      </c>
      <c r="R1285">
        <v>290.50926576580201</v>
      </c>
      <c r="S1285">
        <v>302.72348497180599</v>
      </c>
      <c r="T1285">
        <v>233.73069049464399</v>
      </c>
      <c r="U1285">
        <v>179.86556665438499</v>
      </c>
      <c r="V1285">
        <v>205.2473610637</v>
      </c>
      <c r="W1285">
        <v>206.329758858529</v>
      </c>
    </row>
    <row r="1286" spans="1:23" x14ac:dyDescent="0.2">
      <c r="A1286" t="s">
        <v>2581</v>
      </c>
      <c r="B1286" s="3" t="str">
        <f>HYPERLINK("http://www.ncbi.nlm.nih.gov/gene/57249","Gabrq")</f>
        <v>Gabrq</v>
      </c>
      <c r="C1286">
        <v>57249</v>
      </c>
      <c r="D1286" t="s">
        <v>2582</v>
      </c>
      <c r="E1286" s="3" t="str">
        <f>HYPERLINK("http://genome.ucsc.edu/cgi-bin/hgTracks?db=mm10&amp;lastVirtModeType=default&amp;lastVirtModeExtraState=&amp;virtModeType=default&amp;virtMode=0&amp;nonVirtPosition=&amp;position=chrX:72825177-72838544","chrX:72825177-72838544")</f>
        <v>chrX:72825177-72838544</v>
      </c>
      <c r="F1286" t="s">
        <v>30</v>
      </c>
      <c r="G1286">
        <v>1.2440900594058899</v>
      </c>
      <c r="H1286">
        <v>0.32037141782987599</v>
      </c>
      <c r="I1286">
        <v>3.8832741941621398</v>
      </c>
      <c r="J1286">
        <v>1.03059238982284E-4</v>
      </c>
      <c r="K1286">
        <v>1.07733510477109E-3</v>
      </c>
      <c r="L1286" t="s">
        <v>26</v>
      </c>
      <c r="M1286" t="s">
        <v>27</v>
      </c>
      <c r="N1286">
        <v>24.465903625979099</v>
      </c>
      <c r="O1286">
        <v>11.2202818645858</v>
      </c>
      <c r="P1286">
        <v>34.400119947024102</v>
      </c>
      <c r="Q1286">
        <v>11.692643466120201</v>
      </c>
      <c r="R1286">
        <v>12.136157316586999</v>
      </c>
      <c r="S1286">
        <v>9.8320448110501104</v>
      </c>
      <c r="T1286">
        <v>41.246592440231403</v>
      </c>
      <c r="U1286">
        <v>29.9775944423975</v>
      </c>
      <c r="V1286">
        <v>19.8626478448742</v>
      </c>
      <c r="W1286">
        <v>46.513645060593397</v>
      </c>
    </row>
    <row r="1287" spans="1:23" x14ac:dyDescent="0.2">
      <c r="A1287" t="s">
        <v>2583</v>
      </c>
      <c r="B1287" s="3" t="str">
        <f>HYPERLINK("http://www.ncbi.nlm.nih.gov/gene/381293","Kif14")</f>
        <v>Kif14</v>
      </c>
      <c r="C1287">
        <v>381293</v>
      </c>
      <c r="D1287" t="s">
        <v>2584</v>
      </c>
      <c r="E1287" s="3" t="str">
        <f>HYPERLINK("http://genome.ucsc.edu/cgi-bin/hgTracks?db=mm10&amp;lastVirtModeType=default&amp;lastVirtModeExtraState=&amp;virtModeType=default&amp;virtMode=0&amp;nonVirtPosition=&amp;position=chr1:136467847-136530819","chr1:136467847-136530819")</f>
        <v>chr1:136467847-136530819</v>
      </c>
      <c r="F1287" t="s">
        <v>30</v>
      </c>
      <c r="G1287">
        <v>0.94938933821215898</v>
      </c>
      <c r="H1287">
        <v>0.244553561593786</v>
      </c>
      <c r="I1287">
        <v>3.88213253581289</v>
      </c>
      <c r="J1287">
        <v>1.03544413742883E-4</v>
      </c>
      <c r="K1287">
        <v>1.0815625931598601E-3</v>
      </c>
      <c r="L1287" t="s">
        <v>26</v>
      </c>
      <c r="M1287" t="s">
        <v>27</v>
      </c>
      <c r="N1287">
        <v>226.49211429570801</v>
      </c>
      <c r="O1287">
        <v>138.20216897193899</v>
      </c>
      <c r="P1287">
        <v>292.70957328853501</v>
      </c>
      <c r="Q1287">
        <v>81.848504262841601</v>
      </c>
      <c r="R1287">
        <v>137.66953456003401</v>
      </c>
      <c r="S1287">
        <v>195.08846809294201</v>
      </c>
      <c r="T1287">
        <v>407.882969686732</v>
      </c>
      <c r="U1287">
        <v>229.11447180975199</v>
      </c>
      <c r="V1287">
        <v>271.456187213281</v>
      </c>
      <c r="W1287">
        <v>262.38466444437302</v>
      </c>
    </row>
    <row r="1288" spans="1:23" x14ac:dyDescent="0.2">
      <c r="A1288" t="s">
        <v>2585</v>
      </c>
      <c r="B1288" s="3" t="str">
        <f>HYPERLINK("http://www.ncbi.nlm.nih.gov/gene/66881","Pcyox1")</f>
        <v>Pcyox1</v>
      </c>
      <c r="C1288">
        <v>66881</v>
      </c>
      <c r="D1288" t="s">
        <v>2586</v>
      </c>
      <c r="E1288" s="3" t="str">
        <f>HYPERLINK("http://genome.ucsc.edu/cgi-bin/hgTracks?db=mm10&amp;lastVirtModeType=default&amp;lastVirtModeExtraState=&amp;virtModeType=default&amp;virtMode=0&amp;nonVirtPosition=&amp;position=chr6:86386005-86397150","chr6:86386005-86397150")</f>
        <v>chr6:86386005-86397150</v>
      </c>
      <c r="F1288" t="s">
        <v>25</v>
      </c>
      <c r="G1288">
        <v>-0.57056956964652705</v>
      </c>
      <c r="H1288">
        <v>0.14702336576074099</v>
      </c>
      <c r="I1288">
        <v>-3.8808087863737599</v>
      </c>
      <c r="J1288">
        <v>1.04109671130139E-4</v>
      </c>
      <c r="K1288">
        <v>1.08661933445338E-3</v>
      </c>
      <c r="L1288" t="s">
        <v>26</v>
      </c>
      <c r="M1288" t="s">
        <v>27</v>
      </c>
      <c r="N1288">
        <v>558.74379613855297</v>
      </c>
      <c r="O1288">
        <v>697.170838767487</v>
      </c>
      <c r="P1288">
        <v>454.92351416685199</v>
      </c>
      <c r="Q1288">
        <v>805.67881407028403</v>
      </c>
      <c r="R1288">
        <v>674.69449581900994</v>
      </c>
      <c r="S1288">
        <v>611.13920641316702</v>
      </c>
      <c r="T1288">
        <v>362.05342253091999</v>
      </c>
      <c r="U1288">
        <v>460.37020036539002</v>
      </c>
      <c r="V1288">
        <v>523.78538020557198</v>
      </c>
      <c r="W1288">
        <v>473.48505356552698</v>
      </c>
    </row>
    <row r="1289" spans="1:23" x14ac:dyDescent="0.2">
      <c r="A1289" t="s">
        <v>2587</v>
      </c>
      <c r="B1289" s="3" t="str">
        <f>HYPERLINK("http://www.ncbi.nlm.nih.gov/gene/93873","Pcdhb2")</f>
        <v>Pcdhb2</v>
      </c>
      <c r="C1289">
        <v>93873</v>
      </c>
      <c r="D1289" t="s">
        <v>2588</v>
      </c>
      <c r="E1289" s="3" t="str">
        <f>HYPERLINK("http://genome.ucsc.edu/cgi-bin/hgTracks?db=mm10&amp;lastVirtModeType=default&amp;lastVirtModeExtraState=&amp;virtModeType=default&amp;virtMode=0&amp;nonVirtPosition=&amp;position=chr18:37294839-37297614","chr18:37294839-37297614")</f>
        <v>chr18:37294839-37297614</v>
      </c>
      <c r="F1289" t="s">
        <v>30</v>
      </c>
      <c r="G1289">
        <v>-1.05210835297246</v>
      </c>
      <c r="H1289">
        <v>0.27120475578105802</v>
      </c>
      <c r="I1289">
        <v>-3.87938754961147</v>
      </c>
      <c r="J1289">
        <v>1.04719798015009E-4</v>
      </c>
      <c r="K1289">
        <v>1.0921361489244399E-3</v>
      </c>
      <c r="L1289" t="s">
        <v>26</v>
      </c>
      <c r="M1289" t="s">
        <v>27</v>
      </c>
      <c r="N1289">
        <v>128.149035433986</v>
      </c>
      <c r="O1289">
        <v>191.395516481876</v>
      </c>
      <c r="P1289">
        <v>80.714174648067896</v>
      </c>
      <c r="Q1289">
        <v>302.89514502711398</v>
      </c>
      <c r="R1289">
        <v>121.740828082014</v>
      </c>
      <c r="S1289">
        <v>149.55057633649901</v>
      </c>
      <c r="T1289">
        <v>64.161366018137699</v>
      </c>
      <c r="U1289">
        <v>83.509013089535898</v>
      </c>
      <c r="V1289">
        <v>100.04889284825499</v>
      </c>
      <c r="W1289">
        <v>75.137426636343093</v>
      </c>
    </row>
    <row r="1290" spans="1:23" x14ac:dyDescent="0.2">
      <c r="A1290" t="s">
        <v>2589</v>
      </c>
      <c r="B1290" s="3" t="str">
        <f>HYPERLINK("http://www.ncbi.nlm.nih.gov/gene/368202","Prss48")</f>
        <v>Prss48</v>
      </c>
      <c r="C1290">
        <v>368202</v>
      </c>
      <c r="D1290" t="s">
        <v>2590</v>
      </c>
      <c r="E1290" s="3" t="str">
        <f>HYPERLINK("http://genome.ucsc.edu/cgi-bin/hgTracks?db=mm10&amp;lastVirtModeType=default&amp;lastVirtModeExtraState=&amp;virtModeType=default&amp;virtMode=0&amp;nonVirtPosition=&amp;position=chr3:85993809-86002491","chr3:85993809-86002491")</f>
        <v>chr3:85993809-86002491</v>
      </c>
      <c r="F1290" t="s">
        <v>25</v>
      </c>
      <c r="G1290">
        <v>1.2904800465203701</v>
      </c>
      <c r="H1290">
        <v>0.33270874489985103</v>
      </c>
      <c r="I1290">
        <v>3.8787079278869601</v>
      </c>
      <c r="J1290">
        <v>1.05012745942936E-4</v>
      </c>
      <c r="K1290">
        <v>1.0943390513010599E-3</v>
      </c>
      <c r="L1290" t="s">
        <v>26</v>
      </c>
      <c r="M1290" t="s">
        <v>27</v>
      </c>
      <c r="N1290">
        <v>36.2156245015289</v>
      </c>
      <c r="O1290">
        <v>16.5780344469017</v>
      </c>
      <c r="P1290">
        <v>50.943817042499298</v>
      </c>
      <c r="Q1290">
        <v>11.1358509201145</v>
      </c>
      <c r="R1290">
        <v>9.1021179874402698</v>
      </c>
      <c r="S1290">
        <v>29.496134433150299</v>
      </c>
      <c r="T1290">
        <v>41.246592440231403</v>
      </c>
      <c r="U1290">
        <v>49.248905155367297</v>
      </c>
      <c r="V1290">
        <v>69.151440645117603</v>
      </c>
      <c r="W1290">
        <v>44.128329929280902</v>
      </c>
    </row>
    <row r="1291" spans="1:23" x14ac:dyDescent="0.2">
      <c r="A1291" t="s">
        <v>2591</v>
      </c>
      <c r="B1291" s="3" t="str">
        <f>HYPERLINK("http://www.ncbi.nlm.nih.gov/gene/104103","Airn")</f>
        <v>Airn</v>
      </c>
      <c r="C1291">
        <v>104103</v>
      </c>
      <c r="D1291" t="s">
        <v>2592</v>
      </c>
      <c r="E1291" s="3" t="str">
        <f>HYPERLINK("http://genome.ucsc.edu/cgi-bin/hgTracks?db=mm10&amp;lastVirtModeType=default&amp;lastVirtModeExtraState=&amp;virtModeType=default&amp;virtMode=0&amp;nonVirtPosition=&amp;position=chr17:12741310-12830123","chr17:12741310-12830123")</f>
        <v>chr17:12741310-12830123</v>
      </c>
      <c r="F1291" t="s">
        <v>30</v>
      </c>
      <c r="G1291">
        <v>1.1523665436491299</v>
      </c>
      <c r="H1291">
        <v>0.29721020489257299</v>
      </c>
      <c r="I1291">
        <v>3.877277848066</v>
      </c>
      <c r="J1291">
        <v>1.05631703215401E-4</v>
      </c>
      <c r="K1291">
        <v>1.0999332330928701E-3</v>
      </c>
      <c r="L1291" t="s">
        <v>26</v>
      </c>
      <c r="M1291" t="s">
        <v>27</v>
      </c>
      <c r="N1291">
        <v>26.660072172875399</v>
      </c>
      <c r="O1291">
        <v>13.754102497793101</v>
      </c>
      <c r="P1291">
        <v>36.339549429187102</v>
      </c>
      <c r="Q1291">
        <v>9.4654732820973209</v>
      </c>
      <c r="R1291">
        <v>17.824981058737201</v>
      </c>
      <c r="S1291">
        <v>13.971853152544901</v>
      </c>
      <c r="T1291">
        <v>41.246592440231403</v>
      </c>
      <c r="U1291">
        <v>29.9775944423975</v>
      </c>
      <c r="V1291">
        <v>41.932256561401097</v>
      </c>
      <c r="W1291">
        <v>32.201754272718503</v>
      </c>
    </row>
    <row r="1292" spans="1:23" x14ac:dyDescent="0.2">
      <c r="A1292" t="s">
        <v>2593</v>
      </c>
      <c r="B1292" s="3" t="str">
        <f>HYPERLINK("http://www.ncbi.nlm.nih.gov/gene/22221","Ubp1")</f>
        <v>Ubp1</v>
      </c>
      <c r="C1292">
        <v>22221</v>
      </c>
      <c r="D1292" t="s">
        <v>2594</v>
      </c>
      <c r="E1292" s="3" t="str">
        <f>HYPERLINK("http://genome.ucsc.edu/cgi-bin/hgTracks?db=mm10&amp;lastVirtModeType=default&amp;lastVirtModeExtraState=&amp;virtModeType=default&amp;virtMode=0&amp;nonVirtPosition=&amp;position=chr9:113930933-113977201","chr9:113930933-113977201")</f>
        <v>chr9:113930933-113977201</v>
      </c>
      <c r="F1292" t="s">
        <v>30</v>
      </c>
      <c r="G1292">
        <v>0.46465179594073902</v>
      </c>
      <c r="H1292">
        <v>0.119853685252288</v>
      </c>
      <c r="I1292">
        <v>3.8768252721029199</v>
      </c>
      <c r="J1292">
        <v>1.05828300081987E-4</v>
      </c>
      <c r="K1292">
        <v>1.1011241386153E-3</v>
      </c>
      <c r="L1292" t="s">
        <v>26</v>
      </c>
      <c r="M1292" t="s">
        <v>27</v>
      </c>
      <c r="N1292">
        <v>395.751656855855</v>
      </c>
      <c r="O1292">
        <v>322.21764116273602</v>
      </c>
      <c r="P1292">
        <v>450.90216862569503</v>
      </c>
      <c r="Q1292">
        <v>294.54325683702899</v>
      </c>
      <c r="R1292">
        <v>325.40071805099001</v>
      </c>
      <c r="S1292">
        <v>346.70894860018802</v>
      </c>
      <c r="T1292">
        <v>490.37615456719499</v>
      </c>
      <c r="U1292">
        <v>404.69752497236601</v>
      </c>
      <c r="V1292">
        <v>436.24259896334797</v>
      </c>
      <c r="W1292">
        <v>472.29239599987102</v>
      </c>
    </row>
    <row r="1293" spans="1:23" x14ac:dyDescent="0.2">
      <c r="A1293" t="s">
        <v>2595</v>
      </c>
      <c r="B1293" s="3" t="str">
        <f>HYPERLINK("http://www.ncbi.nlm.nih.gov/gene/68944","Tmco1")</f>
        <v>Tmco1</v>
      </c>
      <c r="C1293">
        <v>68944</v>
      </c>
      <c r="D1293" t="s">
        <v>2596</v>
      </c>
      <c r="E1293" s="3" t="str">
        <f>HYPERLINK("http://genome.ucsc.edu/cgi-bin/hgTracks?db=mm10&amp;lastVirtModeType=default&amp;lastVirtModeExtraState=&amp;virtModeType=default&amp;virtMode=0&amp;nonVirtPosition=&amp;position=chr1:167308669-167333978","chr1:167308669-167333978")</f>
        <v>chr1:167308669-167333978</v>
      </c>
      <c r="F1293" t="s">
        <v>30</v>
      </c>
      <c r="G1293">
        <v>-0.49784809178899597</v>
      </c>
      <c r="H1293">
        <v>0.12843375584156799</v>
      </c>
      <c r="I1293">
        <v>-3.87630252285954</v>
      </c>
      <c r="J1293">
        <v>1.06055809617386E-4</v>
      </c>
      <c r="K1293">
        <v>1.1026345858590101E-3</v>
      </c>
      <c r="L1293" t="s">
        <v>26</v>
      </c>
      <c r="M1293" t="s">
        <v>27</v>
      </c>
      <c r="N1293">
        <v>208.18203209166199</v>
      </c>
      <c r="O1293">
        <v>251.131551256162</v>
      </c>
      <c r="P1293">
        <v>175.96989271828801</v>
      </c>
      <c r="Q1293">
        <v>258.90853389266198</v>
      </c>
      <c r="R1293">
        <v>253.34228398375399</v>
      </c>
      <c r="S1293">
        <v>241.143835892071</v>
      </c>
      <c r="T1293">
        <v>169.56932447650701</v>
      </c>
      <c r="U1293">
        <v>186.289336892042</v>
      </c>
      <c r="V1293">
        <v>175.085562484447</v>
      </c>
      <c r="W1293">
        <v>172.93534702015501</v>
      </c>
    </row>
    <row r="1294" spans="1:23" x14ac:dyDescent="0.2">
      <c r="A1294" t="s">
        <v>2597</v>
      </c>
      <c r="B1294" s="3" t="str">
        <f>HYPERLINK("http://www.ncbi.nlm.nih.gov/gene/237979","Sdk2")</f>
        <v>Sdk2</v>
      </c>
      <c r="C1294">
        <v>237979</v>
      </c>
      <c r="D1294" t="s">
        <v>2598</v>
      </c>
      <c r="E1294" s="3" t="str">
        <f>HYPERLINK("http://genome.ucsc.edu/cgi-bin/hgTracks?db=mm10&amp;lastVirtModeType=default&amp;lastVirtModeExtraState=&amp;virtModeType=default&amp;virtMode=0&amp;nonVirtPosition=&amp;position=chr11:113780789-114065951","chr11:113780789-114065951")</f>
        <v>chr11:113780789-114065951</v>
      </c>
      <c r="F1294" t="s">
        <v>25</v>
      </c>
      <c r="G1294">
        <v>0.99563339335659595</v>
      </c>
      <c r="H1294">
        <v>0.257043646964637</v>
      </c>
      <c r="I1294">
        <v>3.8734020665897702</v>
      </c>
      <c r="J1294">
        <v>1.07326546233273E-4</v>
      </c>
      <c r="K1294">
        <v>1.11498043491835E-3</v>
      </c>
      <c r="L1294" t="s">
        <v>26</v>
      </c>
      <c r="M1294" t="s">
        <v>27</v>
      </c>
      <c r="N1294">
        <v>166.40358598833299</v>
      </c>
      <c r="O1294">
        <v>101.365028868292</v>
      </c>
      <c r="P1294">
        <v>215.182503828363</v>
      </c>
      <c r="Q1294">
        <v>111.358509201145</v>
      </c>
      <c r="R1294">
        <v>67.507375073515306</v>
      </c>
      <c r="S1294">
        <v>125.22920233021701</v>
      </c>
      <c r="T1294">
        <v>105.407958458369</v>
      </c>
      <c r="U1294">
        <v>211.98441784266799</v>
      </c>
      <c r="V1294">
        <v>252.32919299229101</v>
      </c>
      <c r="W1294">
        <v>291.00844602012302</v>
      </c>
    </row>
    <row r="1295" spans="1:23" x14ac:dyDescent="0.2">
      <c r="A1295" t="s">
        <v>2599</v>
      </c>
      <c r="B1295" s="3" t="str">
        <f>HYPERLINK("http://www.ncbi.nlm.nih.gov/gene/230761","Zfp362")</f>
        <v>Zfp362</v>
      </c>
      <c r="C1295">
        <v>230761</v>
      </c>
      <c r="D1295" t="s">
        <v>2600</v>
      </c>
      <c r="E1295" s="3" t="str">
        <f>HYPERLINK("http://genome.ucsc.edu/cgi-bin/hgTracks?db=mm10&amp;lastVirtModeType=default&amp;lastVirtModeExtraState=&amp;virtModeType=default&amp;virtMode=0&amp;nonVirtPosition=&amp;position=chr4:128773084-128806112","chr4:128773084-128806112")</f>
        <v>chr4:128773084-128806112</v>
      </c>
      <c r="F1295" t="s">
        <v>25</v>
      </c>
      <c r="G1295">
        <v>0.64991075438937396</v>
      </c>
      <c r="H1295">
        <v>0.167811165094475</v>
      </c>
      <c r="I1295">
        <v>3.8728695675492402</v>
      </c>
      <c r="J1295">
        <v>1.07561398029015E-4</v>
      </c>
      <c r="K1295">
        <v>1.1165540162841399E-3</v>
      </c>
      <c r="L1295" t="s">
        <v>26</v>
      </c>
      <c r="M1295" t="s">
        <v>27</v>
      </c>
      <c r="N1295">
        <v>160.52593441638899</v>
      </c>
      <c r="O1295">
        <v>117.9957500302</v>
      </c>
      <c r="P1295">
        <v>192.42357270602901</v>
      </c>
      <c r="Q1295">
        <v>106.90416883309901</v>
      </c>
      <c r="R1295">
        <v>105.81212160399301</v>
      </c>
      <c r="S1295">
        <v>141.27095965350901</v>
      </c>
      <c r="T1295">
        <v>210.81591691673799</v>
      </c>
      <c r="U1295">
        <v>209.84316109678201</v>
      </c>
      <c r="V1295">
        <v>177.292523356099</v>
      </c>
      <c r="W1295">
        <v>171.74268945449899</v>
      </c>
    </row>
    <row r="1296" spans="1:23" x14ac:dyDescent="0.2">
      <c r="A1296" t="s">
        <v>2601</v>
      </c>
      <c r="B1296" s="3" t="str">
        <f>HYPERLINK("http://www.ncbi.nlm.nih.gov/gene/16449","Jag1")</f>
        <v>Jag1</v>
      </c>
      <c r="C1296">
        <v>16449</v>
      </c>
      <c r="D1296" t="s">
        <v>2602</v>
      </c>
      <c r="E1296" s="3" t="str">
        <f>HYPERLINK("http://genome.ucsc.edu/cgi-bin/hgTracks?db=mm10&amp;lastVirtModeType=default&amp;lastVirtModeExtraState=&amp;virtModeType=default&amp;virtMode=0&amp;nonVirtPosition=&amp;position=chr2:137081450-137116520","chr2:137081450-137116520")</f>
        <v>chr2:137081450-137116520</v>
      </c>
      <c r="F1296" t="s">
        <v>25</v>
      </c>
      <c r="G1296">
        <v>0.63836030051471504</v>
      </c>
      <c r="H1296">
        <v>0.16493012211303901</v>
      </c>
      <c r="I1296">
        <v>3.8704894675164301</v>
      </c>
      <c r="J1296">
        <v>1.0861705004705901E-4</v>
      </c>
      <c r="K1296">
        <v>1.1266389753525701E-3</v>
      </c>
      <c r="L1296" t="s">
        <v>26</v>
      </c>
      <c r="M1296" t="s">
        <v>27</v>
      </c>
      <c r="N1296">
        <v>416.79331220464201</v>
      </c>
      <c r="O1296">
        <v>312.39536235570699</v>
      </c>
      <c r="P1296">
        <v>495.09177459134401</v>
      </c>
      <c r="Q1296">
        <v>400.89063312412202</v>
      </c>
      <c r="R1296">
        <v>257.89334297747399</v>
      </c>
      <c r="S1296">
        <v>278.402110965524</v>
      </c>
      <c r="T1296">
        <v>462.87842627370799</v>
      </c>
      <c r="U1296">
        <v>548.16172694669694</v>
      </c>
      <c r="V1296">
        <v>461.25482217541202</v>
      </c>
      <c r="W1296">
        <v>508.072122969558</v>
      </c>
    </row>
    <row r="1297" spans="1:23" x14ac:dyDescent="0.2">
      <c r="A1297" t="s">
        <v>2603</v>
      </c>
      <c r="B1297" s="3" t="str">
        <f>HYPERLINK("http://www.ncbi.nlm.nih.gov/gene/20224","Sar1a")</f>
        <v>Sar1a</v>
      </c>
      <c r="C1297">
        <v>20224</v>
      </c>
      <c r="D1297" t="s">
        <v>2604</v>
      </c>
      <c r="E1297" s="3" t="str">
        <f>HYPERLINK("http://genome.ucsc.edu/cgi-bin/hgTracks?db=mm10&amp;lastVirtModeType=default&amp;lastVirtModeExtraState=&amp;virtModeType=default&amp;virtMode=0&amp;nonVirtPosition=&amp;position=chr10:61680320-61693297","chr10:61680320-61693297")</f>
        <v>chr10:61680320-61693297</v>
      </c>
      <c r="F1297" t="s">
        <v>30</v>
      </c>
      <c r="G1297">
        <v>-0.41149713696821899</v>
      </c>
      <c r="H1297">
        <v>0.106331660703428</v>
      </c>
      <c r="I1297">
        <v>-3.8699399054429802</v>
      </c>
      <c r="J1297">
        <v>1.08862184040611E-4</v>
      </c>
      <c r="K1297">
        <v>1.1276263935113601E-3</v>
      </c>
      <c r="L1297" t="s">
        <v>26</v>
      </c>
      <c r="M1297" t="s">
        <v>27</v>
      </c>
      <c r="N1297">
        <v>750.93347226071</v>
      </c>
      <c r="O1297">
        <v>882.93680311310595</v>
      </c>
      <c r="P1297">
        <v>651.93097412141401</v>
      </c>
      <c r="Q1297">
        <v>865.25561649289705</v>
      </c>
      <c r="R1297">
        <v>883.66395461399304</v>
      </c>
      <c r="S1297">
        <v>899.890838232428</v>
      </c>
      <c r="T1297">
        <v>586.61820359440196</v>
      </c>
      <c r="U1297">
        <v>618.82319956091999</v>
      </c>
      <c r="V1297">
        <v>706.96313255274504</v>
      </c>
      <c r="W1297">
        <v>695.31936077758803</v>
      </c>
    </row>
    <row r="1298" spans="1:23" x14ac:dyDescent="0.2">
      <c r="A1298" t="s">
        <v>2605</v>
      </c>
      <c r="B1298" s="3" t="str">
        <f>HYPERLINK("http://www.ncbi.nlm.nih.gov/gene/192285","Phf21a")</f>
        <v>Phf21a</v>
      </c>
      <c r="C1298">
        <v>192285</v>
      </c>
      <c r="D1298" t="s">
        <v>2606</v>
      </c>
      <c r="E1298" s="3" t="str">
        <f>HYPERLINK("http://genome.ucsc.edu/cgi-bin/hgTracks?db=mm10&amp;lastVirtModeType=default&amp;lastVirtModeExtraState=&amp;virtModeType=default&amp;virtMode=0&amp;nonVirtPosition=&amp;position=chr2:92184181-92364666","chr2:92184181-92364666")</f>
        <v>chr2:92184181-92364666</v>
      </c>
      <c r="F1298" t="s">
        <v>30</v>
      </c>
      <c r="G1298">
        <v>0.47936917834730902</v>
      </c>
      <c r="H1298">
        <v>0.12387125258930599</v>
      </c>
      <c r="I1298">
        <v>3.8698985303446598</v>
      </c>
      <c r="J1298">
        <v>1.08880660653438E-4</v>
      </c>
      <c r="K1298">
        <v>1.1276263935113601E-3</v>
      </c>
      <c r="L1298" t="s">
        <v>26</v>
      </c>
      <c r="M1298" t="s">
        <v>27</v>
      </c>
      <c r="N1298">
        <v>342.59613774412099</v>
      </c>
      <c r="O1298">
        <v>277.27306983839401</v>
      </c>
      <c r="P1298">
        <v>391.58843867341602</v>
      </c>
      <c r="Q1298">
        <v>292.31608665300598</v>
      </c>
      <c r="R1298">
        <v>259.03110772590401</v>
      </c>
      <c r="S1298">
        <v>280.47201513627101</v>
      </c>
      <c r="T1298">
        <v>435.38069798022002</v>
      </c>
      <c r="U1298">
        <v>331.89479561225801</v>
      </c>
      <c r="V1298">
        <v>393.57468877806298</v>
      </c>
      <c r="W1298">
        <v>405.503572323122</v>
      </c>
    </row>
    <row r="1299" spans="1:23" x14ac:dyDescent="0.2">
      <c r="A1299" t="s">
        <v>2607</v>
      </c>
      <c r="B1299" s="3" t="str">
        <f>HYPERLINK("http://www.ncbi.nlm.nih.gov/gene/21672","Prdx2")</f>
        <v>Prdx2</v>
      </c>
      <c r="C1299">
        <v>21672</v>
      </c>
      <c r="D1299" t="s">
        <v>2608</v>
      </c>
      <c r="E1299" s="3" t="str">
        <f>HYPERLINK("http://genome.ucsc.edu/cgi-bin/hgTracks?db=mm10&amp;lastVirtModeType=default&amp;lastVirtModeExtraState=&amp;virtModeType=default&amp;virtMode=0&amp;nonVirtPosition=&amp;position=chr8:84969621-84974810","chr8:84969621-84974810")</f>
        <v>chr8:84969621-84974810</v>
      </c>
      <c r="F1299" t="s">
        <v>30</v>
      </c>
      <c r="G1299">
        <v>-0.38894531366572499</v>
      </c>
      <c r="H1299">
        <v>0.100535579303399</v>
      </c>
      <c r="I1299">
        <v>-3.8687330033873502</v>
      </c>
      <c r="J1299">
        <v>1.09402359788918E-4</v>
      </c>
      <c r="K1299">
        <v>1.13175409370747E-3</v>
      </c>
      <c r="L1299" t="s">
        <v>26</v>
      </c>
      <c r="M1299" t="s">
        <v>27</v>
      </c>
      <c r="N1299">
        <v>690.36578845315398</v>
      </c>
      <c r="O1299">
        <v>798.90709179414705</v>
      </c>
      <c r="P1299">
        <v>608.95981094741001</v>
      </c>
      <c r="Q1299">
        <v>776.72560167798599</v>
      </c>
      <c r="R1299">
        <v>829.80975652163795</v>
      </c>
      <c r="S1299">
        <v>790.18591718281596</v>
      </c>
      <c r="T1299">
        <v>604.95002245672697</v>
      </c>
      <c r="U1299">
        <v>650.94205074920296</v>
      </c>
      <c r="V1299">
        <v>609.85685420002699</v>
      </c>
      <c r="W1299">
        <v>570.09031638368299</v>
      </c>
    </row>
    <row r="1300" spans="1:23" x14ac:dyDescent="0.2">
      <c r="A1300" t="s">
        <v>2609</v>
      </c>
      <c r="B1300" s="3" t="str">
        <f>HYPERLINK("http://www.ncbi.nlm.nih.gov/gene/67801","Pllp")</f>
        <v>Pllp</v>
      </c>
      <c r="C1300">
        <v>67801</v>
      </c>
      <c r="D1300" t="s">
        <v>2610</v>
      </c>
      <c r="E1300" s="3" t="str">
        <f>HYPERLINK("http://genome.ucsc.edu/cgi-bin/hgTracks?db=mm10&amp;lastVirtModeType=default&amp;lastVirtModeExtraState=&amp;virtModeType=default&amp;virtMode=0&amp;nonVirtPosition=&amp;position=chr8:94674894-94696242","chr8:94674894-94696242")</f>
        <v>chr8:94674894-94696242</v>
      </c>
      <c r="F1300" t="s">
        <v>25</v>
      </c>
      <c r="G1300">
        <v>-0.80672914027420595</v>
      </c>
      <c r="H1300">
        <v>0.20853092413284099</v>
      </c>
      <c r="I1300">
        <v>-3.86863072529373</v>
      </c>
      <c r="J1300">
        <v>1.0944825265859E-4</v>
      </c>
      <c r="K1300">
        <v>1.13175409370747E-3</v>
      </c>
      <c r="L1300" t="s">
        <v>26</v>
      </c>
      <c r="M1300" t="s">
        <v>27</v>
      </c>
      <c r="N1300">
        <v>634.18906669579906</v>
      </c>
      <c r="O1300">
        <v>856.95696608794901</v>
      </c>
      <c r="P1300">
        <v>467.11314215168801</v>
      </c>
      <c r="Q1300">
        <v>1171.4915167960501</v>
      </c>
      <c r="R1300">
        <v>770.64598960327601</v>
      </c>
      <c r="S1300">
        <v>628.73339186451994</v>
      </c>
      <c r="T1300">
        <v>394.13410553998898</v>
      </c>
      <c r="U1300">
        <v>588.84560511852203</v>
      </c>
      <c r="V1300">
        <v>500.244464241277</v>
      </c>
      <c r="W1300">
        <v>385.22839370696499</v>
      </c>
    </row>
    <row r="1301" spans="1:23" x14ac:dyDescent="0.2">
      <c r="A1301" t="s">
        <v>2611</v>
      </c>
      <c r="B1301" s="3" t="str">
        <f>HYPERLINK("http://www.ncbi.nlm.nih.gov/gene/239435","Aard")</f>
        <v>Aard</v>
      </c>
      <c r="C1301">
        <v>239435</v>
      </c>
      <c r="D1301" t="s">
        <v>2612</v>
      </c>
      <c r="E1301" s="3" t="str">
        <f>HYPERLINK("http://genome.ucsc.edu/cgi-bin/hgTracks?db=mm10&amp;lastVirtModeType=default&amp;lastVirtModeExtraState=&amp;virtModeType=default&amp;virtMode=0&amp;nonVirtPosition=&amp;position=chr15:52040106-52045722","chr15:52040106-52045722")</f>
        <v>chr15:52040106-52045722</v>
      </c>
      <c r="F1301" t="s">
        <v>30</v>
      </c>
      <c r="G1301">
        <v>-0.96729158356747202</v>
      </c>
      <c r="H1301">
        <v>0.250049036973441</v>
      </c>
      <c r="I1301">
        <v>-3.86840755427589</v>
      </c>
      <c r="J1301">
        <v>1.0954845405868401E-4</v>
      </c>
      <c r="K1301">
        <v>1.1319161638116001E-3</v>
      </c>
      <c r="L1301" t="s">
        <v>26</v>
      </c>
      <c r="M1301" t="s">
        <v>27</v>
      </c>
      <c r="N1301">
        <v>59.555167554545797</v>
      </c>
      <c r="O1301">
        <v>82.893833716952599</v>
      </c>
      <c r="P1301">
        <v>42.051167932740697</v>
      </c>
      <c r="Q1301">
        <v>79.064541532812996</v>
      </c>
      <c r="R1301">
        <v>76.988747977098996</v>
      </c>
      <c r="S1301">
        <v>92.628211640945693</v>
      </c>
      <c r="T1301">
        <v>50.4125018713939</v>
      </c>
      <c r="U1301">
        <v>57.8139321389095</v>
      </c>
      <c r="V1301">
        <v>30.1617985792534</v>
      </c>
      <c r="W1301">
        <v>29.816439141406001</v>
      </c>
    </row>
    <row r="1302" spans="1:23" x14ac:dyDescent="0.2">
      <c r="A1302" t="s">
        <v>2613</v>
      </c>
      <c r="B1302" s="3" t="str">
        <f>HYPERLINK("http://www.ncbi.nlm.nih.gov/gene/67790","Rab39b")</f>
        <v>Rab39b</v>
      </c>
      <c r="C1302">
        <v>67790</v>
      </c>
      <c r="D1302" t="s">
        <v>2614</v>
      </c>
      <c r="E1302" s="3" t="str">
        <f>HYPERLINK("http://genome.ucsc.edu/cgi-bin/hgTracks?db=mm10&amp;lastVirtModeType=default&amp;lastVirtModeExtraState=&amp;virtModeType=default&amp;virtMode=0&amp;nonVirtPosition=&amp;position=chrX:75572044-75578231","chrX:75572044-75578231")</f>
        <v>chrX:75572044-75578231</v>
      </c>
      <c r="F1302" t="s">
        <v>25</v>
      </c>
      <c r="G1302">
        <v>-0.61578909188193098</v>
      </c>
      <c r="H1302">
        <v>0.15921306838160099</v>
      </c>
      <c r="I1302">
        <v>-3.86770444248969</v>
      </c>
      <c r="J1302">
        <v>1.09864709897611E-4</v>
      </c>
      <c r="K1302">
        <v>1.1335749615353601E-3</v>
      </c>
      <c r="L1302" t="s">
        <v>26</v>
      </c>
      <c r="M1302" t="s">
        <v>27</v>
      </c>
      <c r="N1302">
        <v>166.60461384218999</v>
      </c>
      <c r="O1302">
        <v>211.11530980859101</v>
      </c>
      <c r="P1302">
        <v>133.22159186739</v>
      </c>
      <c r="Q1302">
        <v>190.979843279964</v>
      </c>
      <c r="R1302">
        <v>241.585381583311</v>
      </c>
      <c r="S1302">
        <v>200.78070456249699</v>
      </c>
      <c r="T1302">
        <v>109.99091317395001</v>
      </c>
      <c r="U1302">
        <v>152.02922895787299</v>
      </c>
      <c r="V1302">
        <v>136.09592041858301</v>
      </c>
      <c r="W1302">
        <v>134.770304919155</v>
      </c>
    </row>
    <row r="1303" spans="1:23" x14ac:dyDescent="0.2">
      <c r="A1303" t="s">
        <v>2615</v>
      </c>
      <c r="B1303" s="3" t="str">
        <f>HYPERLINK("http://www.ncbi.nlm.nih.gov/gene/54160","Copg2")</f>
        <v>Copg2</v>
      </c>
      <c r="C1303">
        <v>54160</v>
      </c>
      <c r="D1303" t="s">
        <v>2616</v>
      </c>
      <c r="E1303" s="3" t="str">
        <f>HYPERLINK("http://genome.ucsc.edu/cgi-bin/hgTracks?db=mm10&amp;lastVirtModeType=default&amp;lastVirtModeExtraState=&amp;virtModeType=default&amp;virtMode=0&amp;nonVirtPosition=&amp;position=chr6:30747553-30896794","chr6:30747553-30896794")</f>
        <v>chr6:30747553-30896794</v>
      </c>
      <c r="F1303" t="s">
        <v>25</v>
      </c>
      <c r="G1303">
        <v>-0.48938185661474598</v>
      </c>
      <c r="H1303">
        <v>0.12653130071732199</v>
      </c>
      <c r="I1303">
        <v>-3.8676742737992802</v>
      </c>
      <c r="J1303">
        <v>1.09878298862885E-4</v>
      </c>
      <c r="K1303">
        <v>1.1335749615353601E-3</v>
      </c>
      <c r="L1303" t="s">
        <v>26</v>
      </c>
      <c r="M1303" t="s">
        <v>27</v>
      </c>
      <c r="N1303">
        <v>299.29127729153799</v>
      </c>
      <c r="O1303">
        <v>361.76478678523</v>
      </c>
      <c r="P1303">
        <v>252.43614517127</v>
      </c>
      <c r="Q1303">
        <v>342.42741579352099</v>
      </c>
      <c r="R1303">
        <v>381.151190724061</v>
      </c>
      <c r="S1303">
        <v>361.71575383810699</v>
      </c>
      <c r="T1303">
        <v>233.73069049464399</v>
      </c>
      <c r="U1303">
        <v>261.23332299803502</v>
      </c>
      <c r="V1303">
        <v>281.019684323776</v>
      </c>
      <c r="W1303">
        <v>233.76088286862301</v>
      </c>
    </row>
    <row r="1304" spans="1:23" x14ac:dyDescent="0.2">
      <c r="A1304" t="s">
        <v>2617</v>
      </c>
      <c r="B1304" s="3" t="str">
        <f>HYPERLINK("http://www.ncbi.nlm.nih.gov/gene/98496","Pid1")</f>
        <v>Pid1</v>
      </c>
      <c r="C1304">
        <v>98496</v>
      </c>
      <c r="D1304" t="s">
        <v>2618</v>
      </c>
      <c r="E1304" s="3" t="str">
        <f>HYPERLINK("http://genome.ucsc.edu/cgi-bin/hgTracks?db=mm10&amp;lastVirtModeType=default&amp;lastVirtModeExtraState=&amp;virtModeType=default&amp;virtMode=0&amp;nonVirtPosition=&amp;position=chr1:84036292-84284645","chr1:84036292-84284645")</f>
        <v>chr1:84036292-84284645</v>
      </c>
      <c r="F1304" t="s">
        <v>25</v>
      </c>
      <c r="G1304">
        <v>-0.73261495091484496</v>
      </c>
      <c r="H1304">
        <v>0.189465731382603</v>
      </c>
      <c r="I1304">
        <v>-3.8667412073343099</v>
      </c>
      <c r="J1304">
        <v>1.10299366304385E-4</v>
      </c>
      <c r="K1304">
        <v>1.13704296703774E-3</v>
      </c>
      <c r="L1304" t="s">
        <v>26</v>
      </c>
      <c r="M1304" t="s">
        <v>27</v>
      </c>
      <c r="N1304">
        <v>492.18127024613602</v>
      </c>
      <c r="O1304">
        <v>645.06796556116501</v>
      </c>
      <c r="P1304">
        <v>377.51624875986403</v>
      </c>
      <c r="Q1304">
        <v>880.84580778105703</v>
      </c>
      <c r="R1304">
        <v>487.72182216034099</v>
      </c>
      <c r="S1304">
        <v>566.63626674209797</v>
      </c>
      <c r="T1304">
        <v>417.04887911789501</v>
      </c>
      <c r="U1304">
        <v>366.15490354642702</v>
      </c>
      <c r="V1304">
        <v>386.95380616310501</v>
      </c>
      <c r="W1304">
        <v>339.90740621202798</v>
      </c>
    </row>
    <row r="1305" spans="1:23" x14ac:dyDescent="0.2">
      <c r="A1305" t="s">
        <v>2619</v>
      </c>
      <c r="B1305" s="3" t="str">
        <f>HYPERLINK("http://www.ncbi.nlm.nih.gov/gene/241322","Zbtb6")</f>
        <v>Zbtb6</v>
      </c>
      <c r="C1305">
        <v>241322</v>
      </c>
      <c r="D1305" t="s">
        <v>2620</v>
      </c>
      <c r="E1305" s="3" t="str">
        <f>HYPERLINK("http://genome.ucsc.edu/cgi-bin/hgTracks?db=mm10&amp;lastVirtModeType=default&amp;lastVirtModeExtraState=&amp;virtModeType=default&amp;virtMode=0&amp;nonVirtPosition=&amp;position=chr2:37425499-37430919","chr2:37425499-37430919")</f>
        <v>chr2:37425499-37430919</v>
      </c>
      <c r="F1305" t="s">
        <v>25</v>
      </c>
      <c r="G1305">
        <v>-0.62226173501192805</v>
      </c>
      <c r="H1305">
        <v>0.16096965522040099</v>
      </c>
      <c r="I1305">
        <v>-3.8657083172596698</v>
      </c>
      <c r="J1305">
        <v>1.1076725649820501E-4</v>
      </c>
      <c r="K1305">
        <v>1.1409879475134299E-3</v>
      </c>
      <c r="L1305" t="s">
        <v>26</v>
      </c>
      <c r="M1305" t="s">
        <v>27</v>
      </c>
      <c r="N1305">
        <v>175.93759907694701</v>
      </c>
      <c r="O1305">
        <v>221.26078045935699</v>
      </c>
      <c r="P1305">
        <v>141.94521304013901</v>
      </c>
      <c r="Q1305">
        <v>260.57891153067902</v>
      </c>
      <c r="R1305">
        <v>195.69553672996599</v>
      </c>
      <c r="S1305">
        <v>207.50789311742599</v>
      </c>
      <c r="T1305">
        <v>155.82046032976299</v>
      </c>
      <c r="U1305">
        <v>130.61666149901799</v>
      </c>
      <c r="V1305">
        <v>144.18811028130901</v>
      </c>
      <c r="W1305">
        <v>137.155620050468</v>
      </c>
    </row>
    <row r="1306" spans="1:23" x14ac:dyDescent="0.2">
      <c r="A1306" t="s">
        <v>2621</v>
      </c>
      <c r="B1306" s="3" t="str">
        <f>HYPERLINK("http://www.ncbi.nlm.nih.gov/gene/240396","Mex3c")</f>
        <v>Mex3c</v>
      </c>
      <c r="C1306">
        <v>240396</v>
      </c>
      <c r="D1306" t="s">
        <v>2622</v>
      </c>
      <c r="E1306" s="3" t="str">
        <f>HYPERLINK("http://genome.ucsc.edu/cgi-bin/hgTracks?db=mm10&amp;lastVirtModeType=default&amp;lastVirtModeExtraState=&amp;virtModeType=default&amp;virtMode=0&amp;nonVirtPosition=&amp;position=chr18:73572704-73592578","chr18:73572704-73592578")</f>
        <v>chr18:73572704-73592578</v>
      </c>
      <c r="F1306" t="s">
        <v>30</v>
      </c>
      <c r="G1306">
        <v>-0.473679784305998</v>
      </c>
      <c r="H1306">
        <v>0.122540883427235</v>
      </c>
      <c r="I1306">
        <v>-3.8654836741671699</v>
      </c>
      <c r="J1306">
        <v>1.10869265457109E-4</v>
      </c>
      <c r="K1306">
        <v>1.14116090217998E-3</v>
      </c>
      <c r="L1306" t="s">
        <v>26</v>
      </c>
      <c r="M1306" t="s">
        <v>27</v>
      </c>
      <c r="N1306">
        <v>360.539513377905</v>
      </c>
      <c r="O1306">
        <v>428.46380680815099</v>
      </c>
      <c r="P1306">
        <v>309.59629330522102</v>
      </c>
      <c r="Q1306">
        <v>420.378372234322</v>
      </c>
      <c r="R1306">
        <v>402.38946602808898</v>
      </c>
      <c r="S1306">
        <v>462.623582162042</v>
      </c>
      <c r="T1306">
        <v>329.972739521851</v>
      </c>
      <c r="U1306">
        <v>327.61228212048701</v>
      </c>
      <c r="V1306">
        <v>305.296253911956</v>
      </c>
      <c r="W1306">
        <v>275.503897666591</v>
      </c>
    </row>
    <row r="1307" spans="1:23" x14ac:dyDescent="0.2">
      <c r="A1307" t="s">
        <v>2623</v>
      </c>
      <c r="B1307" s="3" t="str">
        <f>HYPERLINK("http://www.ncbi.nlm.nih.gov/gene/16407","Itgae")</f>
        <v>Itgae</v>
      </c>
      <c r="C1307">
        <v>16407</v>
      </c>
      <c r="D1307" t="s">
        <v>2624</v>
      </c>
      <c r="E1307" s="3" t="str">
        <f>HYPERLINK("http://genome.ucsc.edu/cgi-bin/hgTracks?db=mm10&amp;lastVirtModeType=default&amp;lastVirtModeExtraState=&amp;virtModeType=default&amp;virtMode=0&amp;nonVirtPosition=&amp;position=chr11:73090594-73134834","chr11:73090594-73134834")</f>
        <v>chr11:73090594-73134834</v>
      </c>
      <c r="F1307" t="s">
        <v>30</v>
      </c>
      <c r="G1307">
        <v>1.3117331788089901</v>
      </c>
      <c r="H1307">
        <v>0.33955418394888898</v>
      </c>
      <c r="I1307">
        <v>3.8631041548480298</v>
      </c>
      <c r="J1307">
        <v>1.11955244566524E-4</v>
      </c>
      <c r="K1307">
        <v>1.15145367126753E-3</v>
      </c>
      <c r="L1307" t="s">
        <v>26</v>
      </c>
      <c r="M1307" t="s">
        <v>27</v>
      </c>
      <c r="N1307">
        <v>26.7268829911362</v>
      </c>
      <c r="O1307">
        <v>11.4788927568316</v>
      </c>
      <c r="P1307">
        <v>38.1628756668647</v>
      </c>
      <c r="Q1307">
        <v>17.260568926177498</v>
      </c>
      <c r="R1307">
        <v>6.8265884905801997</v>
      </c>
      <c r="S1307">
        <v>10.349520853736999</v>
      </c>
      <c r="T1307">
        <v>41.246592440231403</v>
      </c>
      <c r="U1307">
        <v>36.401364680054101</v>
      </c>
      <c r="V1307">
        <v>21.3339550926427</v>
      </c>
      <c r="W1307">
        <v>53.669590454530798</v>
      </c>
    </row>
    <row r="1308" spans="1:23" x14ac:dyDescent="0.2">
      <c r="A1308" t="s">
        <v>2625</v>
      </c>
      <c r="B1308" s="3" t="str">
        <f>HYPERLINK("http://www.ncbi.nlm.nih.gov/gene/22201","Uba1")</f>
        <v>Uba1</v>
      </c>
      <c r="C1308">
        <v>22201</v>
      </c>
      <c r="D1308" t="s">
        <v>2626</v>
      </c>
      <c r="E1308" s="3" t="str">
        <f>HYPERLINK("http://genome.ucsc.edu/cgi-bin/hgTracks?db=mm10&amp;lastVirtModeType=default&amp;lastVirtModeExtraState=&amp;virtModeType=default&amp;virtMode=0&amp;nonVirtPosition=&amp;position=chrX:20658301-20683179","chrX:20658301-20683179")</f>
        <v>chrX:20658301-20683179</v>
      </c>
      <c r="F1308" t="s">
        <v>30</v>
      </c>
      <c r="G1308">
        <v>-0.46586680344129899</v>
      </c>
      <c r="H1308">
        <v>0.120628940746614</v>
      </c>
      <c r="I1308">
        <v>-3.8619820464134702</v>
      </c>
      <c r="J1308">
        <v>1.12470833485788E-4</v>
      </c>
      <c r="K1308">
        <v>1.1558687115949199E-3</v>
      </c>
      <c r="L1308" t="s">
        <v>26</v>
      </c>
      <c r="M1308" t="s">
        <v>27</v>
      </c>
      <c r="N1308">
        <v>2201.3029509309299</v>
      </c>
      <c r="O1308">
        <v>2628.51365964756</v>
      </c>
      <c r="P1308">
        <v>1880.89491939346</v>
      </c>
      <c r="Q1308">
        <v>2488.30588809958</v>
      </c>
      <c r="R1308">
        <v>2712.0519053410599</v>
      </c>
      <c r="S1308">
        <v>2685.18318550205</v>
      </c>
      <c r="T1308">
        <v>1590.2852863067001</v>
      </c>
      <c r="U1308">
        <v>2100.5728677137099</v>
      </c>
      <c r="V1308">
        <v>2003.18481783676</v>
      </c>
      <c r="W1308">
        <v>1829.53670571667</v>
      </c>
    </row>
    <row r="1309" spans="1:23" x14ac:dyDescent="0.2">
      <c r="A1309" t="s">
        <v>2627</v>
      </c>
      <c r="B1309" s="3" t="str">
        <f>HYPERLINK("http://www.ncbi.nlm.nih.gov/gene/74481","Batf2")</f>
        <v>Batf2</v>
      </c>
      <c r="C1309">
        <v>74481</v>
      </c>
      <c r="D1309" t="s">
        <v>2628</v>
      </c>
      <c r="E1309" s="3" t="str">
        <f>HYPERLINK("http://genome.ucsc.edu/cgi-bin/hgTracks?db=mm10&amp;lastVirtModeType=default&amp;lastVirtModeExtraState=&amp;virtModeType=default&amp;virtMode=0&amp;nonVirtPosition=&amp;position=chr19:6164457-6172475","chr19:6164457-6172475")</f>
        <v>chr19:6164457-6172475</v>
      </c>
      <c r="F1309" t="s">
        <v>30</v>
      </c>
      <c r="G1309">
        <v>1.5200970899414199</v>
      </c>
      <c r="H1309">
        <v>0.39384956083877698</v>
      </c>
      <c r="I1309">
        <v>3.85958812980288</v>
      </c>
      <c r="J1309">
        <v>1.13578291456343E-4</v>
      </c>
      <c r="K1309">
        <v>1.1663549853465399E-3</v>
      </c>
      <c r="L1309" t="s">
        <v>26</v>
      </c>
      <c r="M1309" t="s">
        <v>27</v>
      </c>
      <c r="N1309">
        <v>11.389032135254</v>
      </c>
      <c r="O1309">
        <v>2.4356446758328198</v>
      </c>
      <c r="P1309">
        <v>18.104072729819901</v>
      </c>
      <c r="Q1309">
        <v>3.3407552760343502</v>
      </c>
      <c r="R1309">
        <v>1.8962745807167201</v>
      </c>
      <c r="S1309">
        <v>2.0699041707473902</v>
      </c>
      <c r="T1309">
        <v>41.246592440231403</v>
      </c>
      <c r="U1309">
        <v>8.5650269835421398</v>
      </c>
      <c r="V1309">
        <v>15.4487261015688</v>
      </c>
      <c r="W1309">
        <v>7.15594539393744</v>
      </c>
    </row>
    <row r="1310" spans="1:23" x14ac:dyDescent="0.2">
      <c r="A1310" t="s">
        <v>2629</v>
      </c>
      <c r="B1310" s="3" t="str">
        <f>HYPERLINK("http://www.ncbi.nlm.nih.gov/gene/75415","Arhgap12")</f>
        <v>Arhgap12</v>
      </c>
      <c r="C1310">
        <v>75415</v>
      </c>
      <c r="D1310" t="s">
        <v>2630</v>
      </c>
      <c r="E1310" s="3" t="str">
        <f>HYPERLINK("http://genome.ucsc.edu/cgi-bin/hgTracks?db=mm10&amp;lastVirtModeType=default&amp;lastVirtModeExtraState=&amp;virtModeType=default&amp;virtMode=0&amp;nonVirtPosition=&amp;position=chr18:6024449-6136098","chr18:6024449-6136098")</f>
        <v>chr18:6024449-6136098</v>
      </c>
      <c r="F1310" t="s">
        <v>25</v>
      </c>
      <c r="G1310">
        <v>-0.61345860356580295</v>
      </c>
      <c r="H1310">
        <v>0.15895257996030401</v>
      </c>
      <c r="I1310">
        <v>-3.8593812300436099</v>
      </c>
      <c r="J1310">
        <v>1.136744874177E-4</v>
      </c>
      <c r="K1310">
        <v>1.1664483226133499E-3</v>
      </c>
      <c r="L1310" t="s">
        <v>26</v>
      </c>
      <c r="M1310" t="s">
        <v>27</v>
      </c>
      <c r="N1310">
        <v>383.82577860683801</v>
      </c>
      <c r="O1310">
        <v>481.023519025197</v>
      </c>
      <c r="P1310">
        <v>310.927473293069</v>
      </c>
      <c r="Q1310">
        <v>551.78141309167302</v>
      </c>
      <c r="R1310">
        <v>479.378214005188</v>
      </c>
      <c r="S1310">
        <v>411.91092997873102</v>
      </c>
      <c r="T1310">
        <v>366.63637724650101</v>
      </c>
      <c r="U1310">
        <v>233.39698530152299</v>
      </c>
      <c r="V1310">
        <v>319.27367276575598</v>
      </c>
      <c r="W1310">
        <v>324.40285785849699</v>
      </c>
    </row>
    <row r="1311" spans="1:23" x14ac:dyDescent="0.2">
      <c r="A1311" t="s">
        <v>2631</v>
      </c>
      <c r="B1311" s="3" t="str">
        <f>HYPERLINK("http://www.ncbi.nlm.nih.gov/gene/19088","Prkar2b")</f>
        <v>Prkar2b</v>
      </c>
      <c r="C1311">
        <v>19088</v>
      </c>
      <c r="D1311" t="s">
        <v>2632</v>
      </c>
      <c r="E1311" s="3" t="str">
        <f>HYPERLINK("http://genome.ucsc.edu/cgi-bin/hgTracks?db=mm10&amp;lastVirtModeType=default&amp;lastVirtModeExtraState=&amp;virtModeType=default&amp;virtMode=0&amp;nonVirtPosition=&amp;position=chr12:31958478-32061279","chr12:31958478-32061279")</f>
        <v>chr12:31958478-32061279</v>
      </c>
      <c r="F1311" t="s">
        <v>25</v>
      </c>
      <c r="G1311">
        <v>-0.59867766938762002</v>
      </c>
      <c r="H1311">
        <v>0.15514089865584499</v>
      </c>
      <c r="I1311">
        <v>-3.8589287194712401</v>
      </c>
      <c r="J1311">
        <v>1.13885145554017E-4</v>
      </c>
      <c r="K1311">
        <v>1.1677151486323401E-3</v>
      </c>
      <c r="L1311" t="s">
        <v>26</v>
      </c>
      <c r="M1311" t="s">
        <v>27</v>
      </c>
      <c r="N1311">
        <v>214.72543988070299</v>
      </c>
      <c r="O1311">
        <v>270.39423214833801</v>
      </c>
      <c r="P1311">
        <v>172.97384567997599</v>
      </c>
      <c r="Q1311">
        <v>301.224767389097</v>
      </c>
      <c r="R1311">
        <v>283.30342235907801</v>
      </c>
      <c r="S1311">
        <v>226.65450669683901</v>
      </c>
      <c r="T1311">
        <v>151.237505614182</v>
      </c>
      <c r="U1311">
        <v>175.58305316261399</v>
      </c>
      <c r="V1311">
        <v>170.671640741141</v>
      </c>
      <c r="W1311">
        <v>194.40318320196701</v>
      </c>
    </row>
    <row r="1312" spans="1:23" x14ac:dyDescent="0.2">
      <c r="A1312" t="s">
        <v>2633</v>
      </c>
      <c r="B1312" s="3" t="str">
        <f>HYPERLINK("http://www.ncbi.nlm.nih.gov/gene/547253","Parp14")</f>
        <v>Parp14</v>
      </c>
      <c r="C1312">
        <v>547253</v>
      </c>
      <c r="D1312" t="s">
        <v>2634</v>
      </c>
      <c r="E1312" s="3" t="str">
        <f>HYPERLINK("http://genome.ucsc.edu/cgi-bin/hgTracks?db=mm10&amp;lastVirtModeType=default&amp;lastVirtModeExtraState=&amp;virtModeType=default&amp;virtMode=0&amp;nonVirtPosition=&amp;position=chr16:35832877-35871382","chr16:35832877-35871382")</f>
        <v>chr16:35832877-35871382</v>
      </c>
      <c r="F1312" t="s">
        <v>25</v>
      </c>
      <c r="G1312">
        <v>1.0249050076039901</v>
      </c>
      <c r="H1312">
        <v>0.26569081892531798</v>
      </c>
      <c r="I1312">
        <v>3.8575100628226102</v>
      </c>
      <c r="J1312">
        <v>1.1454796480920401E-4</v>
      </c>
      <c r="K1312">
        <v>1.1736126983627E-3</v>
      </c>
      <c r="L1312" t="s">
        <v>26</v>
      </c>
      <c r="M1312" t="s">
        <v>27</v>
      </c>
      <c r="N1312">
        <v>269.43160871985202</v>
      </c>
      <c r="O1312">
        <v>156.03453082427001</v>
      </c>
      <c r="P1312">
        <v>354.47941714153899</v>
      </c>
      <c r="Q1312">
        <v>213.25154512019299</v>
      </c>
      <c r="R1312">
        <v>94.434474119692794</v>
      </c>
      <c r="S1312">
        <v>160.41757323292299</v>
      </c>
      <c r="T1312">
        <v>490.37615456719499</v>
      </c>
      <c r="U1312">
        <v>207.701904350897</v>
      </c>
      <c r="V1312">
        <v>286.90491331484998</v>
      </c>
      <c r="W1312">
        <v>432.93469633321502</v>
      </c>
    </row>
    <row r="1313" spans="1:23" x14ac:dyDescent="0.2">
      <c r="A1313" t="s">
        <v>2635</v>
      </c>
      <c r="B1313" s="3" t="str">
        <f>HYPERLINK("http://www.ncbi.nlm.nih.gov/gene/67044","Higd2a")</f>
        <v>Higd2a</v>
      </c>
      <c r="C1313">
        <v>67044</v>
      </c>
      <c r="D1313" t="s">
        <v>2636</v>
      </c>
      <c r="E1313" s="3" t="str">
        <f>HYPERLINK("http://genome.ucsc.edu/cgi-bin/hgTracks?db=mm10&amp;lastVirtModeType=default&amp;lastVirtModeExtraState=&amp;virtModeType=default&amp;virtMode=0&amp;nonVirtPosition=&amp;position=chr13:54590230-54591147","chr13:54590230-54591147")</f>
        <v>chr13:54590230-54591147</v>
      </c>
      <c r="F1313" t="s">
        <v>30</v>
      </c>
      <c r="G1313">
        <v>-0.64145071157584799</v>
      </c>
      <c r="H1313">
        <v>0.166295157974093</v>
      </c>
      <c r="I1313">
        <v>-3.8573023976788301</v>
      </c>
      <c r="J1313">
        <v>1.14645294047016E-4</v>
      </c>
      <c r="K1313">
        <v>1.17371187506391E-3</v>
      </c>
      <c r="L1313" t="s">
        <v>26</v>
      </c>
      <c r="M1313" t="s">
        <v>27</v>
      </c>
      <c r="N1313">
        <v>131.459074414029</v>
      </c>
      <c r="O1313">
        <v>169.77126588468099</v>
      </c>
      <c r="P1313">
        <v>102.72493081104</v>
      </c>
      <c r="Q1313">
        <v>173.71927435378601</v>
      </c>
      <c r="R1313">
        <v>182.421614664949</v>
      </c>
      <c r="S1313">
        <v>153.17290863530701</v>
      </c>
      <c r="T1313">
        <v>77.910230164881497</v>
      </c>
      <c r="U1313">
        <v>111.345350786048</v>
      </c>
      <c r="V1313">
        <v>115.497618949824</v>
      </c>
      <c r="W1313">
        <v>106.14652334340499</v>
      </c>
    </row>
    <row r="1314" spans="1:23" x14ac:dyDescent="0.2">
      <c r="A1314" t="s">
        <v>2637</v>
      </c>
      <c r="B1314" s="3" t="str">
        <f>HYPERLINK("http://www.ncbi.nlm.nih.gov/gene/93723","Pcdhga11")</f>
        <v>Pcdhga11</v>
      </c>
      <c r="C1314">
        <v>93723</v>
      </c>
      <c r="D1314" t="s">
        <v>2638</v>
      </c>
      <c r="E1314" s="3" t="str">
        <f>HYPERLINK("http://genome.ucsc.edu/cgi-bin/hgTracks?db=mm10&amp;lastVirtModeType=default&amp;lastVirtModeExtraState=&amp;virtModeType=default&amp;virtMode=0&amp;nonVirtPosition=&amp;position=chr18:37755772-37841872","chr18:37755772-37841872")</f>
        <v>chr18:37755772-37841872</v>
      </c>
      <c r="F1314" t="s">
        <v>30</v>
      </c>
      <c r="G1314">
        <v>0.82012939660100403</v>
      </c>
      <c r="H1314">
        <v>0.21265791968787101</v>
      </c>
      <c r="I1314">
        <v>3.8565664415637499</v>
      </c>
      <c r="J1314">
        <v>1.14990852969584E-4</v>
      </c>
      <c r="K1314">
        <v>1.17635027663537E-3</v>
      </c>
      <c r="L1314" t="s">
        <v>26</v>
      </c>
      <c r="M1314" t="s">
        <v>27</v>
      </c>
      <c r="N1314">
        <v>189.899470292063</v>
      </c>
      <c r="O1314">
        <v>128.861053489922</v>
      </c>
      <c r="P1314">
        <v>235.67828289366801</v>
      </c>
      <c r="Q1314">
        <v>114.142471931174</v>
      </c>
      <c r="R1314">
        <v>161.183339360921</v>
      </c>
      <c r="S1314">
        <v>111.257349177672</v>
      </c>
      <c r="T1314">
        <v>151.237505614182</v>
      </c>
      <c r="U1314">
        <v>325.47102537460103</v>
      </c>
      <c r="V1314">
        <v>215.546511798079</v>
      </c>
      <c r="W1314">
        <v>250.45808878781</v>
      </c>
    </row>
    <row r="1315" spans="1:23" x14ac:dyDescent="0.2">
      <c r="A1315" t="s">
        <v>2639</v>
      </c>
      <c r="B1315" s="3" t="str">
        <f>HYPERLINK("http://www.ncbi.nlm.nih.gov/gene/68272","Rbm28")</f>
        <v>Rbm28</v>
      </c>
      <c r="C1315">
        <v>68272</v>
      </c>
      <c r="D1315" t="s">
        <v>2640</v>
      </c>
      <c r="E1315" s="3" t="str">
        <f>HYPERLINK("http://genome.ucsc.edu/cgi-bin/hgTracks?db=mm10&amp;lastVirtModeType=default&amp;lastVirtModeExtraState=&amp;virtModeType=default&amp;virtMode=0&amp;nonVirtPosition=&amp;position=chr6:29123572-29164724","chr6:29123572-29164724")</f>
        <v>chr6:29123572-29164724</v>
      </c>
      <c r="F1315" t="s">
        <v>25</v>
      </c>
      <c r="G1315">
        <v>0.44344133341747999</v>
      </c>
      <c r="H1315">
        <v>0.115117807308992</v>
      </c>
      <c r="I1315">
        <v>3.8520654951950601</v>
      </c>
      <c r="J1315">
        <v>1.1712568401683899E-4</v>
      </c>
      <c r="K1315">
        <v>1.1972748356255699E-3</v>
      </c>
      <c r="L1315" t="s">
        <v>26</v>
      </c>
      <c r="M1315" t="s">
        <v>27</v>
      </c>
      <c r="N1315">
        <v>327.450982066785</v>
      </c>
      <c r="O1315">
        <v>268.87413546780101</v>
      </c>
      <c r="P1315">
        <v>371.383617016024</v>
      </c>
      <c r="Q1315">
        <v>267.81721462875402</v>
      </c>
      <c r="R1315">
        <v>272.30502979092103</v>
      </c>
      <c r="S1315">
        <v>266.50016198372703</v>
      </c>
      <c r="T1315">
        <v>375.80228667766397</v>
      </c>
      <c r="U1315">
        <v>400.41501148059501</v>
      </c>
      <c r="V1315">
        <v>338.40066698674599</v>
      </c>
      <c r="W1315">
        <v>370.91650291909099</v>
      </c>
    </row>
    <row r="1316" spans="1:23" x14ac:dyDescent="0.2">
      <c r="A1316" t="s">
        <v>2641</v>
      </c>
      <c r="B1316" s="3" t="str">
        <f>HYPERLINK("http://www.ncbi.nlm.nih.gov/gene/102747","Lrrc49")</f>
        <v>Lrrc49</v>
      </c>
      <c r="C1316">
        <v>102747</v>
      </c>
      <c r="D1316" t="s">
        <v>2642</v>
      </c>
      <c r="E1316" s="3" t="str">
        <f>HYPERLINK("http://genome.ucsc.edu/cgi-bin/hgTracks?db=mm10&amp;lastVirtModeType=default&amp;lastVirtModeExtraState=&amp;virtModeType=default&amp;virtMode=0&amp;nonVirtPosition=&amp;position=chr9:60587223-60687534","chr9:60587223-60687534")</f>
        <v>chr9:60587223-60687534</v>
      </c>
      <c r="F1316" t="s">
        <v>25</v>
      </c>
      <c r="G1316">
        <v>-0.54911620400208505</v>
      </c>
      <c r="H1316">
        <v>0.14260068426713299</v>
      </c>
      <c r="I1316">
        <v>-3.8507262908600599</v>
      </c>
      <c r="J1316">
        <v>1.17768058046257E-4</v>
      </c>
      <c r="K1316">
        <v>1.20292300938019E-3</v>
      </c>
      <c r="L1316" t="s">
        <v>26</v>
      </c>
      <c r="M1316" t="s">
        <v>27</v>
      </c>
      <c r="N1316">
        <v>324.40889856994301</v>
      </c>
      <c r="O1316">
        <v>404.25486228853799</v>
      </c>
      <c r="P1316">
        <v>264.52442578099698</v>
      </c>
      <c r="Q1316">
        <v>408.68572876820201</v>
      </c>
      <c r="R1316">
        <v>419.07668233839598</v>
      </c>
      <c r="S1316">
        <v>385.00217575901502</v>
      </c>
      <c r="T1316">
        <v>210.81591691673799</v>
      </c>
      <c r="U1316">
        <v>237.67949879329399</v>
      </c>
      <c r="V1316">
        <v>303.08929304030301</v>
      </c>
      <c r="W1316">
        <v>306.51299437365401</v>
      </c>
    </row>
    <row r="1317" spans="1:23" x14ac:dyDescent="0.2">
      <c r="A1317" t="s">
        <v>2643</v>
      </c>
      <c r="B1317" s="3" t="str">
        <f>HYPERLINK("http://www.ncbi.nlm.nih.gov/gene/244058","Rgma")</f>
        <v>Rgma</v>
      </c>
      <c r="C1317">
        <v>244058</v>
      </c>
      <c r="D1317" t="s">
        <v>2644</v>
      </c>
      <c r="E1317" s="3" t="str">
        <f>HYPERLINK("http://genome.ucsc.edu/cgi-bin/hgTracks?db=mm10&amp;lastVirtModeType=default&amp;lastVirtModeExtraState=&amp;virtModeType=default&amp;virtMode=0&amp;nonVirtPosition=&amp;position=chr7:73375519-73419899","chr7:73375519-73419899")</f>
        <v>chr7:73375519-73419899</v>
      </c>
      <c r="F1317" t="s">
        <v>30</v>
      </c>
      <c r="G1317">
        <v>0.84889175898897296</v>
      </c>
      <c r="H1317">
        <v>0.22051343137822599</v>
      </c>
      <c r="I1317">
        <v>3.8496147544543402</v>
      </c>
      <c r="J1317">
        <v>1.18303748561711E-4</v>
      </c>
      <c r="K1317">
        <v>1.2074737019739899E-3</v>
      </c>
      <c r="L1317" t="s">
        <v>26</v>
      </c>
      <c r="M1317" t="s">
        <v>27</v>
      </c>
      <c r="N1317">
        <v>230.32437640866701</v>
      </c>
      <c r="O1317">
        <v>150.72122951495899</v>
      </c>
      <c r="P1317">
        <v>290.02673657894798</v>
      </c>
      <c r="Q1317">
        <v>205.45644947611299</v>
      </c>
      <c r="R1317">
        <v>99.744042945699604</v>
      </c>
      <c r="S1317">
        <v>146.96319612306499</v>
      </c>
      <c r="T1317">
        <v>375.80228667766397</v>
      </c>
      <c r="U1317">
        <v>256.95080950626402</v>
      </c>
      <c r="V1317">
        <v>243.50134950568</v>
      </c>
      <c r="W1317">
        <v>283.85250062618502</v>
      </c>
    </row>
    <row r="1318" spans="1:23" x14ac:dyDescent="0.2">
      <c r="A1318" t="s">
        <v>2645</v>
      </c>
      <c r="B1318" s="3" t="str">
        <f>HYPERLINK("http://www.ncbi.nlm.nih.gov/gene/66648","Tpgs2")</f>
        <v>Tpgs2</v>
      </c>
      <c r="C1318">
        <v>66648</v>
      </c>
      <c r="D1318" t="s">
        <v>2646</v>
      </c>
      <c r="E1318" s="3" t="str">
        <f>HYPERLINK("http://genome.ucsc.edu/cgi-bin/hgTracks?db=mm10&amp;lastVirtModeType=default&amp;lastVirtModeExtraState=&amp;virtModeType=default&amp;virtMode=0&amp;nonVirtPosition=&amp;position=chr18:25136038-25168877","chr18:25136038-25168877")</f>
        <v>chr18:25136038-25168877</v>
      </c>
      <c r="F1318" t="s">
        <v>25</v>
      </c>
      <c r="G1318">
        <v>-0.69502367030927803</v>
      </c>
      <c r="H1318">
        <v>0.18056409005277901</v>
      </c>
      <c r="I1318">
        <v>-3.8491799233508899</v>
      </c>
      <c r="J1318">
        <v>1.18513934337567E-4</v>
      </c>
      <c r="K1318">
        <v>1.2086977111305101E-3</v>
      </c>
      <c r="L1318" t="s">
        <v>26</v>
      </c>
      <c r="M1318" t="s">
        <v>27</v>
      </c>
      <c r="N1318">
        <v>131.915324336151</v>
      </c>
      <c r="O1318">
        <v>173.280615587498</v>
      </c>
      <c r="P1318">
        <v>100.89135589764</v>
      </c>
      <c r="Q1318">
        <v>175.38965199180299</v>
      </c>
      <c r="R1318">
        <v>196.45404656225301</v>
      </c>
      <c r="S1318">
        <v>147.99814820843801</v>
      </c>
      <c r="T1318">
        <v>77.910230164881497</v>
      </c>
      <c r="U1318">
        <v>111.345350786048</v>
      </c>
      <c r="V1318">
        <v>117.704579821477</v>
      </c>
      <c r="W1318">
        <v>96.605262818155396</v>
      </c>
    </row>
    <row r="1319" spans="1:23" x14ac:dyDescent="0.2">
      <c r="A1319" t="s">
        <v>2647</v>
      </c>
      <c r="B1319" s="3" t="str">
        <f>HYPERLINK("http://www.ncbi.nlm.nih.gov/gene/94332","Cadm3")</f>
        <v>Cadm3</v>
      </c>
      <c r="C1319">
        <v>94332</v>
      </c>
      <c r="D1319" t="s">
        <v>2648</v>
      </c>
      <c r="E1319" s="3" t="str">
        <f>HYPERLINK("http://genome.ucsc.edu/cgi-bin/hgTracks?db=mm10&amp;lastVirtModeType=default&amp;lastVirtModeExtraState=&amp;virtModeType=default&amp;virtMode=0&amp;nonVirtPosition=&amp;position=chr1:173334253-173367695","chr1:173334253-173367695")</f>
        <v>chr1:173334253-173367695</v>
      </c>
      <c r="F1319" t="s">
        <v>25</v>
      </c>
      <c r="G1319">
        <v>-0.98261604038700201</v>
      </c>
      <c r="H1319">
        <v>0.25542565320306498</v>
      </c>
      <c r="I1319">
        <v>-3.8469747578792202</v>
      </c>
      <c r="J1319">
        <v>1.19585284475517E-4</v>
      </c>
      <c r="K1319">
        <v>1.21869600031328E-3</v>
      </c>
      <c r="L1319" t="s">
        <v>26</v>
      </c>
      <c r="M1319" t="s">
        <v>27</v>
      </c>
      <c r="N1319">
        <v>285.492391415501</v>
      </c>
      <c r="O1319">
        <v>414.45369272091602</v>
      </c>
      <c r="P1319">
        <v>188.77141543643901</v>
      </c>
      <c r="Q1319">
        <v>503.34046158917499</v>
      </c>
      <c r="R1319">
        <v>525.26805885853196</v>
      </c>
      <c r="S1319">
        <v>214.752557715042</v>
      </c>
      <c r="T1319">
        <v>123.739777320694</v>
      </c>
      <c r="U1319">
        <v>199.136877367355</v>
      </c>
      <c r="V1319">
        <v>200.833439320395</v>
      </c>
      <c r="W1319">
        <v>231.375567737311</v>
      </c>
    </row>
    <row r="1320" spans="1:23" x14ac:dyDescent="0.2">
      <c r="A1320" t="s">
        <v>2649</v>
      </c>
      <c r="B1320" s="3" t="str">
        <f>HYPERLINK("http://www.ncbi.nlm.nih.gov/gene/233168","AI987944")</f>
        <v>AI987944</v>
      </c>
      <c r="C1320">
        <v>233168</v>
      </c>
      <c r="D1320" t="s">
        <v>2650</v>
      </c>
      <c r="E1320" s="3" t="str">
        <f>HYPERLINK("http://genome.ucsc.edu/cgi-bin/hgTracks?db=mm10&amp;lastVirtModeType=default&amp;lastVirtModeExtraState=&amp;virtModeType=default&amp;virtMode=0&amp;nonVirtPosition=&amp;position=chr7:41372929-41393260","chr7:41372929-41393260")</f>
        <v>chr7:41372929-41393260</v>
      </c>
      <c r="F1320" t="s">
        <v>25</v>
      </c>
      <c r="G1320">
        <v>-0.91854456126867701</v>
      </c>
      <c r="H1320">
        <v>0.238784125097876</v>
      </c>
      <c r="I1320">
        <v>-3.8467572368647698</v>
      </c>
      <c r="J1320">
        <v>1.1969145753683201E-4</v>
      </c>
      <c r="K1320">
        <v>1.2188504242400899E-3</v>
      </c>
      <c r="L1320" t="s">
        <v>26</v>
      </c>
      <c r="M1320" t="s">
        <v>27</v>
      </c>
      <c r="N1320">
        <v>64.882240559192198</v>
      </c>
      <c r="O1320">
        <v>88.120848292525807</v>
      </c>
      <c r="P1320">
        <v>47.453284759192002</v>
      </c>
      <c r="Q1320">
        <v>97.995488097007595</v>
      </c>
      <c r="R1320">
        <v>88.745650377542603</v>
      </c>
      <c r="S1320">
        <v>77.621406403027194</v>
      </c>
      <c r="T1320">
        <v>77.910230164881497</v>
      </c>
      <c r="U1320">
        <v>29.9775944423975</v>
      </c>
      <c r="V1320">
        <v>38.989642065864203</v>
      </c>
      <c r="W1320">
        <v>42.935672363624597</v>
      </c>
    </row>
    <row r="1321" spans="1:23" x14ac:dyDescent="0.2">
      <c r="A1321" t="s">
        <v>2651</v>
      </c>
      <c r="B1321" s="3" t="str">
        <f>HYPERLINK("http://www.ncbi.nlm.nih.gov/gene/11364","Acadm")</f>
        <v>Acadm</v>
      </c>
      <c r="C1321">
        <v>11364</v>
      </c>
      <c r="D1321" t="s">
        <v>2652</v>
      </c>
      <c r="E1321" s="3" t="str">
        <f>HYPERLINK("http://genome.ucsc.edu/cgi-bin/hgTracks?db=mm10&amp;lastVirtModeType=default&amp;lastVirtModeExtraState=&amp;virtModeType=default&amp;virtMode=0&amp;nonVirtPosition=&amp;position=chr3:153922352-153944643","chr3:153922352-153944643")</f>
        <v>chr3:153922352-153944643</v>
      </c>
      <c r="F1321" t="s">
        <v>25</v>
      </c>
      <c r="G1321">
        <v>-0.64918478821704895</v>
      </c>
      <c r="H1321">
        <v>0.16881942616755599</v>
      </c>
      <c r="I1321">
        <v>-3.8454388985585299</v>
      </c>
      <c r="J1321">
        <v>1.20336849040806E-4</v>
      </c>
      <c r="K1321">
        <v>1.2244914479524599E-3</v>
      </c>
      <c r="L1321" t="s">
        <v>26</v>
      </c>
      <c r="M1321" t="s">
        <v>27</v>
      </c>
      <c r="N1321">
        <v>135.675839122968</v>
      </c>
      <c r="O1321">
        <v>172.999945538681</v>
      </c>
      <c r="P1321">
        <v>107.682759311184</v>
      </c>
      <c r="Q1321">
        <v>165.92417870970601</v>
      </c>
      <c r="R1321">
        <v>198.35032114296899</v>
      </c>
      <c r="S1321">
        <v>154.72533676336701</v>
      </c>
      <c r="T1321">
        <v>96.242049027206505</v>
      </c>
      <c r="U1321">
        <v>122.051634515476</v>
      </c>
      <c r="V1321">
        <v>101.520200096024</v>
      </c>
      <c r="W1321">
        <v>110.91715360603</v>
      </c>
    </row>
    <row r="1322" spans="1:23" x14ac:dyDescent="0.2">
      <c r="A1322" t="s">
        <v>2653</v>
      </c>
      <c r="B1322" s="3" t="str">
        <f>HYPERLINK("http://www.ncbi.nlm.nih.gov/gene/16155","Il10rb")</f>
        <v>Il10rb</v>
      </c>
      <c r="C1322">
        <v>16155</v>
      </c>
      <c r="D1322" t="s">
        <v>2654</v>
      </c>
      <c r="E1322" s="3" t="str">
        <f>HYPERLINK("http://genome.ucsc.edu/cgi-bin/hgTracks?db=mm10&amp;lastVirtModeType=default&amp;lastVirtModeExtraState=&amp;virtModeType=default&amp;virtMode=0&amp;nonVirtPosition=&amp;position=chr16:91406234-91425834","chr16:91406234-91425834")</f>
        <v>chr16:91406234-91425834</v>
      </c>
      <c r="F1322" t="s">
        <v>30</v>
      </c>
      <c r="G1322">
        <v>-0.75765767862486899</v>
      </c>
      <c r="H1322">
        <v>0.19704661540785001</v>
      </c>
      <c r="I1322">
        <v>-3.8450682192975401</v>
      </c>
      <c r="J1322">
        <v>1.2051890492611799E-4</v>
      </c>
      <c r="K1322">
        <v>1.2254127986831001E-3</v>
      </c>
      <c r="L1322" t="s">
        <v>26</v>
      </c>
      <c r="M1322" t="s">
        <v>27</v>
      </c>
      <c r="N1322">
        <v>92.027505219546399</v>
      </c>
      <c r="O1322">
        <v>122.985549701953</v>
      </c>
      <c r="P1322">
        <v>68.808971857741795</v>
      </c>
      <c r="Q1322">
        <v>139.19813650143101</v>
      </c>
      <c r="R1322">
        <v>116.431259256007</v>
      </c>
      <c r="S1322">
        <v>113.32725334842</v>
      </c>
      <c r="T1322">
        <v>73.327275449300203</v>
      </c>
      <c r="U1322">
        <v>49.248905155367297</v>
      </c>
      <c r="V1322">
        <v>78.714937755612596</v>
      </c>
      <c r="W1322">
        <v>73.944769070686903</v>
      </c>
    </row>
    <row r="1323" spans="1:23" x14ac:dyDescent="0.2">
      <c r="A1323" t="s">
        <v>2655</v>
      </c>
      <c r="B1323" s="3" t="str">
        <f>HYPERLINK("http://www.ncbi.nlm.nih.gov/gene/13728","Mark2")</f>
        <v>Mark2</v>
      </c>
      <c r="C1323">
        <v>13728</v>
      </c>
      <c r="D1323" t="s">
        <v>2656</v>
      </c>
      <c r="E1323" s="3" t="str">
        <f>HYPERLINK("http://genome.ucsc.edu/cgi-bin/hgTracks?db=mm10&amp;lastVirtModeType=default&amp;lastVirtModeExtraState=&amp;virtModeType=default&amp;virtMode=0&amp;nonVirtPosition=&amp;position=chr19:7275395-7341860","chr19:7275395-7341860")</f>
        <v>chr19:7275395-7341860</v>
      </c>
      <c r="F1323" t="s">
        <v>25</v>
      </c>
      <c r="G1323">
        <v>0.58337102258762497</v>
      </c>
      <c r="H1323">
        <v>0.15182990002963401</v>
      </c>
      <c r="I1323">
        <v>3.8422670532863701</v>
      </c>
      <c r="J1323">
        <v>1.21903093005452E-4</v>
      </c>
      <c r="K1323">
        <v>1.2385465238513001E-3</v>
      </c>
      <c r="L1323" t="s">
        <v>26</v>
      </c>
      <c r="M1323" t="s">
        <v>27</v>
      </c>
      <c r="N1323">
        <v>350.83573660402197</v>
      </c>
      <c r="O1323">
        <v>268.33671306758202</v>
      </c>
      <c r="P1323">
        <v>412.71000425635202</v>
      </c>
      <c r="Q1323">
        <v>246.10230533453</v>
      </c>
      <c r="R1323">
        <v>231.34549884744001</v>
      </c>
      <c r="S1323">
        <v>327.56233502077498</v>
      </c>
      <c r="T1323">
        <v>472.04433570486998</v>
      </c>
      <c r="U1323">
        <v>402.556268226481</v>
      </c>
      <c r="V1323">
        <v>395.78164964971597</v>
      </c>
      <c r="W1323">
        <v>380.45776344434103</v>
      </c>
    </row>
    <row r="1324" spans="1:23" x14ac:dyDescent="0.2">
      <c r="A1324" t="s">
        <v>2657</v>
      </c>
      <c r="B1324" s="3" t="str">
        <f>HYPERLINK("http://www.ncbi.nlm.nih.gov/gene/104418","Dgkz")</f>
        <v>Dgkz</v>
      </c>
      <c r="C1324">
        <v>104418</v>
      </c>
      <c r="D1324" t="s">
        <v>2658</v>
      </c>
      <c r="E1324" s="3" t="str">
        <f>HYPERLINK("http://genome.ucsc.edu/cgi-bin/hgTracks?db=mm10&amp;lastVirtModeType=default&amp;lastVirtModeExtraState=&amp;virtModeType=default&amp;virtMode=0&amp;nonVirtPosition=&amp;position=chr2:91932821-91963563","chr2:91932821-91963563")</f>
        <v>chr2:91932821-91963563</v>
      </c>
      <c r="F1324" t="s">
        <v>25</v>
      </c>
      <c r="G1324">
        <v>-0.54111530236764305</v>
      </c>
      <c r="H1324">
        <v>0.14087758076769299</v>
      </c>
      <c r="I1324">
        <v>-3.8410320465393402</v>
      </c>
      <c r="J1324">
        <v>1.22518116752873E-4</v>
      </c>
      <c r="K1324">
        <v>1.24385147948273E-3</v>
      </c>
      <c r="L1324" t="s">
        <v>26</v>
      </c>
      <c r="M1324" t="s">
        <v>27</v>
      </c>
      <c r="N1324">
        <v>542.800188597138</v>
      </c>
      <c r="O1324">
        <v>666.65099475030399</v>
      </c>
      <c r="P1324">
        <v>449.91208398226303</v>
      </c>
      <c r="Q1324">
        <v>570.15556710986198</v>
      </c>
      <c r="R1324">
        <v>786.57469608129702</v>
      </c>
      <c r="S1324">
        <v>643.22272105975196</v>
      </c>
      <c r="T1324">
        <v>407.882969686732</v>
      </c>
      <c r="U1324">
        <v>479.64151107836</v>
      </c>
      <c r="V1324">
        <v>480.38181639640197</v>
      </c>
      <c r="W1324">
        <v>431.742038767559</v>
      </c>
    </row>
    <row r="1325" spans="1:23" x14ac:dyDescent="0.2">
      <c r="A1325" t="s">
        <v>2659</v>
      </c>
      <c r="B1325" s="3" t="str">
        <f>HYPERLINK("http://www.ncbi.nlm.nih.gov/gene/12928","Crk")</f>
        <v>Crk</v>
      </c>
      <c r="C1325">
        <v>12928</v>
      </c>
      <c r="D1325" t="s">
        <v>2660</v>
      </c>
      <c r="E1325" s="3" t="str">
        <f>HYPERLINK("http://genome.ucsc.edu/cgi-bin/hgTracks?db=mm10&amp;lastVirtModeType=default&amp;lastVirtModeExtraState=&amp;virtModeType=default&amp;virtMode=0&amp;nonVirtPosition=&amp;position=chr11:75679258-75708428","chr11:75679258-75708428")</f>
        <v>chr11:75679258-75708428</v>
      </c>
      <c r="F1325" t="s">
        <v>30</v>
      </c>
      <c r="G1325">
        <v>-0.38740775554942702</v>
      </c>
      <c r="H1325">
        <v>0.10087251455924701</v>
      </c>
      <c r="I1325">
        <v>-3.84056804018585</v>
      </c>
      <c r="J1325">
        <v>1.2274994338295101E-4</v>
      </c>
      <c r="K1325">
        <v>1.2452609786675001E-3</v>
      </c>
      <c r="L1325" t="s">
        <v>26</v>
      </c>
      <c r="M1325" t="s">
        <v>27</v>
      </c>
      <c r="N1325">
        <v>856.72712267986003</v>
      </c>
      <c r="O1325">
        <v>989.39422691832397</v>
      </c>
      <c r="P1325">
        <v>757.226794501011</v>
      </c>
      <c r="Q1325">
        <v>965.47827477392696</v>
      </c>
      <c r="R1325">
        <v>972.40960499153596</v>
      </c>
      <c r="S1325">
        <v>1030.2948009895099</v>
      </c>
      <c r="T1325">
        <v>815.76593937346502</v>
      </c>
      <c r="U1325">
        <v>734.45106383873895</v>
      </c>
      <c r="V1325">
        <v>779.792841317284</v>
      </c>
      <c r="W1325">
        <v>698.89733347455604</v>
      </c>
    </row>
    <row r="1326" spans="1:23" x14ac:dyDescent="0.2">
      <c r="A1326" t="s">
        <v>2661</v>
      </c>
      <c r="B1326" s="3" t="str">
        <f>HYPERLINK("http://www.ncbi.nlm.nih.gov/gene/23934","Ly6h")</f>
        <v>Ly6h</v>
      </c>
      <c r="C1326">
        <v>23934</v>
      </c>
      <c r="D1326" t="s">
        <v>2662</v>
      </c>
      <c r="E1326" s="3" t="str">
        <f>HYPERLINK("http://genome.ucsc.edu/cgi-bin/hgTracks?db=mm10&amp;lastVirtModeType=default&amp;lastVirtModeExtraState=&amp;virtModeType=default&amp;virtMode=0&amp;nonVirtPosition=&amp;position=chr15:75564744-75567182","chr15:75564744-75567182")</f>
        <v>chr15:75564744-75567182</v>
      </c>
      <c r="F1326" t="s">
        <v>25</v>
      </c>
      <c r="G1326">
        <v>1.04833477977587</v>
      </c>
      <c r="H1326">
        <v>0.27299571019295599</v>
      </c>
      <c r="I1326">
        <v>3.84011448031506</v>
      </c>
      <c r="J1326">
        <v>1.22976950376773E-4</v>
      </c>
      <c r="K1326">
        <v>1.2466194871274499E-3</v>
      </c>
      <c r="L1326" t="s">
        <v>26</v>
      </c>
      <c r="M1326" t="s">
        <v>27</v>
      </c>
      <c r="N1326">
        <v>148.37054122356301</v>
      </c>
      <c r="O1326">
        <v>83.667852445776902</v>
      </c>
      <c r="P1326">
        <v>196.897557806902</v>
      </c>
      <c r="Q1326">
        <v>134.74379613338499</v>
      </c>
      <c r="R1326">
        <v>57.267492337645002</v>
      </c>
      <c r="S1326">
        <v>58.992268866300599</v>
      </c>
      <c r="T1326">
        <v>256.64546407255102</v>
      </c>
      <c r="U1326">
        <v>207.701904350897</v>
      </c>
      <c r="V1326">
        <v>132.41765229916101</v>
      </c>
      <c r="W1326">
        <v>190.82521050499801</v>
      </c>
    </row>
    <row r="1327" spans="1:23" x14ac:dyDescent="0.2">
      <c r="A1327" t="s">
        <v>2663</v>
      </c>
      <c r="B1327" s="3" t="str">
        <f>HYPERLINK("http://www.ncbi.nlm.nih.gov/gene/21912","Tspan7")</f>
        <v>Tspan7</v>
      </c>
      <c r="C1327">
        <v>21912</v>
      </c>
      <c r="D1327" t="s">
        <v>2664</v>
      </c>
      <c r="E1327" s="3" t="str">
        <f>HYPERLINK("http://genome.ucsc.edu/cgi-bin/hgTracks?db=mm10&amp;lastVirtModeType=default&amp;lastVirtModeExtraState=&amp;virtModeType=default&amp;virtMode=0&amp;nonVirtPosition=&amp;position=chrX:10485115-10596604","chrX:10485115-10596604")</f>
        <v>chrX:10485115-10596604</v>
      </c>
      <c r="F1327" t="s">
        <v>30</v>
      </c>
      <c r="G1327">
        <v>-0.57973995388263599</v>
      </c>
      <c r="H1327">
        <v>0.15098306797906799</v>
      </c>
      <c r="I1327">
        <v>-3.8397680060588502</v>
      </c>
      <c r="J1327">
        <v>1.2315062753073201E-4</v>
      </c>
      <c r="K1327">
        <v>1.2474357437700699E-3</v>
      </c>
      <c r="L1327" t="s">
        <v>26</v>
      </c>
      <c r="M1327" t="s">
        <v>27</v>
      </c>
      <c r="N1327">
        <v>721.29017621352205</v>
      </c>
      <c r="O1327">
        <v>893.76911418661996</v>
      </c>
      <c r="P1327">
        <v>591.93097273369995</v>
      </c>
      <c r="Q1327">
        <v>1042.31564612272</v>
      </c>
      <c r="R1327">
        <v>908.31552416330999</v>
      </c>
      <c r="S1327">
        <v>730.67617227382902</v>
      </c>
      <c r="T1327">
        <v>604.95002245672697</v>
      </c>
      <c r="U1327">
        <v>670.213361462173</v>
      </c>
      <c r="V1327">
        <v>510.543614975656</v>
      </c>
      <c r="W1327">
        <v>582.01689204024501</v>
      </c>
    </row>
    <row r="1328" spans="1:23" x14ac:dyDescent="0.2">
      <c r="A1328" t="s">
        <v>2665</v>
      </c>
      <c r="B1328" s="3" t="str">
        <f>HYPERLINK("http://www.ncbi.nlm.nih.gov/gene/55991","Panx1")</f>
        <v>Panx1</v>
      </c>
      <c r="C1328">
        <v>55991</v>
      </c>
      <c r="D1328" t="s">
        <v>2666</v>
      </c>
      <c r="E1328" s="3" t="str">
        <f>HYPERLINK("http://genome.ucsc.edu/cgi-bin/hgTracks?db=mm10&amp;lastVirtModeType=default&amp;lastVirtModeExtraState=&amp;virtModeType=default&amp;virtMode=0&amp;nonVirtPosition=&amp;position=chr9:15005784-15045478","chr9:15005784-15045478")</f>
        <v>chr9:15005784-15045478</v>
      </c>
      <c r="F1328" t="s">
        <v>25</v>
      </c>
      <c r="G1328">
        <v>-0.55744807868927204</v>
      </c>
      <c r="H1328">
        <v>0.14519999882995199</v>
      </c>
      <c r="I1328">
        <v>-3.8391741265929</v>
      </c>
      <c r="J1328">
        <v>1.2344885946097701E-4</v>
      </c>
      <c r="K1328">
        <v>1.24951147168703E-3</v>
      </c>
      <c r="L1328" t="s">
        <v>26</v>
      </c>
      <c r="M1328" t="s">
        <v>27</v>
      </c>
      <c r="N1328">
        <v>194.94255883346901</v>
      </c>
      <c r="O1328">
        <v>239.005993687233</v>
      </c>
      <c r="P1328">
        <v>161.89498269314601</v>
      </c>
      <c r="Q1328">
        <v>239.977587328467</v>
      </c>
      <c r="R1328">
        <v>235.89655784115999</v>
      </c>
      <c r="S1328">
        <v>241.143835892071</v>
      </c>
      <c r="T1328">
        <v>155.82046032976299</v>
      </c>
      <c r="U1328">
        <v>196.99562062146899</v>
      </c>
      <c r="V1328">
        <v>155.22291463957299</v>
      </c>
      <c r="W1328">
        <v>139.54093518177999</v>
      </c>
    </row>
    <row r="1329" spans="1:23" x14ac:dyDescent="0.2">
      <c r="A1329" t="s">
        <v>2667</v>
      </c>
      <c r="B1329" s="3" t="str">
        <f>HYPERLINK("http://www.ncbi.nlm.nih.gov/gene/11927","Atox1")</f>
        <v>Atox1</v>
      </c>
      <c r="C1329">
        <v>11927</v>
      </c>
      <c r="D1329" t="s">
        <v>2668</v>
      </c>
      <c r="E1329" s="3" t="str">
        <f>HYPERLINK("http://genome.ucsc.edu/cgi-bin/hgTracks?db=mm10&amp;lastVirtModeType=default&amp;lastVirtModeExtraState=&amp;virtModeType=default&amp;virtMode=0&amp;nonVirtPosition=&amp;position=chr11:55446642-55461138","chr11:55446642-55461138")</f>
        <v>chr11:55446642-55461138</v>
      </c>
      <c r="F1329" t="s">
        <v>25</v>
      </c>
      <c r="G1329">
        <v>-0.67551949434823799</v>
      </c>
      <c r="H1329">
        <v>0.17598024099812501</v>
      </c>
      <c r="I1329">
        <v>-3.8386098945928602</v>
      </c>
      <c r="J1329">
        <v>1.2373283374605599E-4</v>
      </c>
      <c r="K1329">
        <v>1.25143986155093E-3</v>
      </c>
      <c r="L1329" t="s">
        <v>26</v>
      </c>
      <c r="M1329" t="s">
        <v>27</v>
      </c>
      <c r="N1329">
        <v>109.316562676278</v>
      </c>
      <c r="O1329">
        <v>138.26024969586601</v>
      </c>
      <c r="P1329">
        <v>87.608797411587403</v>
      </c>
      <c r="Q1329">
        <v>149.22040232953401</v>
      </c>
      <c r="R1329">
        <v>128.946671488737</v>
      </c>
      <c r="S1329">
        <v>136.61367526932801</v>
      </c>
      <c r="T1329">
        <v>109.99091317395001</v>
      </c>
      <c r="U1329">
        <v>74.943986105993702</v>
      </c>
      <c r="V1329">
        <v>77.243630507844202</v>
      </c>
      <c r="W1329">
        <v>88.256659858561704</v>
      </c>
    </row>
    <row r="1330" spans="1:23" x14ac:dyDescent="0.2">
      <c r="A1330" t="s">
        <v>2669</v>
      </c>
      <c r="B1330" s="3" t="str">
        <f>HYPERLINK("http://www.ncbi.nlm.nih.gov/gene/320802","Ifitm10")</f>
        <v>Ifitm10</v>
      </c>
      <c r="C1330">
        <v>320802</v>
      </c>
      <c r="D1330" t="s">
        <v>2670</v>
      </c>
      <c r="E1330" s="3" t="str">
        <f>HYPERLINK("http://genome.ucsc.edu/cgi-bin/hgTracks?db=mm10&amp;lastVirtModeType=default&amp;lastVirtModeExtraState=&amp;virtModeType=default&amp;virtMode=0&amp;nonVirtPosition=&amp;position=chr7:142326109-142372259","chr7:142326109-142372259")</f>
        <v>chr7:142326109-142372259</v>
      </c>
      <c r="F1330" t="s">
        <v>25</v>
      </c>
      <c r="G1330">
        <v>-1.20752678176579</v>
      </c>
      <c r="H1330">
        <v>0.31475433854309098</v>
      </c>
      <c r="I1330">
        <v>-3.8364102854152402</v>
      </c>
      <c r="J1330">
        <v>1.2484577306009299E-4</v>
      </c>
      <c r="K1330">
        <v>1.2617432053190201E-3</v>
      </c>
      <c r="L1330" t="s">
        <v>26</v>
      </c>
      <c r="M1330" t="s">
        <v>27</v>
      </c>
      <c r="N1330">
        <v>53.666782805468102</v>
      </c>
      <c r="O1330">
        <v>85.134237645909806</v>
      </c>
      <c r="P1330">
        <v>30.0661916751368</v>
      </c>
      <c r="Q1330">
        <v>141.42530668545399</v>
      </c>
      <c r="R1330">
        <v>66.369610325085304</v>
      </c>
      <c r="S1330">
        <v>47.607795927189997</v>
      </c>
      <c r="T1330">
        <v>27.497728293487601</v>
      </c>
      <c r="U1330">
        <v>34.260107934168602</v>
      </c>
      <c r="V1330">
        <v>28.690491331484999</v>
      </c>
      <c r="W1330">
        <v>29.816439141406001</v>
      </c>
    </row>
    <row r="1331" spans="1:23" x14ac:dyDescent="0.2">
      <c r="A1331" t="s">
        <v>2671</v>
      </c>
      <c r="B1331" s="3" t="str">
        <f>HYPERLINK("http://www.ncbi.nlm.nih.gov/gene/107272","Psat1")</f>
        <v>Psat1</v>
      </c>
      <c r="C1331">
        <v>107272</v>
      </c>
      <c r="D1331" t="s">
        <v>2672</v>
      </c>
      <c r="E1331" s="3" t="str">
        <f>HYPERLINK("http://genome.ucsc.edu/cgi-bin/hgTracks?db=mm10&amp;lastVirtModeType=default&amp;lastVirtModeExtraState=&amp;virtModeType=default&amp;virtMode=0&amp;nonVirtPosition=&amp;position=chr19:15905122-15925059","chr19:15905122-15925059")</f>
        <v>chr19:15905122-15925059</v>
      </c>
      <c r="F1331" t="s">
        <v>25</v>
      </c>
      <c r="G1331">
        <v>-0.40314379955697199</v>
      </c>
      <c r="H1331">
        <v>0.105090860470794</v>
      </c>
      <c r="I1331">
        <v>-3.8361451961753601</v>
      </c>
      <c r="J1331">
        <v>1.2498053597353599E-4</v>
      </c>
      <c r="K1331">
        <v>1.26215260725613E-3</v>
      </c>
      <c r="L1331" t="s">
        <v>26</v>
      </c>
      <c r="M1331" t="s">
        <v>27</v>
      </c>
      <c r="N1331">
        <v>1110.78283636591</v>
      </c>
      <c r="O1331">
        <v>1293.23986264618</v>
      </c>
      <c r="P1331">
        <v>973.94006665571101</v>
      </c>
      <c r="Q1331">
        <v>1333.5181476837099</v>
      </c>
      <c r="R1331">
        <v>1359.6288743738901</v>
      </c>
      <c r="S1331">
        <v>1186.5725658809399</v>
      </c>
      <c r="T1331">
        <v>948.67162612532104</v>
      </c>
      <c r="U1331">
        <v>1055.6395757215701</v>
      </c>
      <c r="V1331">
        <v>940.90098494793006</v>
      </c>
      <c r="W1331">
        <v>950.54807982802299</v>
      </c>
    </row>
    <row r="1332" spans="1:23" x14ac:dyDescent="0.2">
      <c r="A1332" t="s">
        <v>2673</v>
      </c>
      <c r="B1332" s="3" t="str">
        <f>HYPERLINK("http://www.ncbi.nlm.nih.gov/gene/20650","Sntb2")</f>
        <v>Sntb2</v>
      </c>
      <c r="C1332">
        <v>20650</v>
      </c>
      <c r="D1332" t="s">
        <v>2674</v>
      </c>
      <c r="E1332" s="3" t="str">
        <f>HYPERLINK("http://genome.ucsc.edu/cgi-bin/hgTracks?db=mm10&amp;lastVirtModeType=default&amp;lastVirtModeExtraState=&amp;virtModeType=default&amp;virtMode=0&amp;nonVirtPosition=&amp;position=chr8:106935749-107014192","chr8:106935749-107014192")</f>
        <v>chr8:106935749-107014192</v>
      </c>
      <c r="F1332" t="s">
        <v>30</v>
      </c>
      <c r="G1332">
        <v>0.66787261468380599</v>
      </c>
      <c r="H1332">
        <v>0.174109910543852</v>
      </c>
      <c r="I1332">
        <v>3.8359253221004401</v>
      </c>
      <c r="J1332">
        <v>1.2509241696106999E-4</v>
      </c>
      <c r="K1332">
        <v>1.26233048645493E-3</v>
      </c>
      <c r="L1332" t="s">
        <v>26</v>
      </c>
      <c r="M1332" t="s">
        <v>27</v>
      </c>
      <c r="N1332">
        <v>119.561940583797</v>
      </c>
      <c r="O1332">
        <v>89.003899736155802</v>
      </c>
      <c r="P1332">
        <v>142.480471219528</v>
      </c>
      <c r="Q1332">
        <v>100.779450827036</v>
      </c>
      <c r="R1332">
        <v>83.436081551535807</v>
      </c>
      <c r="S1332">
        <v>82.796166829895597</v>
      </c>
      <c r="T1332">
        <v>142.07159618301901</v>
      </c>
      <c r="U1332">
        <v>122.051634515476</v>
      </c>
      <c r="V1332">
        <v>166.25771899783601</v>
      </c>
      <c r="W1332">
        <v>139.54093518177999</v>
      </c>
    </row>
    <row r="1333" spans="1:23" x14ac:dyDescent="0.2">
      <c r="A1333" t="s">
        <v>2675</v>
      </c>
      <c r="B1333" s="3" t="str">
        <f>HYPERLINK("http://www.ncbi.nlm.nih.gov/gene/66161","Pop4")</f>
        <v>Pop4</v>
      </c>
      <c r="C1333">
        <v>66161</v>
      </c>
      <c r="D1333" t="s">
        <v>2676</v>
      </c>
      <c r="E1333" s="3" t="str">
        <f>HYPERLINK("http://genome.ucsc.edu/cgi-bin/hgTracks?db=mm10&amp;lastVirtModeType=default&amp;lastVirtModeExtraState=&amp;virtModeType=default&amp;virtMode=0&amp;nonVirtPosition=&amp;position=chr7:38262819-38271348","chr7:38262819-38271348")</f>
        <v>chr7:38262819-38271348</v>
      </c>
      <c r="F1333" t="s">
        <v>25</v>
      </c>
      <c r="G1333">
        <v>-0.596578378383681</v>
      </c>
      <c r="H1333">
        <v>0.155557011231128</v>
      </c>
      <c r="I1333">
        <v>-3.8351108295419598</v>
      </c>
      <c r="J1333">
        <v>1.25507687472254E-4</v>
      </c>
      <c r="K1333">
        <v>1.2642061206966501E-3</v>
      </c>
      <c r="L1333" t="s">
        <v>26</v>
      </c>
      <c r="M1333" t="s">
        <v>27</v>
      </c>
      <c r="N1333">
        <v>159.883947111417</v>
      </c>
      <c r="O1333">
        <v>199.30493698197299</v>
      </c>
      <c r="P1333">
        <v>130.318204708499</v>
      </c>
      <c r="Q1333">
        <v>177.060029629821</v>
      </c>
      <c r="R1333">
        <v>215.41679236941999</v>
      </c>
      <c r="S1333">
        <v>205.43798894667901</v>
      </c>
      <c r="T1333">
        <v>132.90568675185699</v>
      </c>
      <c r="U1333">
        <v>137.04043173667401</v>
      </c>
      <c r="V1333">
        <v>136.831574042467</v>
      </c>
      <c r="W1333">
        <v>114.495126302999</v>
      </c>
    </row>
    <row r="1334" spans="1:23" x14ac:dyDescent="0.2">
      <c r="A1334" t="s">
        <v>2677</v>
      </c>
      <c r="B1334" s="3" t="str">
        <f>HYPERLINK("http://www.ncbi.nlm.nih.gov/gene/12306","Anxa2")</f>
        <v>Anxa2</v>
      </c>
      <c r="C1334">
        <v>12306</v>
      </c>
      <c r="D1334" t="s">
        <v>2678</v>
      </c>
      <c r="E1334" s="3" t="str">
        <f>HYPERLINK("http://genome.ucsc.edu/cgi-bin/hgTracks?db=mm10&amp;lastVirtModeType=default&amp;lastVirtModeExtraState=&amp;virtModeType=default&amp;virtMode=0&amp;nonVirtPosition=&amp;position=chr9:69453682-69491785","chr9:69453682-69491785")</f>
        <v>chr9:69453682-69491785</v>
      </c>
      <c r="F1334" t="s">
        <v>30</v>
      </c>
      <c r="G1334">
        <v>-0.68263541862485899</v>
      </c>
      <c r="H1334">
        <v>0.17800019940765199</v>
      </c>
      <c r="I1334">
        <v>-3.83502614545674</v>
      </c>
      <c r="J1334">
        <v>1.2555093830410099E-4</v>
      </c>
      <c r="K1334">
        <v>1.2642061206966501E-3</v>
      </c>
      <c r="L1334" t="s">
        <v>26</v>
      </c>
      <c r="M1334" t="s">
        <v>27</v>
      </c>
      <c r="N1334">
        <v>285.46072396662402</v>
      </c>
      <c r="O1334">
        <v>373.99810852956603</v>
      </c>
      <c r="P1334">
        <v>219.05768554441701</v>
      </c>
      <c r="Q1334">
        <v>346.88175616156701</v>
      </c>
      <c r="R1334">
        <v>340.950169612867</v>
      </c>
      <c r="S1334">
        <v>434.16239981426497</v>
      </c>
      <c r="T1334">
        <v>146.65455089860001</v>
      </c>
      <c r="U1334">
        <v>216.26693133443899</v>
      </c>
      <c r="V1334">
        <v>279.548377076007</v>
      </c>
      <c r="W1334">
        <v>233.76088286862301</v>
      </c>
    </row>
    <row r="1335" spans="1:23" x14ac:dyDescent="0.2">
      <c r="A1335" t="s">
        <v>2679</v>
      </c>
      <c r="B1335" s="3" t="str">
        <f>HYPERLINK("http://www.ncbi.nlm.nih.gov/gene/56228","Ube2j1")</f>
        <v>Ube2j1</v>
      </c>
      <c r="C1335">
        <v>56228</v>
      </c>
      <c r="D1335" t="s">
        <v>2680</v>
      </c>
      <c r="E1335" s="3" t="str">
        <f>HYPERLINK("http://genome.ucsc.edu/cgi-bin/hgTracks?db=mm10&amp;lastVirtModeType=default&amp;lastVirtModeExtraState=&amp;virtModeType=default&amp;virtMode=0&amp;nonVirtPosition=&amp;position=chr4:33031424-33052364","chr4:33031424-33052364")</f>
        <v>chr4:33031424-33052364</v>
      </c>
      <c r="F1335" t="s">
        <v>30</v>
      </c>
      <c r="G1335">
        <v>-0.55519580216598496</v>
      </c>
      <c r="H1335">
        <v>0.14477053774398899</v>
      </c>
      <c r="I1335">
        <v>-3.8350054563435201</v>
      </c>
      <c r="J1335">
        <v>1.2556150702162301E-4</v>
      </c>
      <c r="K1335">
        <v>1.2642061206966501E-3</v>
      </c>
      <c r="L1335" t="s">
        <v>26</v>
      </c>
      <c r="M1335" t="s">
        <v>27</v>
      </c>
      <c r="N1335">
        <v>343.47065089627</v>
      </c>
      <c r="O1335">
        <v>423.45159356126601</v>
      </c>
      <c r="P1335">
        <v>283.48494389752301</v>
      </c>
      <c r="Q1335">
        <v>476.05762683489502</v>
      </c>
      <c r="R1335">
        <v>450.17558546215002</v>
      </c>
      <c r="S1335">
        <v>344.12156838675401</v>
      </c>
      <c r="T1335">
        <v>279.560237650457</v>
      </c>
      <c r="U1335">
        <v>274.08086347334898</v>
      </c>
      <c r="V1335">
        <v>286.90491331484998</v>
      </c>
      <c r="W1335">
        <v>293.393761151435</v>
      </c>
    </row>
    <row r="1336" spans="1:23" x14ac:dyDescent="0.2">
      <c r="A1336" t="s">
        <v>2681</v>
      </c>
      <c r="B1336" s="3" t="str">
        <f>HYPERLINK("http://www.ncbi.nlm.nih.gov/gene/230779","Serinc2")</f>
        <v>Serinc2</v>
      </c>
      <c r="C1336">
        <v>230779</v>
      </c>
      <c r="D1336" t="s">
        <v>2682</v>
      </c>
      <c r="E1336" s="3" t="str">
        <f>HYPERLINK("http://genome.ucsc.edu/cgi-bin/hgTracks?db=mm10&amp;lastVirtModeType=default&amp;lastVirtModeExtraState=&amp;virtModeType=default&amp;virtMode=0&amp;nonVirtPosition=&amp;position=chr4:130253496-130275586","chr4:130253496-130275586")</f>
        <v>chr4:130253496-130275586</v>
      </c>
      <c r="F1336" t="s">
        <v>25</v>
      </c>
      <c r="G1336">
        <v>-1.23705831483927</v>
      </c>
      <c r="H1336">
        <v>0.32258575394612199</v>
      </c>
      <c r="I1336">
        <v>-3.8348200430632899</v>
      </c>
      <c r="J1336">
        <v>1.25656260004762E-4</v>
      </c>
      <c r="K1336">
        <v>1.2642096000929899E-3</v>
      </c>
      <c r="L1336" t="s">
        <v>26</v>
      </c>
      <c r="M1336" t="s">
        <v>27</v>
      </c>
      <c r="N1336">
        <v>24.619351603987202</v>
      </c>
      <c r="O1336">
        <v>38.509092864806099</v>
      </c>
      <c r="P1336">
        <v>14.2020456583731</v>
      </c>
      <c r="Q1336">
        <v>45.100196226463702</v>
      </c>
      <c r="R1336">
        <v>31.098903123754301</v>
      </c>
      <c r="S1336">
        <v>39.328179244200399</v>
      </c>
      <c r="T1336">
        <v>18.3318188623251</v>
      </c>
      <c r="U1336">
        <v>19.2713107129698</v>
      </c>
      <c r="V1336">
        <v>13.241765229916099</v>
      </c>
      <c r="W1336">
        <v>5.9632878282812003</v>
      </c>
    </row>
    <row r="1337" spans="1:23" x14ac:dyDescent="0.2">
      <c r="A1337" t="s">
        <v>2683</v>
      </c>
      <c r="B1337" s="3" t="str">
        <f>HYPERLINK("http://www.ncbi.nlm.nih.gov/gene/54711","Plagl2")</f>
        <v>Plagl2</v>
      </c>
      <c r="C1337">
        <v>54711</v>
      </c>
      <c r="D1337" t="s">
        <v>2684</v>
      </c>
      <c r="E1337" s="3" t="str">
        <f>HYPERLINK("http://genome.ucsc.edu/cgi-bin/hgTracks?db=mm10&amp;lastVirtModeType=default&amp;lastVirtModeExtraState=&amp;virtModeType=default&amp;virtMode=0&amp;nonVirtPosition=&amp;position=chr2:153227768-153241358","chr2:153227768-153241358")</f>
        <v>chr2:153227768-153241358</v>
      </c>
      <c r="F1337" t="s">
        <v>25</v>
      </c>
      <c r="G1337">
        <v>0.85763715825591402</v>
      </c>
      <c r="H1337">
        <v>0.22366448289845001</v>
      </c>
      <c r="I1337">
        <v>3.8344807684343301</v>
      </c>
      <c r="J1337">
        <v>1.2582981630073799E-4</v>
      </c>
      <c r="K1337">
        <v>1.2650053078702599E-3</v>
      </c>
      <c r="L1337" t="s">
        <v>26</v>
      </c>
      <c r="M1337" t="s">
        <v>27</v>
      </c>
      <c r="N1337">
        <v>70.638537564344801</v>
      </c>
      <c r="O1337">
        <v>46.970155217489797</v>
      </c>
      <c r="P1337">
        <v>88.389824324486099</v>
      </c>
      <c r="Q1337">
        <v>48.440951502498102</v>
      </c>
      <c r="R1337">
        <v>34.512197369044401</v>
      </c>
      <c r="S1337">
        <v>57.957316780926902</v>
      </c>
      <c r="T1337">
        <v>87.076139596044001</v>
      </c>
      <c r="U1337">
        <v>77.0852428518793</v>
      </c>
      <c r="V1337">
        <v>96.370624728834201</v>
      </c>
      <c r="W1337">
        <v>93.027290121186695</v>
      </c>
    </row>
    <row r="1338" spans="1:23" x14ac:dyDescent="0.2">
      <c r="A1338" t="s">
        <v>2685</v>
      </c>
      <c r="B1338" s="3" t="str">
        <f>HYPERLINK("http://www.ncbi.nlm.nih.gov/gene/215090","Maneal")</f>
        <v>Maneal</v>
      </c>
      <c r="C1338">
        <v>215090</v>
      </c>
      <c r="D1338" t="s">
        <v>2686</v>
      </c>
      <c r="E1338" s="3" t="str">
        <f>HYPERLINK("http://genome.ucsc.edu/cgi-bin/hgTracks?db=mm10&amp;lastVirtModeType=default&amp;lastVirtModeExtraState=&amp;virtModeType=default&amp;virtMode=0&amp;nonVirtPosition=&amp;position=chr4:124855238-124862171","chr4:124855238-124862171")</f>
        <v>chr4:124855238-124862171</v>
      </c>
      <c r="F1338" t="s">
        <v>25</v>
      </c>
      <c r="G1338">
        <v>-0.71690283009259403</v>
      </c>
      <c r="H1338">
        <v>0.18709172481182201</v>
      </c>
      <c r="I1338">
        <v>-3.8318254364999902</v>
      </c>
      <c r="J1338">
        <v>1.27195979552579E-4</v>
      </c>
      <c r="K1338">
        <v>1.27778046675813E-3</v>
      </c>
      <c r="L1338" t="s">
        <v>26</v>
      </c>
      <c r="M1338" t="s">
        <v>27</v>
      </c>
      <c r="N1338">
        <v>195.62916642752501</v>
      </c>
      <c r="O1338">
        <v>253.33533319574201</v>
      </c>
      <c r="P1338">
        <v>152.34954135136201</v>
      </c>
      <c r="Q1338">
        <v>309.01986303317699</v>
      </c>
      <c r="R1338">
        <v>249.17047990617701</v>
      </c>
      <c r="S1338">
        <v>201.81565664787101</v>
      </c>
      <c r="T1338">
        <v>164.98636976092499</v>
      </c>
      <c r="U1338">
        <v>179.86556665438499</v>
      </c>
      <c r="V1338">
        <v>140.509842161888</v>
      </c>
      <c r="W1338">
        <v>124.03638682824899</v>
      </c>
    </row>
    <row r="1339" spans="1:23" x14ac:dyDescent="0.2">
      <c r="A1339" t="s">
        <v>2687</v>
      </c>
      <c r="B1339" s="3" t="str">
        <f>HYPERLINK("http://www.ncbi.nlm.nih.gov/gene/110380","Shroom2")</f>
        <v>Shroom2</v>
      </c>
      <c r="C1339">
        <v>110380</v>
      </c>
      <c r="D1339" t="s">
        <v>2688</v>
      </c>
      <c r="E1339" s="3" t="str">
        <f>HYPERLINK("http://genome.ucsc.edu/cgi-bin/hgTracks?db=mm10&amp;lastVirtModeType=default&amp;lastVirtModeExtraState=&amp;virtModeType=default&amp;virtMode=0&amp;nonVirtPosition=&amp;position=chrX:152609508-152644149","chrX:152609508-152644149")</f>
        <v>chrX:152609508-152644149</v>
      </c>
      <c r="F1339" t="s">
        <v>25</v>
      </c>
      <c r="G1339">
        <v>-0.633563823263538</v>
      </c>
      <c r="H1339">
        <v>0.16547607043684801</v>
      </c>
      <c r="I1339">
        <v>-3.8287337957141698</v>
      </c>
      <c r="J1339">
        <v>1.2880423553446901E-4</v>
      </c>
      <c r="K1339">
        <v>1.2929666552039499E-3</v>
      </c>
      <c r="L1339" t="s">
        <v>26</v>
      </c>
      <c r="M1339" t="s">
        <v>27</v>
      </c>
      <c r="N1339">
        <v>308.212558645309</v>
      </c>
      <c r="O1339">
        <v>394.62265806973102</v>
      </c>
      <c r="P1339">
        <v>243.404984076993</v>
      </c>
      <c r="Q1339">
        <v>409.799313860214</v>
      </c>
      <c r="R1339">
        <v>413.38785859624602</v>
      </c>
      <c r="S1339">
        <v>360.68080175273298</v>
      </c>
      <c r="T1339">
        <v>197.06705276999401</v>
      </c>
      <c r="U1339">
        <v>248.385782522722</v>
      </c>
      <c r="V1339">
        <v>317.06671189410298</v>
      </c>
      <c r="W1339">
        <v>211.100389121154</v>
      </c>
    </row>
    <row r="1340" spans="1:23" x14ac:dyDescent="0.2">
      <c r="A1340" t="s">
        <v>2689</v>
      </c>
      <c r="B1340" s="3" t="str">
        <f>HYPERLINK("http://www.ncbi.nlm.nih.gov/gene/21838","Thy1")</f>
        <v>Thy1</v>
      </c>
      <c r="C1340">
        <v>21838</v>
      </c>
      <c r="D1340" t="s">
        <v>2690</v>
      </c>
      <c r="E1340" s="3" t="str">
        <f>HYPERLINK("http://genome.ucsc.edu/cgi-bin/hgTracks?db=mm10&amp;lastVirtModeType=default&amp;lastVirtModeExtraState=&amp;virtModeType=default&amp;virtMode=0&amp;nonVirtPosition=&amp;position=chr9:44043383-44048579","chr9:44043383-44048579")</f>
        <v>chr9:44043383-44048579</v>
      </c>
      <c r="F1340" t="s">
        <v>30</v>
      </c>
      <c r="G1340">
        <v>-0.90798852327832102</v>
      </c>
      <c r="H1340">
        <v>0.23722188021860199</v>
      </c>
      <c r="I1340">
        <v>-3.82759179904316</v>
      </c>
      <c r="J1340">
        <v>1.2940312852894299E-4</v>
      </c>
      <c r="K1340">
        <v>1.29800546376859E-3</v>
      </c>
      <c r="L1340" t="s">
        <v>26</v>
      </c>
      <c r="M1340" t="s">
        <v>27</v>
      </c>
      <c r="N1340">
        <v>77.833129900958895</v>
      </c>
      <c r="O1340">
        <v>110.466604198797</v>
      </c>
      <c r="P1340">
        <v>53.358024177580603</v>
      </c>
      <c r="Q1340">
        <v>94.654732820973294</v>
      </c>
      <c r="R1340">
        <v>144.11686813447099</v>
      </c>
      <c r="S1340">
        <v>92.628211640945693</v>
      </c>
      <c r="T1340">
        <v>36.663637724650101</v>
      </c>
      <c r="U1340">
        <v>59.955188884795</v>
      </c>
      <c r="V1340">
        <v>50.024446424127703</v>
      </c>
      <c r="W1340">
        <v>66.788823676749402</v>
      </c>
    </row>
    <row r="1341" spans="1:23" x14ac:dyDescent="0.2">
      <c r="A1341" t="s">
        <v>2691</v>
      </c>
      <c r="B1341" s="3" t="str">
        <f>HYPERLINK("http://www.ncbi.nlm.nih.gov/gene/235402","Lingo1")</f>
        <v>Lingo1</v>
      </c>
      <c r="C1341">
        <v>235402</v>
      </c>
      <c r="D1341" t="s">
        <v>2692</v>
      </c>
      <c r="E1341" s="3" t="str">
        <f>HYPERLINK("http://genome.ucsc.edu/cgi-bin/hgTracks?db=mm10&amp;lastVirtModeType=default&amp;lastVirtModeExtraState=&amp;virtModeType=default&amp;virtMode=0&amp;nonVirtPosition=&amp;position=chr9:56618474-56685253","chr9:56618474-56685253")</f>
        <v>chr9:56618474-56685253</v>
      </c>
      <c r="F1341" t="s">
        <v>25</v>
      </c>
      <c r="G1341">
        <v>0.56747688523626605</v>
      </c>
      <c r="H1341">
        <v>0.148294213411377</v>
      </c>
      <c r="I1341">
        <v>3.8266960805951999</v>
      </c>
      <c r="J1341">
        <v>1.2987470210935301E-4</v>
      </c>
      <c r="K1341">
        <v>1.3017605807981701E-3</v>
      </c>
      <c r="L1341" t="s">
        <v>26</v>
      </c>
      <c r="M1341" t="s">
        <v>27</v>
      </c>
      <c r="N1341">
        <v>169.89898375070501</v>
      </c>
      <c r="O1341">
        <v>132.36272086006099</v>
      </c>
      <c r="P1341">
        <v>198.051180918688</v>
      </c>
      <c r="Q1341">
        <v>133.073418495368</v>
      </c>
      <c r="R1341">
        <v>117.569024004437</v>
      </c>
      <c r="S1341">
        <v>146.44572008037801</v>
      </c>
      <c r="T1341">
        <v>183.31818862325099</v>
      </c>
      <c r="U1341">
        <v>220.54944482620999</v>
      </c>
      <c r="V1341">
        <v>192.741249457668</v>
      </c>
      <c r="W1341">
        <v>195.595840767623</v>
      </c>
    </row>
    <row r="1342" spans="1:23" x14ac:dyDescent="0.2">
      <c r="A1342" t="s">
        <v>2693</v>
      </c>
      <c r="B1342" s="3" t="str">
        <f>HYPERLINK("http://www.ncbi.nlm.nih.gov/gene/243842","Gltscr1")</f>
        <v>Gltscr1</v>
      </c>
      <c r="C1342">
        <v>243842</v>
      </c>
      <c r="D1342" t="s">
        <v>2694</v>
      </c>
      <c r="E1342" s="3" t="str">
        <f>HYPERLINK("http://genome.ucsc.edu/cgi-bin/hgTracks?db=mm10&amp;lastVirtModeType=default&amp;lastVirtModeExtraState=&amp;virtModeType=default&amp;virtMode=0&amp;nonVirtPosition=&amp;position=chr7:15971261-15999495","chr7:15971261-15999495")</f>
        <v>chr7:15971261-15999495</v>
      </c>
      <c r="F1342" t="s">
        <v>25</v>
      </c>
      <c r="G1342">
        <v>0.92940878699771401</v>
      </c>
      <c r="H1342">
        <v>0.24295040969545001</v>
      </c>
      <c r="I1342">
        <v>3.8255082103494802</v>
      </c>
      <c r="J1342">
        <v>1.3050258469760699E-4</v>
      </c>
      <c r="K1342">
        <v>1.30707562579331E-3</v>
      </c>
      <c r="L1342" t="s">
        <v>26</v>
      </c>
      <c r="M1342" t="s">
        <v>27</v>
      </c>
      <c r="N1342">
        <v>127.638298891261</v>
      </c>
      <c r="O1342">
        <v>79.911721079804195</v>
      </c>
      <c r="P1342">
        <v>163.43323224985301</v>
      </c>
      <c r="Q1342">
        <v>79.621334078818705</v>
      </c>
      <c r="R1342">
        <v>46.269099769488001</v>
      </c>
      <c r="S1342">
        <v>113.844729391106</v>
      </c>
      <c r="T1342">
        <v>160.40341504534399</v>
      </c>
      <c r="U1342">
        <v>173.44179641672801</v>
      </c>
      <c r="V1342">
        <v>149.33768564849899</v>
      </c>
      <c r="W1342">
        <v>170.550031888842</v>
      </c>
    </row>
    <row r="1343" spans="1:23" x14ac:dyDescent="0.2">
      <c r="A1343" t="s">
        <v>2695</v>
      </c>
      <c r="B1343" s="3" t="str">
        <f>HYPERLINK("http://www.ncbi.nlm.nih.gov/gene/70495","Atp6ap2")</f>
        <v>Atp6ap2</v>
      </c>
      <c r="C1343">
        <v>70495</v>
      </c>
      <c r="D1343" t="s">
        <v>2696</v>
      </c>
      <c r="E1343" s="3" t="str">
        <f>HYPERLINK("http://genome.ucsc.edu/cgi-bin/hgTracks?db=mm10&amp;lastVirtModeType=default&amp;lastVirtModeExtraState=&amp;virtModeType=default&amp;virtMode=0&amp;nonVirtPosition=&amp;position=chrX:12587758-12617051","chrX:12587758-12617051")</f>
        <v>chrX:12587758-12617051</v>
      </c>
      <c r="F1343" t="s">
        <v>30</v>
      </c>
      <c r="G1343">
        <v>-0.50199322897864895</v>
      </c>
      <c r="H1343">
        <v>0.13135045478950599</v>
      </c>
      <c r="I1343">
        <v>-3.8217852369305598</v>
      </c>
      <c r="J1343">
        <v>1.32489050962408E-4</v>
      </c>
      <c r="K1343">
        <v>1.3259797320161399E-3</v>
      </c>
      <c r="L1343" t="s">
        <v>26</v>
      </c>
      <c r="M1343" t="s">
        <v>27</v>
      </c>
      <c r="N1343">
        <v>415.72386435975102</v>
      </c>
      <c r="O1343">
        <v>503.79527992856998</v>
      </c>
      <c r="P1343">
        <v>349.67030268313698</v>
      </c>
      <c r="Q1343">
        <v>509.465179595238</v>
      </c>
      <c r="R1343">
        <v>544.98931449798602</v>
      </c>
      <c r="S1343">
        <v>456.93134569248701</v>
      </c>
      <c r="T1343">
        <v>348.304558384176</v>
      </c>
      <c r="U1343">
        <v>295.49343093220398</v>
      </c>
      <c r="V1343">
        <v>364.88419744657801</v>
      </c>
      <c r="W1343">
        <v>389.99902396958998</v>
      </c>
    </row>
    <row r="1344" spans="1:23" x14ac:dyDescent="0.2">
      <c r="A1344" t="s">
        <v>2697</v>
      </c>
      <c r="B1344" s="3" t="str">
        <f>HYPERLINK("http://www.ncbi.nlm.nih.gov/gene/319565","Syne2")</f>
        <v>Syne2</v>
      </c>
      <c r="C1344">
        <v>319565</v>
      </c>
      <c r="D1344" t="s">
        <v>2698</v>
      </c>
      <c r="E1344" s="3" t="str">
        <f>HYPERLINK("http://genome.ucsc.edu/cgi-bin/hgTracks?db=mm10&amp;lastVirtModeType=default&amp;lastVirtModeExtraState=&amp;virtModeType=default&amp;virtMode=0&amp;nonVirtPosition=&amp;position=chr12:75818317-76110928","chr12:75818317-76110928")</f>
        <v>chr12:75818317-76110928</v>
      </c>
      <c r="F1344" t="s">
        <v>30</v>
      </c>
      <c r="G1344">
        <v>0.68897025310266102</v>
      </c>
      <c r="H1344">
        <v>0.180296219778284</v>
      </c>
      <c r="I1344">
        <v>3.8213238965848002</v>
      </c>
      <c r="J1344">
        <v>1.32737182857879E-4</v>
      </c>
      <c r="K1344">
        <v>1.32747096015673E-3</v>
      </c>
      <c r="L1344" t="s">
        <v>26</v>
      </c>
      <c r="M1344" t="s">
        <v>27</v>
      </c>
      <c r="N1344">
        <v>1307.5697377277199</v>
      </c>
      <c r="O1344">
        <v>952.81490189964802</v>
      </c>
      <c r="P1344">
        <v>1573.63586459877</v>
      </c>
      <c r="Q1344">
        <v>870.26674940694795</v>
      </c>
      <c r="R1344">
        <v>746.75292988624597</v>
      </c>
      <c r="S1344">
        <v>1241.42502640575</v>
      </c>
      <c r="T1344">
        <v>1439.0477806925201</v>
      </c>
      <c r="U1344">
        <v>1351.1330066537701</v>
      </c>
      <c r="V1344">
        <v>1840.60536695834</v>
      </c>
      <c r="W1344">
        <v>1663.7573040904499</v>
      </c>
    </row>
    <row r="1345" spans="1:23" x14ac:dyDescent="0.2">
      <c r="A1345" t="s">
        <v>2699</v>
      </c>
      <c r="B1345" s="3" t="str">
        <f>HYPERLINK("http://www.ncbi.nlm.nih.gov/gene/20928","Abcc9")</f>
        <v>Abcc9</v>
      </c>
      <c r="C1345">
        <v>20928</v>
      </c>
      <c r="D1345" t="s">
        <v>2700</v>
      </c>
      <c r="E1345" s="3" t="str">
        <f>HYPERLINK("http://genome.ucsc.edu/cgi-bin/hgTracks?db=mm10&amp;lastVirtModeType=default&amp;lastVirtModeExtraState=&amp;virtModeType=default&amp;virtMode=0&amp;nonVirtPosition=&amp;position=chr6:142587861-142702274","chr6:142587861-142702274")</f>
        <v>chr6:142587861-142702274</v>
      </c>
      <c r="F1345" t="s">
        <v>25</v>
      </c>
      <c r="G1345">
        <v>-1.0784991663655801</v>
      </c>
      <c r="H1345">
        <v>0.28236873045426802</v>
      </c>
      <c r="I1345">
        <v>-3.8194709613579301</v>
      </c>
      <c r="J1345">
        <v>1.3373820198131999E-4</v>
      </c>
      <c r="K1345">
        <v>1.3364837781581001E-3</v>
      </c>
      <c r="L1345" t="s">
        <v>26</v>
      </c>
      <c r="M1345" t="s">
        <v>27</v>
      </c>
      <c r="N1345">
        <v>134.03801789545901</v>
      </c>
      <c r="O1345">
        <v>203.243659326059</v>
      </c>
      <c r="P1345">
        <v>82.133786822509606</v>
      </c>
      <c r="Q1345">
        <v>322.38288413731499</v>
      </c>
      <c r="R1345">
        <v>154.35675087034099</v>
      </c>
      <c r="S1345">
        <v>132.99134297052001</v>
      </c>
      <c r="T1345">
        <v>41.246592440231403</v>
      </c>
      <c r="U1345">
        <v>109.204094040162</v>
      </c>
      <c r="V1345">
        <v>83.864513122802194</v>
      </c>
      <c r="W1345">
        <v>94.2199476868429</v>
      </c>
    </row>
    <row r="1346" spans="1:23" x14ac:dyDescent="0.2">
      <c r="A1346" t="s">
        <v>2701</v>
      </c>
      <c r="B1346" s="3" t="str">
        <f>HYPERLINK("http://www.ncbi.nlm.nih.gov/gene/224132","Dirc2")</f>
        <v>Dirc2</v>
      </c>
      <c r="C1346">
        <v>224132</v>
      </c>
      <c r="D1346" t="s">
        <v>2702</v>
      </c>
      <c r="E1346" s="3" t="str">
        <f>HYPERLINK("http://genome.ucsc.edu/cgi-bin/hgTracks?db=mm10&amp;lastVirtModeType=default&amp;lastVirtModeExtraState=&amp;virtModeType=default&amp;virtMode=0&amp;nonVirtPosition=&amp;position=chr16:35694902-35769356","chr16:35694902-35769356")</f>
        <v>chr16:35694902-35769356</v>
      </c>
      <c r="F1346" t="s">
        <v>25</v>
      </c>
      <c r="G1346">
        <v>-0.80121024074771297</v>
      </c>
      <c r="H1346">
        <v>0.20994087857298499</v>
      </c>
      <c r="I1346">
        <v>-3.8163612832037099</v>
      </c>
      <c r="J1346">
        <v>1.3543415845279801E-4</v>
      </c>
      <c r="K1346">
        <v>1.35242268146265E-3</v>
      </c>
      <c r="L1346" t="s">
        <v>26</v>
      </c>
      <c r="M1346" t="s">
        <v>27</v>
      </c>
      <c r="N1346">
        <v>241.21313277540199</v>
      </c>
      <c r="O1346">
        <v>325.12482139727399</v>
      </c>
      <c r="P1346">
        <v>178.27936630899799</v>
      </c>
      <c r="Q1346">
        <v>457.12668027069998</v>
      </c>
      <c r="R1346">
        <v>266.23695113262801</v>
      </c>
      <c r="S1346">
        <v>252.01083278849501</v>
      </c>
      <c r="T1346">
        <v>164.98636976092499</v>
      </c>
      <c r="U1346">
        <v>205.56064760501101</v>
      </c>
      <c r="V1346">
        <v>158.901182758994</v>
      </c>
      <c r="W1346">
        <v>183.66926511106101</v>
      </c>
    </row>
    <row r="1347" spans="1:23" x14ac:dyDescent="0.2">
      <c r="A1347" t="s">
        <v>2703</v>
      </c>
      <c r="B1347" s="3" t="str">
        <f>HYPERLINK("http://www.ncbi.nlm.nih.gov/gene/17864","Mybl1")</f>
        <v>Mybl1</v>
      </c>
      <c r="C1347">
        <v>17864</v>
      </c>
      <c r="D1347" t="s">
        <v>2704</v>
      </c>
      <c r="E1347" s="3" t="str">
        <f>HYPERLINK("http://genome.ucsc.edu/cgi-bin/hgTracks?db=mm10&amp;lastVirtModeType=default&amp;lastVirtModeExtraState=&amp;virtModeType=default&amp;virtMode=0&amp;nonVirtPosition=&amp;position=chr1:9667410-9700209","chr1:9667410-9700209")</f>
        <v>chr1:9667410-9700209</v>
      </c>
      <c r="F1347" t="s">
        <v>25</v>
      </c>
      <c r="G1347">
        <v>0.58350712091342904</v>
      </c>
      <c r="H1347">
        <v>0.15296663659780499</v>
      </c>
      <c r="I1347">
        <v>3.8146038501692598</v>
      </c>
      <c r="J1347">
        <v>1.3640156766500701E-4</v>
      </c>
      <c r="K1347">
        <v>1.3610538646882601E-3</v>
      </c>
      <c r="L1347" t="s">
        <v>26</v>
      </c>
      <c r="M1347" t="s">
        <v>27</v>
      </c>
      <c r="N1347">
        <v>217.693911740944</v>
      </c>
      <c r="O1347">
        <v>166.64143856016599</v>
      </c>
      <c r="P1347">
        <v>255.98326662652701</v>
      </c>
      <c r="Q1347">
        <v>136.970966317408</v>
      </c>
      <c r="R1347">
        <v>179.76683025194501</v>
      </c>
      <c r="S1347">
        <v>183.18651911114401</v>
      </c>
      <c r="T1347">
        <v>284.14319236603802</v>
      </c>
      <c r="U1347">
        <v>222.690701572096</v>
      </c>
      <c r="V1347">
        <v>252.32919299229101</v>
      </c>
      <c r="W1347">
        <v>264.769979575685</v>
      </c>
    </row>
    <row r="1348" spans="1:23" x14ac:dyDescent="0.2">
      <c r="A1348" t="s">
        <v>2705</v>
      </c>
      <c r="B1348" s="3" t="str">
        <f>HYPERLINK("http://www.ncbi.nlm.nih.gov/gene/326618","Tpm4")</f>
        <v>Tpm4</v>
      </c>
      <c r="C1348">
        <v>326618</v>
      </c>
      <c r="D1348" t="s">
        <v>2706</v>
      </c>
      <c r="E1348" s="3" t="str">
        <f>HYPERLINK("http://genome.ucsc.edu/cgi-bin/hgTracks?db=mm10&amp;lastVirtModeType=default&amp;lastVirtModeExtraState=&amp;virtModeType=default&amp;virtMode=0&amp;nonVirtPosition=&amp;position=chr8:72135291-72153129","chr8:72135291-72153129")</f>
        <v>chr8:72135291-72153129</v>
      </c>
      <c r="F1348" t="s">
        <v>30</v>
      </c>
      <c r="G1348">
        <v>-0.502654257884531</v>
      </c>
      <c r="H1348">
        <v>0.13177729043244499</v>
      </c>
      <c r="I1348">
        <v>-3.8144224716944999</v>
      </c>
      <c r="J1348">
        <v>1.36501780320838E-4</v>
      </c>
      <c r="K1348">
        <v>1.3610538646882601E-3</v>
      </c>
      <c r="L1348" t="s">
        <v>26</v>
      </c>
      <c r="M1348" t="s">
        <v>27</v>
      </c>
      <c r="N1348">
        <v>603.52705419063795</v>
      </c>
      <c r="O1348">
        <v>733.50527535832703</v>
      </c>
      <c r="P1348">
        <v>506.04338831487098</v>
      </c>
      <c r="Q1348">
        <v>817.37145753640402</v>
      </c>
      <c r="R1348">
        <v>690.24394738088699</v>
      </c>
      <c r="S1348">
        <v>692.90042115768904</v>
      </c>
      <c r="T1348">
        <v>458.295471558126</v>
      </c>
      <c r="U1348">
        <v>473.21774084070302</v>
      </c>
      <c r="V1348">
        <v>592.93682085068997</v>
      </c>
      <c r="W1348">
        <v>499.72352000996398</v>
      </c>
    </row>
    <row r="1349" spans="1:23" x14ac:dyDescent="0.2">
      <c r="A1349" t="s">
        <v>2707</v>
      </c>
      <c r="B1349" s="3" t="str">
        <f>HYPERLINK("http://www.ncbi.nlm.nih.gov/gene/229503","Rrnad1")</f>
        <v>Rrnad1</v>
      </c>
      <c r="C1349">
        <v>229503</v>
      </c>
      <c r="D1349" t="s">
        <v>2708</v>
      </c>
      <c r="E1349" s="3" t="str">
        <f>HYPERLINK("http://genome.ucsc.edu/cgi-bin/hgTracks?db=mm10&amp;lastVirtModeType=default&amp;lastVirtModeExtraState=&amp;virtModeType=default&amp;virtMode=0&amp;nonVirtPosition=&amp;position=chr3:87922600-87930195","chr3:87922600-87930195")</f>
        <v>chr3:87922600-87930195</v>
      </c>
      <c r="F1349" t="s">
        <v>25</v>
      </c>
      <c r="G1349">
        <v>0.67300955364808301</v>
      </c>
      <c r="H1349">
        <v>0.17652425839430599</v>
      </c>
      <c r="I1349">
        <v>3.81256128630642</v>
      </c>
      <c r="J1349">
        <v>1.37534111283146E-4</v>
      </c>
      <c r="K1349">
        <v>1.3702240278646101E-3</v>
      </c>
      <c r="L1349" t="s">
        <v>26</v>
      </c>
      <c r="M1349" t="s">
        <v>27</v>
      </c>
      <c r="N1349">
        <v>103.38605973211899</v>
      </c>
      <c r="O1349">
        <v>75.216278672877394</v>
      </c>
      <c r="P1349">
        <v>124.51339552655099</v>
      </c>
      <c r="Q1349">
        <v>64.587935336664103</v>
      </c>
      <c r="R1349">
        <v>77.747257809385601</v>
      </c>
      <c r="S1349">
        <v>83.313642872582506</v>
      </c>
      <c r="T1349">
        <v>142.07159618301901</v>
      </c>
      <c r="U1349">
        <v>107.062837294277</v>
      </c>
      <c r="V1349">
        <v>127.268076931972</v>
      </c>
      <c r="W1349">
        <v>121.651071696936</v>
      </c>
    </row>
    <row r="1350" spans="1:23" x14ac:dyDescent="0.2">
      <c r="A1350" t="s">
        <v>2709</v>
      </c>
      <c r="B1350" s="3" t="str">
        <f>HYPERLINK("http://www.ncbi.nlm.nih.gov/gene/224656","Zfp523")</f>
        <v>Zfp523</v>
      </c>
      <c r="C1350">
        <v>224656</v>
      </c>
      <c r="D1350" t="s">
        <v>2710</v>
      </c>
      <c r="E1350" s="3" t="str">
        <f>HYPERLINK("http://genome.ucsc.edu/cgi-bin/hgTracks?db=mm10&amp;lastVirtModeType=default&amp;lastVirtModeExtraState=&amp;virtModeType=default&amp;virtMode=0&amp;nonVirtPosition=&amp;position=chr17:28177417-28205886","chr17:28177417-28205886")</f>
        <v>chr17:28177417-28205886</v>
      </c>
      <c r="F1350" t="s">
        <v>30</v>
      </c>
      <c r="G1350">
        <v>0.52962861806613504</v>
      </c>
      <c r="H1350">
        <v>0.13892689909706299</v>
      </c>
      <c r="I1350">
        <v>3.8122827293230199</v>
      </c>
      <c r="J1350">
        <v>1.3768924785441701E-4</v>
      </c>
      <c r="K1350">
        <v>1.3702240278646101E-3</v>
      </c>
      <c r="L1350" t="s">
        <v>26</v>
      </c>
      <c r="M1350" t="s">
        <v>27</v>
      </c>
      <c r="N1350">
        <v>206.72418903400001</v>
      </c>
      <c r="O1350">
        <v>163.88749526574199</v>
      </c>
      <c r="P1350">
        <v>238.85170936019301</v>
      </c>
      <c r="Q1350">
        <v>149.77719487554</v>
      </c>
      <c r="R1350">
        <v>162.32110410935101</v>
      </c>
      <c r="S1350">
        <v>179.564186812336</v>
      </c>
      <c r="T1350">
        <v>219.98182634790101</v>
      </c>
      <c r="U1350">
        <v>271.939606727463</v>
      </c>
      <c r="V1350">
        <v>236.880466890722</v>
      </c>
      <c r="W1350">
        <v>226.60493747468601</v>
      </c>
    </row>
    <row r="1351" spans="1:23" x14ac:dyDescent="0.2">
      <c r="A1351" t="s">
        <v>2711</v>
      </c>
      <c r="B1351" s="3" t="str">
        <f>HYPERLINK("http://www.ncbi.nlm.nih.gov/gene/237107","Gnl3l")</f>
        <v>Gnl3l</v>
      </c>
      <c r="C1351">
        <v>237107</v>
      </c>
      <c r="D1351" t="s">
        <v>2712</v>
      </c>
      <c r="E1351" s="3" t="str">
        <f>HYPERLINK("http://genome.ucsc.edu/cgi-bin/hgTracks?db=mm10&amp;lastVirtModeType=default&amp;lastVirtModeExtraState=&amp;virtModeType=default&amp;virtMode=0&amp;nonVirtPosition=&amp;position=chrX:150983132-151017293","chrX:150983132-151017293")</f>
        <v>chrX:150983132-151017293</v>
      </c>
      <c r="F1351" t="s">
        <v>25</v>
      </c>
      <c r="G1351">
        <v>-0.47931624442998699</v>
      </c>
      <c r="H1351">
        <v>0.12573570521751901</v>
      </c>
      <c r="I1351">
        <v>-3.81209333976203</v>
      </c>
      <c r="J1351">
        <v>1.3779481858963599E-4</v>
      </c>
      <c r="K1351">
        <v>1.3702240278646101E-3</v>
      </c>
      <c r="L1351" t="s">
        <v>26</v>
      </c>
      <c r="M1351" t="s">
        <v>27</v>
      </c>
      <c r="N1351">
        <v>666.55673861660603</v>
      </c>
      <c r="O1351">
        <v>803.20647265767798</v>
      </c>
      <c r="P1351">
        <v>564.06943808580104</v>
      </c>
      <c r="Q1351">
        <v>763.36258057384896</v>
      </c>
      <c r="R1351">
        <v>874.18258171040895</v>
      </c>
      <c r="S1351">
        <v>772.07425568877704</v>
      </c>
      <c r="T1351">
        <v>458.295471558126</v>
      </c>
      <c r="U1351">
        <v>603.83440233972101</v>
      </c>
      <c r="V1351">
        <v>562.03936864755201</v>
      </c>
      <c r="W1351">
        <v>632.10850979780696</v>
      </c>
    </row>
    <row r="1352" spans="1:23" x14ac:dyDescent="0.2">
      <c r="A1352" t="s">
        <v>2713</v>
      </c>
      <c r="B1352" s="3" t="str">
        <f>HYPERLINK("http://www.ncbi.nlm.nih.gov/gene/13627","Eef1a1")</f>
        <v>Eef1a1</v>
      </c>
      <c r="C1352">
        <v>13627</v>
      </c>
      <c r="D1352" t="s">
        <v>2714</v>
      </c>
      <c r="E1352" s="3" t="str">
        <f>HYPERLINK("http://genome.ucsc.edu/cgi-bin/hgTracks?db=mm10&amp;lastVirtModeType=default&amp;lastVirtModeExtraState=&amp;virtModeType=default&amp;virtMode=0&amp;nonVirtPosition=&amp;position=chr9:78478453-78481724","chr9:78478453-78481724")</f>
        <v>chr9:78478453-78481724</v>
      </c>
      <c r="F1352" t="s">
        <v>25</v>
      </c>
      <c r="G1352">
        <v>-0.52610058816398697</v>
      </c>
      <c r="H1352">
        <v>0.138010651003909</v>
      </c>
      <c r="I1352">
        <v>-3.8120288857204798</v>
      </c>
      <c r="J1352">
        <v>1.37830764359169E-4</v>
      </c>
      <c r="K1352">
        <v>1.3702240278646101E-3</v>
      </c>
      <c r="L1352" t="s">
        <v>26</v>
      </c>
      <c r="M1352" t="s">
        <v>27</v>
      </c>
      <c r="N1352">
        <v>5628.0917106401103</v>
      </c>
      <c r="O1352">
        <v>6857.4057055163503</v>
      </c>
      <c r="P1352">
        <v>4706.1062144829302</v>
      </c>
      <c r="Q1352">
        <v>5805.6758772016901</v>
      </c>
      <c r="R1352">
        <v>6929.3665728550504</v>
      </c>
      <c r="S1352">
        <v>7837.1746664923103</v>
      </c>
      <c r="T1352">
        <v>4514.2103948475396</v>
      </c>
      <c r="U1352">
        <v>4978.4219341838698</v>
      </c>
      <c r="V1352">
        <v>4845.0147669015396</v>
      </c>
      <c r="W1352">
        <v>4486.7777619987701</v>
      </c>
    </row>
    <row r="1353" spans="1:23" x14ac:dyDescent="0.2">
      <c r="A1353" t="s">
        <v>2715</v>
      </c>
      <c r="B1353" s="3" t="str">
        <f>HYPERLINK("http://www.ncbi.nlm.nih.gov/gene/58234","Shank3")</f>
        <v>Shank3</v>
      </c>
      <c r="C1353">
        <v>58234</v>
      </c>
      <c r="D1353" t="s">
        <v>2716</v>
      </c>
      <c r="E1353" s="3" t="str">
        <f>HYPERLINK("http://genome.ucsc.edu/cgi-bin/hgTracks?db=mm10&amp;lastVirtModeType=default&amp;lastVirtModeExtraState=&amp;virtModeType=default&amp;virtMode=0&amp;nonVirtPosition=&amp;position=chr15:89499856-89560260","chr15:89499856-89560260")</f>
        <v>chr15:89499856-89560260</v>
      </c>
      <c r="F1353" t="s">
        <v>30</v>
      </c>
      <c r="G1353">
        <v>0.63156338644538901</v>
      </c>
      <c r="H1353">
        <v>0.16572185685053401</v>
      </c>
      <c r="I1353">
        <v>3.8109842506471701</v>
      </c>
      <c r="J1353">
        <v>1.3841458643575901E-4</v>
      </c>
      <c r="K1353">
        <v>1.37500721584663E-3</v>
      </c>
      <c r="L1353" t="s">
        <v>26</v>
      </c>
      <c r="M1353" t="s">
        <v>27</v>
      </c>
      <c r="N1353">
        <v>196.29303886264401</v>
      </c>
      <c r="O1353">
        <v>145.67750591415</v>
      </c>
      <c r="P1353">
        <v>234.25468857401299</v>
      </c>
      <c r="Q1353">
        <v>130.84624831134499</v>
      </c>
      <c r="R1353">
        <v>150.943456625051</v>
      </c>
      <c r="S1353">
        <v>155.24281280605399</v>
      </c>
      <c r="T1353">
        <v>238.31364521022601</v>
      </c>
      <c r="U1353">
        <v>284.787147202776</v>
      </c>
      <c r="V1353">
        <v>186.12036684271001</v>
      </c>
      <c r="W1353">
        <v>227.797595040342</v>
      </c>
    </row>
    <row r="1354" spans="1:23" x14ac:dyDescent="0.2">
      <c r="A1354" t="s">
        <v>2717</v>
      </c>
      <c r="B1354" s="3" t="str">
        <f>HYPERLINK("http://www.ncbi.nlm.nih.gov/gene/69035","Zdhhc3")</f>
        <v>Zdhhc3</v>
      </c>
      <c r="C1354">
        <v>69035</v>
      </c>
      <c r="D1354" t="s">
        <v>2718</v>
      </c>
      <c r="E1354" s="3" t="str">
        <f>HYPERLINK("http://genome.ucsc.edu/cgi-bin/hgTracks?db=mm10&amp;lastVirtModeType=default&amp;lastVirtModeExtraState=&amp;virtModeType=default&amp;virtMode=0&amp;nonVirtPosition=&amp;position=chr9:123072309-123113205","chr9:123072309-123113205")</f>
        <v>chr9:123072309-123113205</v>
      </c>
      <c r="F1354" t="s">
        <v>25</v>
      </c>
      <c r="G1354">
        <v>-0.50736290261456696</v>
      </c>
      <c r="H1354">
        <v>0.13315979857093099</v>
      </c>
      <c r="I1354">
        <v>-3.8101807607069</v>
      </c>
      <c r="J1354">
        <v>1.3886522221975999E-4</v>
      </c>
      <c r="K1354">
        <v>1.3784612236803599E-3</v>
      </c>
      <c r="L1354" t="s">
        <v>26</v>
      </c>
      <c r="M1354" t="s">
        <v>27</v>
      </c>
      <c r="N1354">
        <v>453.40451621062698</v>
      </c>
      <c r="O1354">
        <v>551.998453487657</v>
      </c>
      <c r="P1354">
        <v>379.45906325285398</v>
      </c>
      <c r="Q1354">
        <v>526.16895597540997</v>
      </c>
      <c r="R1354">
        <v>568.88237421501697</v>
      </c>
      <c r="S1354">
        <v>560.94403027254305</v>
      </c>
      <c r="T1354">
        <v>311.64092065952599</v>
      </c>
      <c r="U1354">
        <v>447.52265989007702</v>
      </c>
      <c r="V1354">
        <v>416.37995111847403</v>
      </c>
      <c r="W1354">
        <v>342.29272134334099</v>
      </c>
    </row>
    <row r="1355" spans="1:23" x14ac:dyDescent="0.2">
      <c r="A1355" t="s">
        <v>2719</v>
      </c>
      <c r="B1355" s="3" t="str">
        <f>HYPERLINK("http://www.ncbi.nlm.nih.gov/gene/85031","Pla1a")</f>
        <v>Pla1a</v>
      </c>
      <c r="C1355">
        <v>85031</v>
      </c>
      <c r="D1355" t="s">
        <v>2720</v>
      </c>
      <c r="E1355" s="3" t="str">
        <f>HYPERLINK("http://genome.ucsc.edu/cgi-bin/hgTracks?db=mm10&amp;lastVirtModeType=default&amp;lastVirtModeExtraState=&amp;virtModeType=default&amp;virtMode=0&amp;nonVirtPosition=&amp;position=chr16:38396116-38433145","chr16:38396116-38433145")</f>
        <v>chr16:38396116-38433145</v>
      </c>
      <c r="F1355" t="s">
        <v>25</v>
      </c>
      <c r="G1355">
        <v>-1.3985588537074001</v>
      </c>
      <c r="H1355">
        <v>0.36708759995277901</v>
      </c>
      <c r="I1355">
        <v>-3.80987768011587</v>
      </c>
      <c r="J1355">
        <v>1.3903556306384701E-4</v>
      </c>
      <c r="K1355">
        <v>1.37912979628739E-3</v>
      </c>
      <c r="L1355" t="s">
        <v>26</v>
      </c>
      <c r="M1355" t="s">
        <v>27</v>
      </c>
      <c r="N1355">
        <v>20.37375977984</v>
      </c>
      <c r="O1355">
        <v>37.688389552725901</v>
      </c>
      <c r="P1355">
        <v>7.3877874501755096</v>
      </c>
      <c r="Q1355">
        <v>47.327366410486597</v>
      </c>
      <c r="R1355">
        <v>26.927099046177499</v>
      </c>
      <c r="S1355">
        <v>38.810703201513597</v>
      </c>
      <c r="T1355">
        <v>0</v>
      </c>
      <c r="U1355">
        <v>4.2825134917710699</v>
      </c>
      <c r="V1355">
        <v>16.920033349337299</v>
      </c>
      <c r="W1355">
        <v>8.3486029595936806</v>
      </c>
    </row>
    <row r="1356" spans="1:23" x14ac:dyDescent="0.2">
      <c r="A1356" t="s">
        <v>2721</v>
      </c>
      <c r="B1356" s="3" t="str">
        <f>HYPERLINK("http://www.ncbi.nlm.nih.gov/gene/192160","Casc3")</f>
        <v>Casc3</v>
      </c>
      <c r="C1356">
        <v>192160</v>
      </c>
      <c r="D1356" t="s">
        <v>2722</v>
      </c>
      <c r="E1356" s="3" t="str">
        <f>HYPERLINK("http://genome.ucsc.edu/cgi-bin/hgTracks?db=mm10&amp;lastVirtModeType=default&amp;lastVirtModeExtraState=&amp;virtModeType=default&amp;virtMode=0&amp;nonVirtPosition=&amp;position=chr11:98809807-98833807","chr11:98809807-98833807")</f>
        <v>chr11:98809807-98833807</v>
      </c>
      <c r="F1356" t="s">
        <v>30</v>
      </c>
      <c r="G1356">
        <v>0.45689681246946701</v>
      </c>
      <c r="H1356">
        <v>0.119939307406335</v>
      </c>
      <c r="I1356">
        <v>3.8094001236940098</v>
      </c>
      <c r="J1356">
        <v>1.39304364267683E-4</v>
      </c>
      <c r="K1356">
        <v>1.38077331007295E-3</v>
      </c>
      <c r="L1356" t="s">
        <v>26</v>
      </c>
      <c r="M1356" t="s">
        <v>27</v>
      </c>
      <c r="N1356">
        <v>310.37464907287301</v>
      </c>
      <c r="O1356">
        <v>253.02741967850599</v>
      </c>
      <c r="P1356">
        <v>353.385071118648</v>
      </c>
      <c r="Q1356">
        <v>245.545512788525</v>
      </c>
      <c r="R1356">
        <v>240.82687175102399</v>
      </c>
      <c r="S1356">
        <v>272.70987449596902</v>
      </c>
      <c r="T1356">
        <v>394.13410553998898</v>
      </c>
      <c r="U1356">
        <v>325.47102537460103</v>
      </c>
      <c r="V1356">
        <v>351.64243221666197</v>
      </c>
      <c r="W1356">
        <v>342.29272134334099</v>
      </c>
    </row>
    <row r="1357" spans="1:23" x14ac:dyDescent="0.2">
      <c r="A1357" t="s">
        <v>2723</v>
      </c>
      <c r="B1357" s="3" t="str">
        <f>HYPERLINK("http://www.ncbi.nlm.nih.gov/gene/56443","Arpc1a")</f>
        <v>Arpc1a</v>
      </c>
      <c r="C1357">
        <v>56443</v>
      </c>
      <c r="D1357" t="s">
        <v>2724</v>
      </c>
      <c r="E1357" s="3" t="str">
        <f>HYPERLINK("http://genome.ucsc.edu/cgi-bin/hgTracks?db=mm10&amp;lastVirtModeType=default&amp;lastVirtModeExtraState=&amp;virtModeType=default&amp;virtMode=0&amp;nonVirtPosition=&amp;position=chr5:145083868-145108756","chr5:145083868-145108756")</f>
        <v>chr5:145083868-145108756</v>
      </c>
      <c r="F1357" t="s">
        <v>30</v>
      </c>
      <c r="G1357">
        <v>-0.54217186875188905</v>
      </c>
      <c r="H1357">
        <v>0.14233677488791899</v>
      </c>
      <c r="I1357">
        <v>-3.8090779363155698</v>
      </c>
      <c r="J1357">
        <v>1.39485989661077E-4</v>
      </c>
      <c r="K1357">
        <v>1.38155095233098E-3</v>
      </c>
      <c r="L1357" t="s">
        <v>26</v>
      </c>
      <c r="M1357" t="s">
        <v>27</v>
      </c>
      <c r="N1357">
        <v>712.86253103100501</v>
      </c>
      <c r="O1357">
        <v>879.27594352530298</v>
      </c>
      <c r="P1357">
        <v>588.05247166028198</v>
      </c>
      <c r="Q1357">
        <v>858.57410594082796</v>
      </c>
      <c r="R1357">
        <v>807.43371646918104</v>
      </c>
      <c r="S1357">
        <v>971.82000816590005</v>
      </c>
      <c r="T1357">
        <v>467.46138098928901</v>
      </c>
      <c r="U1357">
        <v>631.67074003623304</v>
      </c>
      <c r="V1357">
        <v>693.721367322829</v>
      </c>
      <c r="W1357">
        <v>559.35639829277602</v>
      </c>
    </row>
    <row r="1358" spans="1:23" x14ac:dyDescent="0.2">
      <c r="A1358" t="s">
        <v>2725</v>
      </c>
      <c r="B1358" s="3" t="str">
        <f>HYPERLINK("http://www.ncbi.nlm.nih.gov/gene/14360","Fyn")</f>
        <v>Fyn</v>
      </c>
      <c r="C1358">
        <v>14360</v>
      </c>
      <c r="D1358" t="s">
        <v>2726</v>
      </c>
      <c r="E1358" s="3" t="str">
        <f>HYPERLINK("http://genome.ucsc.edu/cgi-bin/hgTracks?db=mm10&amp;lastVirtModeType=default&amp;lastVirtModeExtraState=&amp;virtModeType=default&amp;virtMode=0&amp;nonVirtPosition=&amp;position=chr10:39369798-39565374","chr10:39369798-39565374")</f>
        <v>chr10:39369798-39565374</v>
      </c>
      <c r="F1358" t="s">
        <v>30</v>
      </c>
      <c r="G1358">
        <v>-0.492513218415011</v>
      </c>
      <c r="H1358">
        <v>0.129312237793902</v>
      </c>
      <c r="I1358">
        <v>-3.8087131335549298</v>
      </c>
      <c r="J1358">
        <v>1.3969190770177201E-4</v>
      </c>
      <c r="K1358">
        <v>1.3820638199635801E-3</v>
      </c>
      <c r="L1358" t="s">
        <v>26</v>
      </c>
      <c r="M1358" t="s">
        <v>27</v>
      </c>
      <c r="N1358">
        <v>1729.5628061550401</v>
      </c>
      <c r="O1358">
        <v>2082.9020924752999</v>
      </c>
      <c r="P1358">
        <v>1464.55834141485</v>
      </c>
      <c r="Q1358">
        <v>1785.07690249435</v>
      </c>
      <c r="R1358">
        <v>2211.0561611157</v>
      </c>
      <c r="S1358">
        <v>2252.5732138158501</v>
      </c>
      <c r="T1358">
        <v>1416.1330071146101</v>
      </c>
      <c r="U1358">
        <v>1492.45595188222</v>
      </c>
      <c r="V1358">
        <v>1625.7945087841499</v>
      </c>
      <c r="W1358">
        <v>1323.8498978784301</v>
      </c>
    </row>
    <row r="1359" spans="1:23" x14ac:dyDescent="0.2">
      <c r="A1359" t="s">
        <v>2727</v>
      </c>
      <c r="B1359" s="3" t="str">
        <f>HYPERLINK("http://www.ncbi.nlm.nih.gov/gene/216440","Os9")</f>
        <v>Os9</v>
      </c>
      <c r="C1359">
        <v>216440</v>
      </c>
      <c r="D1359" t="s">
        <v>2728</v>
      </c>
      <c r="E1359" s="3" t="str">
        <f>HYPERLINK("http://genome.ucsc.edu/cgi-bin/hgTracks?db=mm10&amp;lastVirtModeType=default&amp;lastVirtModeExtraState=&amp;virtModeType=default&amp;virtMode=0&amp;nonVirtPosition=&amp;position=chr10:127094258-127121160","chr10:127094258-127121160")</f>
        <v>chr10:127094258-127121160</v>
      </c>
      <c r="F1359" t="s">
        <v>25</v>
      </c>
      <c r="G1359">
        <v>-0.61332870891253499</v>
      </c>
      <c r="H1359">
        <v>0.16103696691372199</v>
      </c>
      <c r="I1359">
        <v>-3.8086205960469699</v>
      </c>
      <c r="J1359">
        <v>1.3974418730719801E-4</v>
      </c>
      <c r="K1359">
        <v>1.3820638199635801E-3</v>
      </c>
      <c r="L1359" t="s">
        <v>26</v>
      </c>
      <c r="M1359" t="s">
        <v>27</v>
      </c>
      <c r="N1359">
        <v>638.66140561302404</v>
      </c>
      <c r="O1359">
        <v>807.73478793159995</v>
      </c>
      <c r="P1359">
        <v>511.856368874091</v>
      </c>
      <c r="Q1359">
        <v>1002.78337535631</v>
      </c>
      <c r="R1359">
        <v>717.17104642706499</v>
      </c>
      <c r="S1359">
        <v>703.24994201142601</v>
      </c>
      <c r="T1359">
        <v>421.63183383347598</v>
      </c>
      <c r="U1359">
        <v>501.05407853721499</v>
      </c>
      <c r="V1359">
        <v>579.69505562077302</v>
      </c>
      <c r="W1359">
        <v>545.04450750490196</v>
      </c>
    </row>
    <row r="1360" spans="1:23" x14ac:dyDescent="0.2">
      <c r="A1360" t="s">
        <v>2729</v>
      </c>
      <c r="B1360" s="3" t="str">
        <f>HYPERLINK("http://www.ncbi.nlm.nih.gov/gene/54637","Praf2")</f>
        <v>Praf2</v>
      </c>
      <c r="C1360">
        <v>54637</v>
      </c>
      <c r="D1360" t="s">
        <v>2730</v>
      </c>
      <c r="E1360" s="3" t="str">
        <f>HYPERLINK("http://genome.ucsc.edu/cgi-bin/hgTracks?db=mm10&amp;lastVirtModeType=default&amp;lastVirtModeExtraState=&amp;virtModeType=default&amp;virtMode=0&amp;nonVirtPosition=&amp;position=chrX:7728570-7731063","chrX:7728570-7731063")</f>
        <v>chrX:7728570-7731063</v>
      </c>
      <c r="F1360" t="s">
        <v>30</v>
      </c>
      <c r="G1360">
        <v>-0.75993801678030104</v>
      </c>
      <c r="H1360">
        <v>0.19960631116835201</v>
      </c>
      <c r="I1360">
        <v>-3.8071843136229901</v>
      </c>
      <c r="J1360">
        <v>1.40557989994977E-4</v>
      </c>
      <c r="K1360">
        <v>1.3890863793525701E-3</v>
      </c>
      <c r="L1360" t="s">
        <v>26</v>
      </c>
      <c r="M1360" t="s">
        <v>27</v>
      </c>
      <c r="N1360">
        <v>94.784219589215397</v>
      </c>
      <c r="O1360">
        <v>125.659877065693</v>
      </c>
      <c r="P1360">
        <v>71.6274764818573</v>
      </c>
      <c r="Q1360">
        <v>130.28945576533999</v>
      </c>
      <c r="R1360">
        <v>128.18816165645001</v>
      </c>
      <c r="S1360">
        <v>118.50201377528801</v>
      </c>
      <c r="T1360">
        <v>73.327275449300203</v>
      </c>
      <c r="U1360">
        <v>79.2264995977648</v>
      </c>
      <c r="V1360">
        <v>83.864513122802194</v>
      </c>
      <c r="W1360">
        <v>50.091617757562098</v>
      </c>
    </row>
    <row r="1361" spans="1:23" x14ac:dyDescent="0.2">
      <c r="A1361" t="s">
        <v>2731</v>
      </c>
      <c r="B1361" s="3" t="str">
        <f>HYPERLINK("http://www.ncbi.nlm.nih.gov/gene/58227","Fam184b")</f>
        <v>Fam184b</v>
      </c>
      <c r="C1361">
        <v>58227</v>
      </c>
      <c r="D1361" t="s">
        <v>2732</v>
      </c>
      <c r="E1361" s="3" t="str">
        <f>HYPERLINK("http://genome.ucsc.edu/cgi-bin/hgTracks?db=mm10&amp;lastVirtModeType=default&amp;lastVirtModeExtraState=&amp;virtModeType=default&amp;virtMode=0&amp;nonVirtPosition=&amp;position=chr5:45529704-45639501","chr5:45529704-45639501")</f>
        <v>chr5:45529704-45639501</v>
      </c>
      <c r="F1361" t="s">
        <v>25</v>
      </c>
      <c r="G1361">
        <v>0.63535231112082802</v>
      </c>
      <c r="H1361">
        <v>0.16708917498582801</v>
      </c>
      <c r="I1361">
        <v>3.8024744043096699</v>
      </c>
      <c r="J1361">
        <v>1.4325807109931399E-4</v>
      </c>
      <c r="K1361">
        <v>1.41472627587825E-3</v>
      </c>
      <c r="L1361" t="s">
        <v>26</v>
      </c>
      <c r="M1361" t="s">
        <v>27</v>
      </c>
      <c r="N1361">
        <v>274.70545501456797</v>
      </c>
      <c r="O1361">
        <v>206.59150748725301</v>
      </c>
      <c r="P1361">
        <v>325.79091566005502</v>
      </c>
      <c r="Q1361">
        <v>221.04664076427301</v>
      </c>
      <c r="R1361">
        <v>237.79283242187699</v>
      </c>
      <c r="S1361">
        <v>160.93504927561</v>
      </c>
      <c r="T1361">
        <v>284.14319236603802</v>
      </c>
      <c r="U1361">
        <v>374.71993052996902</v>
      </c>
      <c r="V1361">
        <v>350.90677859277798</v>
      </c>
      <c r="W1361">
        <v>293.393761151435</v>
      </c>
    </row>
    <row r="1362" spans="1:23" x14ac:dyDescent="0.2">
      <c r="A1362" t="s">
        <v>2733</v>
      </c>
      <c r="B1362" s="3" t="str">
        <f>HYPERLINK("http://www.ncbi.nlm.nih.gov/gene/20620","Plk2")</f>
        <v>Plk2</v>
      </c>
      <c r="C1362">
        <v>20620</v>
      </c>
      <c r="D1362" t="s">
        <v>2734</v>
      </c>
      <c r="E1362" s="3" t="str">
        <f>HYPERLINK("http://genome.ucsc.edu/cgi-bin/hgTracks?db=mm10&amp;lastVirtModeType=default&amp;lastVirtModeExtraState=&amp;virtModeType=default&amp;virtMode=0&amp;nonVirtPosition=&amp;position=chr13:110395043-110400843","chr13:110395043-110400843")</f>
        <v>chr13:110395043-110400843</v>
      </c>
      <c r="F1362" t="s">
        <v>30</v>
      </c>
      <c r="G1362">
        <v>-0.86249332447720495</v>
      </c>
      <c r="H1362">
        <v>0.226859722885149</v>
      </c>
      <c r="I1362">
        <v>-3.80187947648096</v>
      </c>
      <c r="J1362">
        <v>1.43602583292485E-4</v>
      </c>
      <c r="K1362">
        <v>1.41708341405281E-3</v>
      </c>
      <c r="L1362" t="s">
        <v>26</v>
      </c>
      <c r="M1362" t="s">
        <v>27</v>
      </c>
      <c r="N1362">
        <v>968.04704560894402</v>
      </c>
      <c r="O1362">
        <v>1337.2706623679101</v>
      </c>
      <c r="P1362">
        <v>691.12933303972102</v>
      </c>
      <c r="Q1362">
        <v>767.81692094189498</v>
      </c>
      <c r="R1362">
        <v>1598.9387264603399</v>
      </c>
      <c r="S1362">
        <v>1645.0563397014901</v>
      </c>
      <c r="T1362">
        <v>513.29092814510102</v>
      </c>
      <c r="U1362">
        <v>792.26499597764803</v>
      </c>
      <c r="V1362">
        <v>738.59623837976699</v>
      </c>
      <c r="W1362">
        <v>720.36516965636895</v>
      </c>
    </row>
    <row r="1363" spans="1:23" x14ac:dyDescent="0.2">
      <c r="A1363" t="s">
        <v>2735</v>
      </c>
      <c r="B1363" s="3" t="str">
        <f>HYPERLINK("http://www.ncbi.nlm.nih.gov/gene/56392","Shoc2")</f>
        <v>Shoc2</v>
      </c>
      <c r="C1363">
        <v>56392</v>
      </c>
      <c r="D1363" t="s">
        <v>2736</v>
      </c>
      <c r="E1363" s="3" t="str">
        <f>HYPERLINK("http://genome.ucsc.edu/cgi-bin/hgTracks?db=mm10&amp;lastVirtModeType=default&amp;lastVirtModeExtraState=&amp;virtModeType=default&amp;virtMode=0&amp;nonVirtPosition=&amp;position=chr19:53944875-54033278","chr19:53944875-54033278")</f>
        <v>chr19:53944875-54033278</v>
      </c>
      <c r="F1363" t="s">
        <v>30</v>
      </c>
      <c r="G1363">
        <v>-0.51736380428031803</v>
      </c>
      <c r="H1363">
        <v>0.13610952031364501</v>
      </c>
      <c r="I1363">
        <v>-3.8010846198570598</v>
      </c>
      <c r="J1363">
        <v>1.44064088413461E-4</v>
      </c>
      <c r="K1363">
        <v>1.4198851559644699E-3</v>
      </c>
      <c r="L1363" t="s">
        <v>26</v>
      </c>
      <c r="M1363" t="s">
        <v>27</v>
      </c>
      <c r="N1363">
        <v>252.44457903724799</v>
      </c>
      <c r="O1363">
        <v>308.81201907170203</v>
      </c>
      <c r="P1363">
        <v>210.16899901140701</v>
      </c>
      <c r="Q1363">
        <v>307.90627794116602</v>
      </c>
      <c r="R1363">
        <v>331.84805162542699</v>
      </c>
      <c r="S1363">
        <v>286.68172764851403</v>
      </c>
      <c r="T1363">
        <v>197.06705276999401</v>
      </c>
      <c r="U1363">
        <v>203.419390859126</v>
      </c>
      <c r="V1363">
        <v>239.82308138625899</v>
      </c>
      <c r="W1363">
        <v>200.36647103024799</v>
      </c>
    </row>
    <row r="1364" spans="1:23" x14ac:dyDescent="0.2">
      <c r="A1364" t="s">
        <v>2737</v>
      </c>
      <c r="B1364" s="3" t="str">
        <f>HYPERLINK("http://www.ncbi.nlm.nih.gov/gene/56736","Rnf14")</f>
        <v>Rnf14</v>
      </c>
      <c r="C1364">
        <v>56736</v>
      </c>
      <c r="D1364" t="s">
        <v>2738</v>
      </c>
      <c r="E1364" s="3" t="str">
        <f>HYPERLINK("http://genome.ucsc.edu/cgi-bin/hgTracks?db=mm10&amp;lastVirtModeType=default&amp;lastVirtModeExtraState=&amp;virtModeType=default&amp;virtMode=0&amp;nonVirtPosition=&amp;position=chr18:38296634-38317849","chr18:38296634-38317849")</f>
        <v>chr18:38296634-38317849</v>
      </c>
      <c r="F1364" t="s">
        <v>30</v>
      </c>
      <c r="G1364">
        <v>-0.44517340722288401</v>
      </c>
      <c r="H1364">
        <v>0.117119295043116</v>
      </c>
      <c r="I1364">
        <v>-3.8010253311292499</v>
      </c>
      <c r="J1364">
        <v>1.44098568214152E-4</v>
      </c>
      <c r="K1364">
        <v>1.4198851559644699E-3</v>
      </c>
      <c r="L1364" t="s">
        <v>26</v>
      </c>
      <c r="M1364" t="s">
        <v>27</v>
      </c>
      <c r="N1364">
        <v>538.15982443235396</v>
      </c>
      <c r="O1364">
        <v>639.66241768621796</v>
      </c>
      <c r="P1364">
        <v>462.03287949195499</v>
      </c>
      <c r="Q1364">
        <v>600.22236459417104</v>
      </c>
      <c r="R1364">
        <v>699.346065368327</v>
      </c>
      <c r="S1364">
        <v>619.41882309615698</v>
      </c>
      <c r="T1364">
        <v>426.21478854905803</v>
      </c>
      <c r="U1364">
        <v>460.37020036539002</v>
      </c>
      <c r="V1364">
        <v>508.336654104003</v>
      </c>
      <c r="W1364">
        <v>453.209874949371</v>
      </c>
    </row>
    <row r="1365" spans="1:23" x14ac:dyDescent="0.2">
      <c r="A1365" t="s">
        <v>2739</v>
      </c>
      <c r="B1365" s="3" t="str">
        <f>HYPERLINK("http://www.ncbi.nlm.nih.gov/gene/226518","Nmnat2")</f>
        <v>Nmnat2</v>
      </c>
      <c r="C1365">
        <v>226518</v>
      </c>
      <c r="D1365" t="s">
        <v>2740</v>
      </c>
      <c r="E1365" s="3" t="str">
        <f>HYPERLINK("http://genome.ucsc.edu/cgi-bin/hgTracks?db=mm10&amp;lastVirtModeType=default&amp;lastVirtModeExtraState=&amp;virtModeType=default&amp;virtMode=0&amp;nonVirtPosition=&amp;position=chr1:152955100-153119261","chr1:152955100-153119261")</f>
        <v>chr1:152955100-153119261</v>
      </c>
      <c r="F1365" t="s">
        <v>30</v>
      </c>
      <c r="G1365">
        <v>-0.58979238452557503</v>
      </c>
      <c r="H1365">
        <v>0.15523950811988799</v>
      </c>
      <c r="I1365">
        <v>-3.7992415182744099</v>
      </c>
      <c r="J1365">
        <v>1.4513959946819499E-4</v>
      </c>
      <c r="K1365">
        <v>1.4282173133710601E-3</v>
      </c>
      <c r="L1365" t="s">
        <v>26</v>
      </c>
      <c r="M1365" t="s">
        <v>27</v>
      </c>
      <c r="N1365">
        <v>1123.41963674571</v>
      </c>
      <c r="O1365">
        <v>1399.2358070027999</v>
      </c>
      <c r="P1365">
        <v>916.55750905289506</v>
      </c>
      <c r="Q1365">
        <v>1668.7072603791601</v>
      </c>
      <c r="R1365">
        <v>1337.2528343214301</v>
      </c>
      <c r="S1365">
        <v>1191.74732630781</v>
      </c>
      <c r="T1365">
        <v>962.42049027206497</v>
      </c>
      <c r="U1365">
        <v>995.68438683677402</v>
      </c>
      <c r="V1365">
        <v>971.06278352718402</v>
      </c>
      <c r="W1365">
        <v>737.06237557555596</v>
      </c>
    </row>
    <row r="1366" spans="1:23" x14ac:dyDescent="0.2">
      <c r="A1366" t="s">
        <v>2741</v>
      </c>
      <c r="B1366" s="3" t="str">
        <f>HYPERLINK("http://www.ncbi.nlm.nih.gov/gene/210544","Tbc1d31")</f>
        <v>Tbc1d31</v>
      </c>
      <c r="C1366">
        <v>210544</v>
      </c>
      <c r="D1366" t="s">
        <v>2742</v>
      </c>
      <c r="E1366" s="3" t="str">
        <f>HYPERLINK("http://genome.ucsc.edu/cgi-bin/hgTracks?db=mm10&amp;lastVirtModeType=default&amp;lastVirtModeExtraState=&amp;virtModeType=default&amp;virtMode=0&amp;nonVirtPosition=&amp;position=chr15:57912198-57970068","chr15:57912198-57970068")</f>
        <v>chr15:57912198-57970068</v>
      </c>
      <c r="F1366" t="s">
        <v>30</v>
      </c>
      <c r="G1366">
        <v>0.60465057841193504</v>
      </c>
      <c r="H1366">
        <v>0.159158731242871</v>
      </c>
      <c r="I1366">
        <v>3.7990412067890702</v>
      </c>
      <c r="J1366">
        <v>1.45256942317336E-4</v>
      </c>
      <c r="K1366">
        <v>1.4282173133710601E-3</v>
      </c>
      <c r="L1366" t="s">
        <v>26</v>
      </c>
      <c r="M1366" t="s">
        <v>27</v>
      </c>
      <c r="N1366">
        <v>118.847447686937</v>
      </c>
      <c r="O1366">
        <v>89.262854040650097</v>
      </c>
      <c r="P1366">
        <v>141.03589292165199</v>
      </c>
      <c r="Q1366">
        <v>83.518881900858702</v>
      </c>
      <c r="R1366">
        <v>92.158944622832706</v>
      </c>
      <c r="S1366">
        <v>92.110735598258898</v>
      </c>
      <c r="T1366">
        <v>151.237505614182</v>
      </c>
      <c r="U1366">
        <v>147.74671546610199</v>
      </c>
      <c r="V1366">
        <v>128.00373055585601</v>
      </c>
      <c r="W1366">
        <v>137.155620050468</v>
      </c>
    </row>
    <row r="1367" spans="1:23" x14ac:dyDescent="0.2">
      <c r="A1367" t="s">
        <v>2743</v>
      </c>
      <c r="B1367" s="3" t="str">
        <f>HYPERLINK("http://www.ncbi.nlm.nih.gov/gene/19896","Rpl10a")</f>
        <v>Rpl10a</v>
      </c>
      <c r="C1367">
        <v>19896</v>
      </c>
      <c r="D1367" t="s">
        <v>2744</v>
      </c>
      <c r="E1367" s="3" t="str">
        <f>HYPERLINK("http://genome.ucsc.edu/cgi-bin/hgTracks?db=mm10&amp;lastVirtModeType=default&amp;lastVirtModeExtraState=&amp;virtModeType=default&amp;virtMode=0&amp;nonVirtPosition=&amp;position=chr17:28328470-28331033","chr17:28328470-28331033")</f>
        <v>chr17:28328470-28331033</v>
      </c>
      <c r="F1367" t="s">
        <v>30</v>
      </c>
      <c r="G1367">
        <v>0.97646107660496995</v>
      </c>
      <c r="H1367">
        <v>0.25703424589886797</v>
      </c>
      <c r="I1367">
        <v>3.79895322193435</v>
      </c>
      <c r="J1367">
        <v>1.4530851224510901E-4</v>
      </c>
      <c r="K1367">
        <v>1.4282173133710601E-3</v>
      </c>
      <c r="L1367" t="s">
        <v>26</v>
      </c>
      <c r="M1367" t="s">
        <v>27</v>
      </c>
      <c r="N1367">
        <v>79.419213697289194</v>
      </c>
      <c r="O1367">
        <v>48.075449822183003</v>
      </c>
      <c r="P1367">
        <v>102.927036603619</v>
      </c>
      <c r="Q1367">
        <v>33.407552760343499</v>
      </c>
      <c r="R1367">
        <v>40.959530943481198</v>
      </c>
      <c r="S1367">
        <v>69.859265762724405</v>
      </c>
      <c r="T1367">
        <v>82.493184880462707</v>
      </c>
      <c r="U1367">
        <v>139.18168848255999</v>
      </c>
      <c r="V1367">
        <v>93.428010233297201</v>
      </c>
      <c r="W1367">
        <v>96.605262818155396</v>
      </c>
    </row>
    <row r="1368" spans="1:23" x14ac:dyDescent="0.2">
      <c r="A1368" t="s">
        <v>2745</v>
      </c>
      <c r="B1368" s="3" t="str">
        <f>HYPERLINK("http://www.ncbi.nlm.nih.gov/gene/241311","Zbtb34")</f>
        <v>Zbtb34</v>
      </c>
      <c r="C1368">
        <v>241311</v>
      </c>
      <c r="D1368" t="s">
        <v>2746</v>
      </c>
      <c r="E1368" s="3" t="str">
        <f>HYPERLINK("http://genome.ucsc.edu/cgi-bin/hgTracks?db=mm10&amp;lastVirtModeType=default&amp;lastVirtModeExtraState=&amp;virtModeType=default&amp;virtMode=0&amp;nonVirtPosition=&amp;position=chr2:33406107-33431324","chr2:33406107-33431324")</f>
        <v>chr2:33406107-33431324</v>
      </c>
      <c r="F1368" t="s">
        <v>25</v>
      </c>
      <c r="G1368">
        <v>0.77508769939733102</v>
      </c>
      <c r="H1368">
        <v>0.20403235417964599</v>
      </c>
      <c r="I1368">
        <v>3.7988470138166699</v>
      </c>
      <c r="J1368">
        <v>1.4537078620900201E-4</v>
      </c>
      <c r="K1368">
        <v>1.4282173133710601E-3</v>
      </c>
      <c r="L1368" t="s">
        <v>26</v>
      </c>
      <c r="M1368" t="s">
        <v>27</v>
      </c>
      <c r="N1368">
        <v>112.601785036713</v>
      </c>
      <c r="O1368">
        <v>78.804814491654696</v>
      </c>
      <c r="P1368">
        <v>137.94951294550799</v>
      </c>
      <c r="Q1368">
        <v>79.621334078818705</v>
      </c>
      <c r="R1368">
        <v>61.060041499078501</v>
      </c>
      <c r="S1368">
        <v>95.733067897066803</v>
      </c>
      <c r="T1368">
        <v>114.573867889532</v>
      </c>
      <c r="U1368">
        <v>162.735512687301</v>
      </c>
      <c r="V1368">
        <v>155.22291463957299</v>
      </c>
      <c r="W1368">
        <v>119.265756565624</v>
      </c>
    </row>
    <row r="1369" spans="1:23" x14ac:dyDescent="0.2">
      <c r="A1369" t="s">
        <v>2747</v>
      </c>
      <c r="B1369" s="3" t="str">
        <f>HYPERLINK("http://www.ncbi.nlm.nih.gov/gene/18195","Nsf")</f>
        <v>Nsf</v>
      </c>
      <c r="C1369">
        <v>18195</v>
      </c>
      <c r="D1369" t="s">
        <v>2748</v>
      </c>
      <c r="E1369" s="3" t="str">
        <f>HYPERLINK("http://genome.ucsc.edu/cgi-bin/hgTracks?db=mm10&amp;lastVirtModeType=default&amp;lastVirtModeExtraState=&amp;virtModeType=default&amp;virtMode=0&amp;nonVirtPosition=&amp;position=chr11:103821782-103954056","chr11:103821782-103954056")</f>
        <v>chr11:103821782-103954056</v>
      </c>
      <c r="F1369" t="s">
        <v>25</v>
      </c>
      <c r="G1369">
        <v>-0.60449082210803995</v>
      </c>
      <c r="H1369">
        <v>0.15913662380247601</v>
      </c>
      <c r="I1369">
        <v>-3.7985650798922799</v>
      </c>
      <c r="J1369">
        <v>1.4553621699377E-4</v>
      </c>
      <c r="K1369">
        <v>1.4287943414689E-3</v>
      </c>
      <c r="L1369" t="s">
        <v>26</v>
      </c>
      <c r="M1369" t="s">
        <v>27</v>
      </c>
      <c r="N1369">
        <v>518.05312739929104</v>
      </c>
      <c r="O1369">
        <v>650.80225256444396</v>
      </c>
      <c r="P1369">
        <v>418.49128352542601</v>
      </c>
      <c r="Q1369">
        <v>571.26915220187402</v>
      </c>
      <c r="R1369">
        <v>815.01881479204803</v>
      </c>
      <c r="S1369">
        <v>566.11879069941097</v>
      </c>
      <c r="T1369">
        <v>380.385241393245</v>
      </c>
      <c r="U1369">
        <v>421.82757893945001</v>
      </c>
      <c r="V1369">
        <v>399.45991776913701</v>
      </c>
      <c r="W1369">
        <v>472.29239599987102</v>
      </c>
    </row>
    <row r="1370" spans="1:23" x14ac:dyDescent="0.2">
      <c r="A1370" t="s">
        <v>2749</v>
      </c>
      <c r="B1370" s="3" t="str">
        <f>HYPERLINK("http://www.ncbi.nlm.nih.gov/gene/66975","Trappc13")</f>
        <v>Trappc13</v>
      </c>
      <c r="C1370">
        <v>66975</v>
      </c>
      <c r="D1370" t="s">
        <v>2750</v>
      </c>
      <c r="E1370" s="3" t="str">
        <f>HYPERLINK("http://genome.ucsc.edu/cgi-bin/hgTracks?db=mm10&amp;lastVirtModeType=default&amp;lastVirtModeExtraState=&amp;virtModeType=default&amp;virtMode=0&amp;nonVirtPosition=&amp;position=chr13:104142152-104178466","chr13:104142152-104178466")</f>
        <v>chr13:104142152-104178466</v>
      </c>
      <c r="F1370" t="s">
        <v>25</v>
      </c>
      <c r="G1370">
        <v>-0.42641753000324401</v>
      </c>
      <c r="H1370">
        <v>0.112296209115611</v>
      </c>
      <c r="I1370">
        <v>-3.7972566782217698</v>
      </c>
      <c r="J1370">
        <v>1.4630627275828101E-4</v>
      </c>
      <c r="K1370">
        <v>1.4345047579638001E-3</v>
      </c>
      <c r="L1370" t="s">
        <v>26</v>
      </c>
      <c r="M1370" t="s">
        <v>27</v>
      </c>
      <c r="N1370">
        <v>332.42858382927602</v>
      </c>
      <c r="O1370">
        <v>390.629697053538</v>
      </c>
      <c r="P1370">
        <v>288.77774891107902</v>
      </c>
      <c r="Q1370">
        <v>394.76591511805901</v>
      </c>
      <c r="R1370">
        <v>382.28895547249101</v>
      </c>
      <c r="S1370">
        <v>394.83422057006499</v>
      </c>
      <c r="T1370">
        <v>302.47501122836297</v>
      </c>
      <c r="U1370">
        <v>265.51583648980602</v>
      </c>
      <c r="V1370">
        <v>300.88233216865001</v>
      </c>
      <c r="W1370">
        <v>286.23781575749803</v>
      </c>
    </row>
    <row r="1371" spans="1:23" x14ac:dyDescent="0.2">
      <c r="A1371" t="s">
        <v>2751</v>
      </c>
      <c r="B1371" s="3" t="str">
        <f>HYPERLINK("http://www.ncbi.nlm.nih.gov/gene/233103","4931406P16Rik")</f>
        <v>4931406P16Rik</v>
      </c>
      <c r="C1371">
        <v>233103</v>
      </c>
      <c r="D1371" t="s">
        <v>2752</v>
      </c>
      <c r="E1371" s="3" t="str">
        <f>HYPERLINK("http://genome.ucsc.edu/cgi-bin/hgTracks?db=mm10&amp;lastVirtModeType=default&amp;lastVirtModeExtraState=&amp;virtModeType=default&amp;virtMode=0&amp;nonVirtPosition=&amp;position=chr7:34236713-34285609","chr7:34236713-34285609")</f>
        <v>chr7:34236713-34285609</v>
      </c>
      <c r="F1371" t="s">
        <v>25</v>
      </c>
      <c r="G1371">
        <v>-0.49929292267035702</v>
      </c>
      <c r="H1371">
        <v>0.13148931614051099</v>
      </c>
      <c r="I1371">
        <v>-3.7972128635668598</v>
      </c>
      <c r="J1371">
        <v>1.4633212600840501E-4</v>
      </c>
      <c r="K1371">
        <v>1.4345047579638001E-3</v>
      </c>
      <c r="L1371" t="s">
        <v>26</v>
      </c>
      <c r="M1371" t="s">
        <v>27</v>
      </c>
      <c r="N1371">
        <v>707.90770570474695</v>
      </c>
      <c r="O1371">
        <v>856.87705235037197</v>
      </c>
      <c r="P1371">
        <v>596.18069572052798</v>
      </c>
      <c r="Q1371">
        <v>876.94825995901704</v>
      </c>
      <c r="R1371">
        <v>832.08528601849798</v>
      </c>
      <c r="S1371">
        <v>861.597611073601</v>
      </c>
      <c r="T1371">
        <v>572.86933944765804</v>
      </c>
      <c r="U1371">
        <v>573.85680789732396</v>
      </c>
      <c r="V1371">
        <v>717.99793691100899</v>
      </c>
      <c r="W1371">
        <v>519.99869862612104</v>
      </c>
    </row>
    <row r="1372" spans="1:23" x14ac:dyDescent="0.2">
      <c r="A1372" t="s">
        <v>2753</v>
      </c>
      <c r="B1372" s="3" t="str">
        <f>HYPERLINK("http://www.ncbi.nlm.nih.gov/gene/320840","Negr1")</f>
        <v>Negr1</v>
      </c>
      <c r="C1372">
        <v>320840</v>
      </c>
      <c r="D1372" t="s">
        <v>2754</v>
      </c>
      <c r="E1372" s="3" t="str">
        <f>HYPERLINK("http://genome.ucsc.edu/cgi-bin/hgTracks?db=mm10&amp;lastVirtModeType=default&amp;lastVirtModeExtraState=&amp;virtModeType=default&amp;virtMode=0&amp;nonVirtPosition=&amp;position=chr3:156561793-157316464","chr3:156561793-157316464")</f>
        <v>chr3:156561793-157316464</v>
      </c>
      <c r="F1372" t="s">
        <v>30</v>
      </c>
      <c r="G1372">
        <v>-0.50256190459807804</v>
      </c>
      <c r="H1372">
        <v>0.13239722249282701</v>
      </c>
      <c r="I1372">
        <v>-3.7958644081472799</v>
      </c>
      <c r="J1372">
        <v>1.47129901499673E-4</v>
      </c>
      <c r="K1372">
        <v>1.4412703079605899E-3</v>
      </c>
      <c r="L1372" t="s">
        <v>26</v>
      </c>
      <c r="M1372" t="s">
        <v>27</v>
      </c>
      <c r="N1372">
        <v>660.88187495551301</v>
      </c>
      <c r="O1372">
        <v>800.277028028416</v>
      </c>
      <c r="P1372">
        <v>556.33551015083594</v>
      </c>
      <c r="Q1372">
        <v>806.79239916229596</v>
      </c>
      <c r="R1372">
        <v>910.97030857631398</v>
      </c>
      <c r="S1372">
        <v>683.06837634663896</v>
      </c>
      <c r="T1372">
        <v>527.03979229184495</v>
      </c>
      <c r="U1372">
        <v>524.60790274195597</v>
      </c>
      <c r="V1372">
        <v>564.24632951920501</v>
      </c>
      <c r="W1372">
        <v>609.44801605033899</v>
      </c>
    </row>
    <row r="1373" spans="1:23" x14ac:dyDescent="0.2">
      <c r="A1373" t="s">
        <v>2755</v>
      </c>
      <c r="B1373" s="3" t="str">
        <f>HYPERLINK("http://www.ncbi.nlm.nih.gov/gene/15251","Hif1a")</f>
        <v>Hif1a</v>
      </c>
      <c r="C1373">
        <v>15251</v>
      </c>
      <c r="D1373" t="s">
        <v>2756</v>
      </c>
      <c r="E1373" s="3" t="str">
        <f>HYPERLINK("http://genome.ucsc.edu/cgi-bin/hgTracks?db=mm10&amp;lastVirtModeType=default&amp;lastVirtModeExtraState=&amp;virtModeType=default&amp;virtMode=0&amp;nonVirtPosition=&amp;position=chr12:73907866-73947554","chr12:73907866-73947554")</f>
        <v>chr12:73907866-73947554</v>
      </c>
      <c r="F1373" t="s">
        <v>30</v>
      </c>
      <c r="G1373">
        <v>-0.39996897283218502</v>
      </c>
      <c r="H1373">
        <v>0.10542534024007399</v>
      </c>
      <c r="I1373">
        <v>-3.7938599194593801</v>
      </c>
      <c r="J1373">
        <v>1.48323372368688E-4</v>
      </c>
      <c r="K1373">
        <v>1.4518993270388101E-3</v>
      </c>
      <c r="L1373" t="s">
        <v>26</v>
      </c>
      <c r="M1373" t="s">
        <v>27</v>
      </c>
      <c r="N1373">
        <v>900.717541557819</v>
      </c>
      <c r="O1373">
        <v>1052.29261915541</v>
      </c>
      <c r="P1373">
        <v>787.03623335962504</v>
      </c>
      <c r="Q1373">
        <v>1026.72545483456</v>
      </c>
      <c r="R1373">
        <v>1126.7663558618799</v>
      </c>
      <c r="S1373">
        <v>1003.3860467698</v>
      </c>
      <c r="T1373">
        <v>714.94093563067702</v>
      </c>
      <c r="U1373">
        <v>777.27619875644905</v>
      </c>
      <c r="V1373">
        <v>815.10421526372704</v>
      </c>
      <c r="W1373">
        <v>840.823583787649</v>
      </c>
    </row>
    <row r="1374" spans="1:23" x14ac:dyDescent="0.2">
      <c r="A1374" t="s">
        <v>2757</v>
      </c>
      <c r="B1374" s="3" t="str">
        <f>HYPERLINK("http://www.ncbi.nlm.nih.gov/gene/56705","Ranbp9")</f>
        <v>Ranbp9</v>
      </c>
      <c r="C1374">
        <v>56705</v>
      </c>
      <c r="D1374" t="s">
        <v>2758</v>
      </c>
      <c r="E1374" s="3" t="str">
        <f>HYPERLINK("http://genome.ucsc.edu/cgi-bin/hgTracks?db=mm10&amp;lastVirtModeType=default&amp;lastVirtModeExtraState=&amp;virtModeType=default&amp;virtMode=0&amp;nonVirtPosition=&amp;position=chr13:43402672-43480973","chr13:43402672-43480973")</f>
        <v>chr13:43402672-43480973</v>
      </c>
      <c r="F1374" t="s">
        <v>25</v>
      </c>
      <c r="G1374">
        <v>-0.49943742368792798</v>
      </c>
      <c r="H1374">
        <v>0.131667881546528</v>
      </c>
      <c r="I1374">
        <v>-3.7931606236972799</v>
      </c>
      <c r="J1374">
        <v>1.4874187278444799E-4</v>
      </c>
      <c r="K1374">
        <v>1.4549323728681801E-3</v>
      </c>
      <c r="L1374" t="s">
        <v>26</v>
      </c>
      <c r="M1374" t="s">
        <v>27</v>
      </c>
      <c r="N1374">
        <v>560.73484317770999</v>
      </c>
      <c r="O1374">
        <v>678.79746075965795</v>
      </c>
      <c r="P1374">
        <v>472.18787999124999</v>
      </c>
      <c r="Q1374">
        <v>769.48729857991202</v>
      </c>
      <c r="R1374">
        <v>598.84351259034099</v>
      </c>
      <c r="S1374">
        <v>668.06157110872005</v>
      </c>
      <c r="T1374">
        <v>462.87842627370799</v>
      </c>
      <c r="U1374">
        <v>438.95763290653503</v>
      </c>
      <c r="V1374">
        <v>528.93495557276196</v>
      </c>
      <c r="W1374">
        <v>457.98050521199599</v>
      </c>
    </row>
    <row r="1375" spans="1:23" x14ac:dyDescent="0.2">
      <c r="A1375" t="s">
        <v>2759</v>
      </c>
      <c r="B1375" s="3" t="str">
        <f>HYPERLINK("http://www.ncbi.nlm.nih.gov/gene/20262","Stmn3")</f>
        <v>Stmn3</v>
      </c>
      <c r="C1375">
        <v>20262</v>
      </c>
      <c r="D1375" t="s">
        <v>2760</v>
      </c>
      <c r="E1375" s="3" t="str">
        <f>HYPERLINK("http://genome.ucsc.edu/cgi-bin/hgTracks?db=mm10&amp;lastVirtModeType=default&amp;lastVirtModeExtraState=&amp;virtModeType=default&amp;virtMode=0&amp;nonVirtPosition=&amp;position=chr2:181306458-181314500","chr2:181306458-181314500")</f>
        <v>chr2:181306458-181314500</v>
      </c>
      <c r="F1375" t="s">
        <v>25</v>
      </c>
      <c r="G1375">
        <v>-0.59334180034276596</v>
      </c>
      <c r="H1375">
        <v>0.15651276927458099</v>
      </c>
      <c r="I1375">
        <v>-3.7910120886163998</v>
      </c>
      <c r="J1375">
        <v>1.50034650647988E-4</v>
      </c>
      <c r="K1375">
        <v>1.46650657432643E-3</v>
      </c>
      <c r="L1375" t="s">
        <v>26</v>
      </c>
      <c r="M1375" t="s">
        <v>27</v>
      </c>
      <c r="N1375">
        <v>397.28461902626799</v>
      </c>
      <c r="O1375">
        <v>496.29460209778898</v>
      </c>
      <c r="P1375">
        <v>323.02713172262702</v>
      </c>
      <c r="Q1375">
        <v>494.43178085308398</v>
      </c>
      <c r="R1375">
        <v>515.78668595494901</v>
      </c>
      <c r="S1375">
        <v>478.66533948533402</v>
      </c>
      <c r="T1375">
        <v>274.97728293487597</v>
      </c>
      <c r="U1375">
        <v>404.69752497236601</v>
      </c>
      <c r="V1375">
        <v>258.21442198336501</v>
      </c>
      <c r="W1375">
        <v>354.21929699990301</v>
      </c>
    </row>
    <row r="1376" spans="1:23" x14ac:dyDescent="0.2">
      <c r="A1376" t="s">
        <v>2761</v>
      </c>
      <c r="B1376" s="3" t="str">
        <f>HYPERLINK("http://www.ncbi.nlm.nih.gov/gene/105663","Thtpa")</f>
        <v>Thtpa</v>
      </c>
      <c r="C1376">
        <v>105663</v>
      </c>
      <c r="D1376" t="s">
        <v>2762</v>
      </c>
      <c r="E1376" s="3" t="str">
        <f>HYPERLINK("http://genome.ucsc.edu/cgi-bin/hgTracks?db=mm10&amp;lastVirtModeType=default&amp;lastVirtModeExtraState=&amp;virtModeType=default&amp;virtMode=0&amp;nonVirtPosition=&amp;position=chr14:55094783-55098995","chr14:55094783-55098995")</f>
        <v>chr14:55094783-55098995</v>
      </c>
      <c r="F1376" t="s">
        <v>30</v>
      </c>
      <c r="G1376">
        <v>-0.66094566176286096</v>
      </c>
      <c r="H1376">
        <v>0.17443129006536501</v>
      </c>
      <c r="I1376">
        <v>-3.7891462106092502</v>
      </c>
      <c r="J1376">
        <v>1.5116592824231901E-4</v>
      </c>
      <c r="K1376">
        <v>1.4764864661509099E-3</v>
      </c>
      <c r="L1376" t="s">
        <v>26</v>
      </c>
      <c r="M1376" t="s">
        <v>27</v>
      </c>
      <c r="N1376">
        <v>96.643551298313596</v>
      </c>
      <c r="O1376">
        <v>122.24235502467199</v>
      </c>
      <c r="P1376">
        <v>77.444448503544507</v>
      </c>
      <c r="Q1376">
        <v>120.82398248324201</v>
      </c>
      <c r="R1376">
        <v>117.569024004437</v>
      </c>
      <c r="S1376">
        <v>128.33405858633799</v>
      </c>
      <c r="T1376">
        <v>87.076139596044001</v>
      </c>
      <c r="U1376">
        <v>79.2264995977648</v>
      </c>
      <c r="V1376">
        <v>74.301016012307201</v>
      </c>
      <c r="W1376">
        <v>69.174138808061898</v>
      </c>
    </row>
    <row r="1377" spans="1:23" x14ac:dyDescent="0.2">
      <c r="A1377" t="s">
        <v>2763</v>
      </c>
      <c r="B1377" s="3" t="str">
        <f>HYPERLINK("http://www.ncbi.nlm.nih.gov/gene/74525","Fam234b")</f>
        <v>Fam234b</v>
      </c>
      <c r="C1377">
        <v>74525</v>
      </c>
      <c r="D1377" t="s">
        <v>2764</v>
      </c>
      <c r="E1377" s="3" t="str">
        <f>HYPERLINK("http://genome.ucsc.edu/cgi-bin/hgTracks?db=mm10&amp;lastVirtModeType=default&amp;lastVirtModeExtraState=&amp;virtModeType=default&amp;virtMode=0&amp;nonVirtPosition=&amp;position=chr6:135197986-135236240","chr6:135197986-135236240")</f>
        <v>chr6:135197986-135236240</v>
      </c>
      <c r="F1377" t="s">
        <v>30</v>
      </c>
      <c r="G1377">
        <v>-0.38598693896471398</v>
      </c>
      <c r="H1377">
        <v>0.101879738955269</v>
      </c>
      <c r="I1377">
        <v>-3.7886526106450198</v>
      </c>
      <c r="J1377">
        <v>1.5146653714405699E-4</v>
      </c>
      <c r="K1377">
        <v>1.4783443140641899E-3</v>
      </c>
      <c r="L1377" t="s">
        <v>26</v>
      </c>
      <c r="M1377" t="s">
        <v>27</v>
      </c>
      <c r="N1377">
        <v>557.52068747259102</v>
      </c>
      <c r="O1377">
        <v>646.65996494104797</v>
      </c>
      <c r="P1377">
        <v>490.66622937124799</v>
      </c>
      <c r="Q1377">
        <v>656.45841174074997</v>
      </c>
      <c r="R1377">
        <v>618.56476822979505</v>
      </c>
      <c r="S1377">
        <v>664.95671485259902</v>
      </c>
      <c r="T1377">
        <v>462.87842627370799</v>
      </c>
      <c r="U1377">
        <v>524.60790274195597</v>
      </c>
      <c r="V1377">
        <v>492.15227437854998</v>
      </c>
      <c r="W1377">
        <v>483.02631409077702</v>
      </c>
    </row>
    <row r="1378" spans="1:23" x14ac:dyDescent="0.2">
      <c r="A1378" t="s">
        <v>2765</v>
      </c>
      <c r="B1378" s="3" t="str">
        <f>HYPERLINK("http://www.ncbi.nlm.nih.gov/gene/73344","1700034J05Rik")</f>
        <v>1700034J05Rik</v>
      </c>
      <c r="C1378">
        <v>73344</v>
      </c>
      <c r="D1378" t="s">
        <v>2766</v>
      </c>
      <c r="E1378" s="3" t="str">
        <f>HYPERLINK("http://genome.ucsc.edu/cgi-bin/hgTracks?db=mm10&amp;lastVirtModeType=default&amp;lastVirtModeExtraState=&amp;virtModeType=default&amp;virtMode=0&amp;nonVirtPosition=&amp;position=chr6:146951300-146954421","chr6:146951300-146954421")</f>
        <v>chr6:146951300-146954421</v>
      </c>
      <c r="F1378" t="s">
        <v>25</v>
      </c>
      <c r="G1378">
        <v>1.08133901765827</v>
      </c>
      <c r="H1378">
        <v>0.28544794680665198</v>
      </c>
      <c r="I1378">
        <v>3.7882178861518101</v>
      </c>
      <c r="J1378">
        <v>1.51731756090361E-4</v>
      </c>
      <c r="K1378">
        <v>1.4798542941049E-3</v>
      </c>
      <c r="L1378" t="s">
        <v>26</v>
      </c>
      <c r="M1378" t="s">
        <v>27</v>
      </c>
      <c r="N1378">
        <v>66.173191902366298</v>
      </c>
      <c r="O1378">
        <v>37.276001324698797</v>
      </c>
      <c r="P1378">
        <v>87.846084835617006</v>
      </c>
      <c r="Q1378">
        <v>47.327366410486597</v>
      </c>
      <c r="R1378">
        <v>18.962745807167199</v>
      </c>
      <c r="S1378">
        <v>45.537891756442598</v>
      </c>
      <c r="T1378">
        <v>77.910230164881497</v>
      </c>
      <c r="U1378">
        <v>81.367756343650299</v>
      </c>
      <c r="V1378">
        <v>116.96892619759301</v>
      </c>
      <c r="W1378">
        <v>75.137426636343093</v>
      </c>
    </row>
    <row r="1379" spans="1:23" x14ac:dyDescent="0.2">
      <c r="A1379" t="s">
        <v>2767</v>
      </c>
      <c r="B1379" s="3" t="str">
        <f>HYPERLINK("http://www.ncbi.nlm.nih.gov/gene/239528","Ago2")</f>
        <v>Ago2</v>
      </c>
      <c r="C1379">
        <v>239528</v>
      </c>
      <c r="D1379" t="s">
        <v>2768</v>
      </c>
      <c r="E1379" s="3" t="str">
        <f>HYPERLINK("http://genome.ucsc.edu/cgi-bin/hgTracks?db=mm10&amp;lastVirtModeType=default&amp;lastVirtModeExtraState=&amp;virtModeType=default&amp;virtMode=0&amp;nonVirtPosition=&amp;position=chr15:73101624-73184947","chr15:73101624-73184947")</f>
        <v>chr15:73101624-73184947</v>
      </c>
      <c r="F1379" t="s">
        <v>25</v>
      </c>
      <c r="G1379">
        <v>0.74010253496008904</v>
      </c>
      <c r="H1379">
        <v>0.19546806629164401</v>
      </c>
      <c r="I1379">
        <v>3.78630918595079</v>
      </c>
      <c r="J1379">
        <v>1.5290140765147499E-4</v>
      </c>
      <c r="K1379">
        <v>1.49017667384345E-3</v>
      </c>
      <c r="L1379" t="s">
        <v>26</v>
      </c>
      <c r="M1379" t="s">
        <v>27</v>
      </c>
      <c r="N1379">
        <v>1027.59541966901</v>
      </c>
      <c r="O1379">
        <v>725.74672958115696</v>
      </c>
      <c r="P1379">
        <v>1253.9819372349</v>
      </c>
      <c r="Q1379">
        <v>575.72349256992004</v>
      </c>
      <c r="R1379">
        <v>579.50151186703101</v>
      </c>
      <c r="S1379">
        <v>1022.01518430652</v>
      </c>
      <c r="T1379">
        <v>1141.15572417973</v>
      </c>
      <c r="U1379">
        <v>1443.20704672685</v>
      </c>
      <c r="V1379">
        <v>1267.53119395253</v>
      </c>
      <c r="W1379">
        <v>1164.03378408049</v>
      </c>
    </row>
    <row r="1380" spans="1:23" x14ac:dyDescent="0.2">
      <c r="A1380" t="s">
        <v>2769</v>
      </c>
      <c r="B1380" s="3" t="str">
        <f>HYPERLINK("http://www.ncbi.nlm.nih.gov/gene/353156","Egfl7")</f>
        <v>Egfl7</v>
      </c>
      <c r="C1380">
        <v>353156</v>
      </c>
      <c r="D1380" t="s">
        <v>2770</v>
      </c>
      <c r="E1380" s="3" t="str">
        <f>HYPERLINK("http://genome.ucsc.edu/cgi-bin/hgTracks?db=mm10&amp;lastVirtModeType=default&amp;lastVirtModeExtraState=&amp;virtModeType=default&amp;virtMode=0&amp;nonVirtPosition=&amp;position=chr2:26583863-26592682","chr2:26583863-26592682")</f>
        <v>chr2:26583863-26592682</v>
      </c>
      <c r="F1380" t="s">
        <v>30</v>
      </c>
      <c r="G1380">
        <v>0.67061110755023301</v>
      </c>
      <c r="H1380">
        <v>0.17717787536860899</v>
      </c>
      <c r="I1380">
        <v>3.7849596410108401</v>
      </c>
      <c r="J1380">
        <v>1.5373352519973299E-4</v>
      </c>
      <c r="K1380">
        <v>1.4971968261451799E-3</v>
      </c>
      <c r="L1380" t="s">
        <v>26</v>
      </c>
      <c r="M1380" t="s">
        <v>27</v>
      </c>
      <c r="N1380">
        <v>179.34823465608</v>
      </c>
      <c r="O1380">
        <v>131.699524615488</v>
      </c>
      <c r="P1380">
        <v>215.084767186525</v>
      </c>
      <c r="Q1380">
        <v>154.78832778959199</v>
      </c>
      <c r="R1380">
        <v>124.39561249501701</v>
      </c>
      <c r="S1380">
        <v>115.914633561854</v>
      </c>
      <c r="T1380">
        <v>233.73069049464399</v>
      </c>
      <c r="U1380">
        <v>199.136877367355</v>
      </c>
      <c r="V1380">
        <v>254.53615386394401</v>
      </c>
      <c r="W1380">
        <v>172.93534702015501</v>
      </c>
    </row>
    <row r="1381" spans="1:23" x14ac:dyDescent="0.2">
      <c r="A1381" t="s">
        <v>2771</v>
      </c>
      <c r="B1381" s="3" t="str">
        <f>HYPERLINK("http://www.ncbi.nlm.nih.gov/gene/56048","Lgals8")</f>
        <v>Lgals8</v>
      </c>
      <c r="C1381">
        <v>56048</v>
      </c>
      <c r="D1381" t="s">
        <v>2772</v>
      </c>
      <c r="E1381" s="3" t="str">
        <f>HYPERLINK("http://genome.ucsc.edu/cgi-bin/hgTracks?db=mm10&amp;lastVirtModeType=default&amp;lastVirtModeExtraState=&amp;virtModeType=default&amp;virtMode=0&amp;nonVirtPosition=&amp;position=chr13:12439414-12461738","chr13:12439414-12461738")</f>
        <v>chr13:12439414-12461738</v>
      </c>
      <c r="F1381" t="s">
        <v>25</v>
      </c>
      <c r="G1381">
        <v>-0.7301288659688</v>
      </c>
      <c r="H1381">
        <v>0.19298699606953601</v>
      </c>
      <c r="I1381">
        <v>-3.7833060301416701</v>
      </c>
      <c r="J1381">
        <v>1.54758938845126E-4</v>
      </c>
      <c r="K1381">
        <v>1.5060878997638599E-3</v>
      </c>
      <c r="L1381" t="s">
        <v>26</v>
      </c>
      <c r="M1381" t="s">
        <v>27</v>
      </c>
      <c r="N1381">
        <v>161.90825622316001</v>
      </c>
      <c r="O1381">
        <v>214.89102871823101</v>
      </c>
      <c r="P1381">
        <v>122.171176851857</v>
      </c>
      <c r="Q1381">
        <v>269.487592266771</v>
      </c>
      <c r="R1381">
        <v>204.41839980126301</v>
      </c>
      <c r="S1381">
        <v>170.76709408665999</v>
      </c>
      <c r="T1381">
        <v>100.825003742788</v>
      </c>
      <c r="U1381">
        <v>126.33414800724699</v>
      </c>
      <c r="V1381">
        <v>143.45245665742499</v>
      </c>
      <c r="W1381">
        <v>118.073098999968</v>
      </c>
    </row>
    <row r="1382" spans="1:23" x14ac:dyDescent="0.2">
      <c r="A1382" t="s">
        <v>2773</v>
      </c>
      <c r="B1382" s="3" t="str">
        <f>HYPERLINK("http://www.ncbi.nlm.nih.gov/gene/414872","Zyg11b")</f>
        <v>Zyg11b</v>
      </c>
      <c r="C1382">
        <v>414872</v>
      </c>
      <c r="D1382" t="s">
        <v>2774</v>
      </c>
      <c r="E1382" s="3" t="str">
        <f>HYPERLINK("http://genome.ucsc.edu/cgi-bin/hgTracks?db=mm10&amp;lastVirtModeType=default&amp;lastVirtModeExtraState=&amp;virtModeType=default&amp;virtMode=0&amp;nonVirtPosition=&amp;position=chr4:108227754-108301090","chr4:108227754-108301090")</f>
        <v>chr4:108227754-108301090</v>
      </c>
      <c r="F1382" t="s">
        <v>25</v>
      </c>
      <c r="G1382">
        <v>-0.46201333886671597</v>
      </c>
      <c r="H1382">
        <v>0.122147827682636</v>
      </c>
      <c r="I1382">
        <v>-3.7824114241893598</v>
      </c>
      <c r="J1382">
        <v>1.5531636923810999E-4</v>
      </c>
      <c r="K1382">
        <v>1.51041503301927E-3</v>
      </c>
      <c r="L1382" t="s">
        <v>26</v>
      </c>
      <c r="M1382" t="s">
        <v>27</v>
      </c>
      <c r="N1382">
        <v>818.93279959839901</v>
      </c>
      <c r="O1382">
        <v>976.46764221291903</v>
      </c>
      <c r="P1382">
        <v>700.78166763750801</v>
      </c>
      <c r="Q1382">
        <v>1099.1084858152999</v>
      </c>
      <c r="R1382">
        <v>893.14532751757702</v>
      </c>
      <c r="S1382">
        <v>937.14911330588097</v>
      </c>
      <c r="T1382">
        <v>692.02616205277104</v>
      </c>
      <c r="U1382">
        <v>638.09451027389002</v>
      </c>
      <c r="V1382">
        <v>702.54921080943996</v>
      </c>
      <c r="W1382">
        <v>770.45678741393101</v>
      </c>
    </row>
    <row r="1383" spans="1:23" x14ac:dyDescent="0.2">
      <c r="A1383" t="s">
        <v>2775</v>
      </c>
      <c r="B1383" s="3" t="str">
        <f>HYPERLINK("http://www.ncbi.nlm.nih.gov/gene/15958","Ifit2")</f>
        <v>Ifit2</v>
      </c>
      <c r="C1383">
        <v>15958</v>
      </c>
      <c r="D1383" t="s">
        <v>2776</v>
      </c>
      <c r="E1383" s="3" t="str">
        <f>HYPERLINK("http://genome.ucsc.edu/cgi-bin/hgTracks?db=mm10&amp;lastVirtModeType=default&amp;lastVirtModeExtraState=&amp;virtModeType=default&amp;virtMode=0&amp;nonVirtPosition=&amp;position=chr19:34550693-34576534","chr19:34550693-34576534")</f>
        <v>chr19:34550693-34576534</v>
      </c>
      <c r="F1383" t="s">
        <v>30</v>
      </c>
      <c r="G1383">
        <v>-0.72048455750775997</v>
      </c>
      <c r="H1383">
        <v>0.19049414833477499</v>
      </c>
      <c r="I1383">
        <v>-3.7821873469917802</v>
      </c>
      <c r="J1383">
        <v>1.5545628775873101E-4</v>
      </c>
      <c r="K1383">
        <v>1.51067862799504E-3</v>
      </c>
      <c r="L1383" t="s">
        <v>26</v>
      </c>
      <c r="M1383" t="s">
        <v>27</v>
      </c>
      <c r="N1383">
        <v>394.24745950484601</v>
      </c>
      <c r="O1383">
        <v>512.25445736429106</v>
      </c>
      <c r="P1383">
        <v>305.742211110261</v>
      </c>
      <c r="Q1383">
        <v>643.65218318261805</v>
      </c>
      <c r="R1383">
        <v>489.99735165720102</v>
      </c>
      <c r="S1383">
        <v>403.11383725305399</v>
      </c>
      <c r="T1383">
        <v>403.30001497115097</v>
      </c>
      <c r="U1383">
        <v>231.255728555638</v>
      </c>
      <c r="V1383">
        <v>304.56060028807099</v>
      </c>
      <c r="W1383">
        <v>283.85250062618502</v>
      </c>
    </row>
    <row r="1384" spans="1:23" x14ac:dyDescent="0.2">
      <c r="A1384" t="s">
        <v>2777</v>
      </c>
      <c r="B1384" s="3" t="str">
        <f>HYPERLINK("http://www.ncbi.nlm.nih.gov/gene/73274","Gpbp1")</f>
        <v>Gpbp1</v>
      </c>
      <c r="C1384">
        <v>73274</v>
      </c>
      <c r="D1384" t="s">
        <v>2778</v>
      </c>
      <c r="E1384" s="3" t="str">
        <f>HYPERLINK("http://genome.ucsc.edu/cgi-bin/hgTracks?db=mm10&amp;lastVirtModeType=default&amp;lastVirtModeExtraState=&amp;virtModeType=default&amp;virtMode=0&amp;nonVirtPosition=&amp;position=chr13:111425679-111490041","chr13:111425679-111490041")</f>
        <v>chr13:111425679-111490041</v>
      </c>
      <c r="F1384" t="s">
        <v>25</v>
      </c>
      <c r="G1384">
        <v>-0.434159606426685</v>
      </c>
      <c r="H1384">
        <v>0.114810027281903</v>
      </c>
      <c r="I1384">
        <v>-3.7815478029689298</v>
      </c>
      <c r="J1384">
        <v>1.5585628531342499E-4</v>
      </c>
      <c r="K1384">
        <v>1.51346737971869E-3</v>
      </c>
      <c r="L1384" t="s">
        <v>26</v>
      </c>
      <c r="M1384" t="s">
        <v>27</v>
      </c>
      <c r="N1384">
        <v>545.99559548618799</v>
      </c>
      <c r="O1384">
        <v>644.62953687460504</v>
      </c>
      <c r="P1384">
        <v>472.02013944487499</v>
      </c>
      <c r="Q1384">
        <v>693.206719777128</v>
      </c>
      <c r="R1384">
        <v>663.69610325085296</v>
      </c>
      <c r="S1384">
        <v>576.98578759583495</v>
      </c>
      <c r="T1384">
        <v>458.295471558126</v>
      </c>
      <c r="U1384">
        <v>458.228943619505</v>
      </c>
      <c r="V1384">
        <v>473.02528015756002</v>
      </c>
      <c r="W1384">
        <v>498.53086244430801</v>
      </c>
    </row>
    <row r="1385" spans="1:23" x14ac:dyDescent="0.2">
      <c r="A1385" t="s">
        <v>2779</v>
      </c>
      <c r="B1385" s="3" t="str">
        <f>HYPERLINK("http://www.ncbi.nlm.nih.gov/gene/109270","Prr5")</f>
        <v>Prr5</v>
      </c>
      <c r="C1385">
        <v>109270</v>
      </c>
      <c r="D1385" t="s">
        <v>2780</v>
      </c>
      <c r="E1385" s="3" t="str">
        <f>HYPERLINK("http://genome.ucsc.edu/cgi-bin/hgTracks?db=mm10&amp;lastVirtModeType=default&amp;lastVirtModeExtraState=&amp;virtModeType=default&amp;virtMode=0&amp;nonVirtPosition=&amp;position=chr15:84680997-84703673","chr15:84680997-84703673")</f>
        <v>chr15:84680997-84703673</v>
      </c>
      <c r="F1385" t="s">
        <v>30</v>
      </c>
      <c r="G1385">
        <v>0.88639411120938305</v>
      </c>
      <c r="H1385">
        <v>0.234417562523309</v>
      </c>
      <c r="I1385">
        <v>3.7812615303567298</v>
      </c>
      <c r="J1385">
        <v>1.5603564583935E-4</v>
      </c>
      <c r="K1385">
        <v>1.51411111118459E-3</v>
      </c>
      <c r="L1385" t="s">
        <v>26</v>
      </c>
      <c r="M1385" t="s">
        <v>27</v>
      </c>
      <c r="N1385">
        <v>51.868435635273997</v>
      </c>
      <c r="O1385">
        <v>33.6654063493501</v>
      </c>
      <c r="P1385">
        <v>65.520707599716999</v>
      </c>
      <c r="Q1385">
        <v>28.396419846292002</v>
      </c>
      <c r="R1385">
        <v>32.236667872184299</v>
      </c>
      <c r="S1385">
        <v>40.363131329574102</v>
      </c>
      <c r="T1385">
        <v>50.4125018713939</v>
      </c>
      <c r="U1385">
        <v>85.650269835421398</v>
      </c>
      <c r="V1385">
        <v>64.001865277928005</v>
      </c>
      <c r="W1385">
        <v>62.018193414124497</v>
      </c>
    </row>
    <row r="1386" spans="1:23" x14ac:dyDescent="0.2">
      <c r="A1386" t="s">
        <v>2781</v>
      </c>
      <c r="B1386" s="3" t="str">
        <f>HYPERLINK("http://www.ncbi.nlm.nih.gov/gene/56535","Pex3")</f>
        <v>Pex3</v>
      </c>
      <c r="C1386">
        <v>56535</v>
      </c>
      <c r="D1386" t="s">
        <v>2782</v>
      </c>
      <c r="E1386" s="3" t="str">
        <f>HYPERLINK("http://genome.ucsc.edu/cgi-bin/hgTracks?db=mm10&amp;lastVirtModeType=default&amp;lastVirtModeExtraState=&amp;virtModeType=default&amp;virtMode=0&amp;nonVirtPosition=&amp;position=chr10:13523944-13553142","chr10:13523944-13553142")</f>
        <v>chr10:13523944-13553142</v>
      </c>
      <c r="F1386" t="s">
        <v>25</v>
      </c>
      <c r="G1386">
        <v>-0.75503112638898695</v>
      </c>
      <c r="H1386">
        <v>0.19970619242880999</v>
      </c>
      <c r="I1386">
        <v>-3.7807096375248102</v>
      </c>
      <c r="J1386">
        <v>1.56381975807042E-4</v>
      </c>
      <c r="K1386">
        <v>1.5163729457147699E-3</v>
      </c>
      <c r="L1386" t="s">
        <v>26</v>
      </c>
      <c r="M1386" t="s">
        <v>27</v>
      </c>
      <c r="N1386">
        <v>119.6003428728</v>
      </c>
      <c r="O1386">
        <v>160.34274480024601</v>
      </c>
      <c r="P1386">
        <v>89.043541427216397</v>
      </c>
      <c r="Q1386">
        <v>158.68587561163201</v>
      </c>
      <c r="R1386">
        <v>190.385967903959</v>
      </c>
      <c r="S1386">
        <v>131.95639088514599</v>
      </c>
      <c r="T1386">
        <v>68.744320733718993</v>
      </c>
      <c r="U1386">
        <v>102.780323802506</v>
      </c>
      <c r="V1386">
        <v>105.93412183932899</v>
      </c>
      <c r="W1386">
        <v>78.715399333311794</v>
      </c>
    </row>
    <row r="1387" spans="1:23" x14ac:dyDescent="0.2">
      <c r="A1387" t="s">
        <v>2783</v>
      </c>
      <c r="B1387" s="3" t="str">
        <f>HYPERLINK("http://www.ncbi.nlm.nih.gov/gene/11737","Anp32a")</f>
        <v>Anp32a</v>
      </c>
      <c r="C1387">
        <v>11737</v>
      </c>
      <c r="D1387" t="s">
        <v>2784</v>
      </c>
      <c r="E1387" s="3" t="str">
        <f>HYPERLINK("http://genome.ucsc.edu/cgi-bin/hgTracks?db=mm10&amp;lastVirtModeType=default&amp;lastVirtModeExtraState=&amp;virtModeType=default&amp;virtMode=0&amp;nonVirtPosition=&amp;position=chr9:62341342-62378805","chr9:62341342-62378805")</f>
        <v>chr9:62341342-62378805</v>
      </c>
      <c r="F1387" t="s">
        <v>30</v>
      </c>
      <c r="G1387">
        <v>-0.46467247207746598</v>
      </c>
      <c r="H1387">
        <v>0.122936147403425</v>
      </c>
      <c r="I1387">
        <v>-3.7797871650606298</v>
      </c>
      <c r="J1387">
        <v>1.56962471821942E-4</v>
      </c>
      <c r="K1387">
        <v>1.5209004776900301E-3</v>
      </c>
      <c r="L1387" t="s">
        <v>26</v>
      </c>
      <c r="M1387" t="s">
        <v>27</v>
      </c>
      <c r="N1387">
        <v>470.80210638577501</v>
      </c>
      <c r="O1387">
        <v>558.94169650905701</v>
      </c>
      <c r="P1387">
        <v>404.69741379331299</v>
      </c>
      <c r="Q1387">
        <v>541.20235471756496</v>
      </c>
      <c r="R1387">
        <v>625.39135672037503</v>
      </c>
      <c r="S1387">
        <v>510.23137808923201</v>
      </c>
      <c r="T1387">
        <v>417.04887911789501</v>
      </c>
      <c r="U1387">
        <v>413.26255195590801</v>
      </c>
      <c r="V1387">
        <v>372.24073368542003</v>
      </c>
      <c r="W1387">
        <v>416.237490414028</v>
      </c>
    </row>
    <row r="1388" spans="1:23" x14ac:dyDescent="0.2">
      <c r="A1388" t="s">
        <v>2785</v>
      </c>
      <c r="B1388" s="3" t="str">
        <f>HYPERLINK("http://www.ncbi.nlm.nih.gov/gene/98956","Nat10")</f>
        <v>Nat10</v>
      </c>
      <c r="C1388">
        <v>98956</v>
      </c>
      <c r="D1388" t="s">
        <v>2786</v>
      </c>
      <c r="E1388" s="3" t="str">
        <f>HYPERLINK("http://genome.ucsc.edu/cgi-bin/hgTracks?db=mm10&amp;lastVirtModeType=default&amp;lastVirtModeExtraState=&amp;virtModeType=default&amp;virtMode=0&amp;nonVirtPosition=&amp;position=chr2:103721258-103761250","chr2:103721258-103761250")</f>
        <v>chr2:103721258-103761250</v>
      </c>
      <c r="F1388" t="s">
        <v>25</v>
      </c>
      <c r="G1388">
        <v>0.65853860118457497</v>
      </c>
      <c r="H1388">
        <v>0.17428778598799299</v>
      </c>
      <c r="I1388">
        <v>3.7784552569274301</v>
      </c>
      <c r="J1388">
        <v>1.5780419755125999E-4</v>
      </c>
      <c r="K1388">
        <v>1.52779255988789E-3</v>
      </c>
      <c r="L1388" t="s">
        <v>26</v>
      </c>
      <c r="M1388" t="s">
        <v>27</v>
      </c>
      <c r="N1388">
        <v>244.70792539047</v>
      </c>
      <c r="O1388">
        <v>179.754750133784</v>
      </c>
      <c r="P1388">
        <v>293.42280683298401</v>
      </c>
      <c r="Q1388">
        <v>131.95983340335701</v>
      </c>
      <c r="R1388">
        <v>202.901380136689</v>
      </c>
      <c r="S1388">
        <v>204.403036861305</v>
      </c>
      <c r="T1388">
        <v>302.47501122836297</v>
      </c>
      <c r="U1388">
        <v>325.47102537460103</v>
      </c>
      <c r="V1388">
        <v>261.89269010278599</v>
      </c>
      <c r="W1388">
        <v>283.85250062618502</v>
      </c>
    </row>
    <row r="1389" spans="1:23" x14ac:dyDescent="0.2">
      <c r="A1389" t="s">
        <v>2787</v>
      </c>
      <c r="B1389" s="3" t="str">
        <f>HYPERLINK("http://www.ncbi.nlm.nih.gov/gene/100503704","Gm16861")</f>
        <v>Gm16861</v>
      </c>
      <c r="C1389">
        <v>100503704</v>
      </c>
      <c r="D1389" t="s">
        <v>2788</v>
      </c>
      <c r="E1389" s="3" t="str">
        <f>HYPERLINK("http://genome.ucsc.edu/cgi-bin/hgTracks?db=mm10&amp;lastVirtModeType=default&amp;lastVirtModeExtraState=&amp;virtModeType=default&amp;virtMode=0&amp;nonVirtPosition=&amp;position=chr16:4935163-4939585","chr16:4935163-4939585")</f>
        <v>chr16:4935163-4939585</v>
      </c>
      <c r="F1389" t="s">
        <v>25</v>
      </c>
      <c r="G1389">
        <v>1.41085315321994</v>
      </c>
      <c r="H1389">
        <v>0.37340940917718901</v>
      </c>
      <c r="I1389">
        <v>3.77830102441383</v>
      </c>
      <c r="J1389">
        <v>1.57901941818E-4</v>
      </c>
      <c r="K1389">
        <v>1.52779255988789E-3</v>
      </c>
      <c r="L1389" t="s">
        <v>26</v>
      </c>
      <c r="M1389" t="s">
        <v>27</v>
      </c>
      <c r="N1389">
        <v>11.4074722380783</v>
      </c>
      <c r="O1389">
        <v>3.7987323528685999</v>
      </c>
      <c r="P1389">
        <v>17.114027151985599</v>
      </c>
      <c r="Q1389">
        <v>1.67037763801717</v>
      </c>
      <c r="R1389">
        <v>4.5510589937201402</v>
      </c>
      <c r="S1389">
        <v>5.1747604268684801</v>
      </c>
      <c r="T1389">
        <v>18.3318188623251</v>
      </c>
      <c r="U1389">
        <v>19.2713107129698</v>
      </c>
      <c r="V1389">
        <v>11.7704579821477</v>
      </c>
      <c r="W1389">
        <v>19.0825210504998</v>
      </c>
    </row>
    <row r="1390" spans="1:23" x14ac:dyDescent="0.2">
      <c r="A1390" t="s">
        <v>2789</v>
      </c>
      <c r="B1390" s="3" t="str">
        <f>HYPERLINK("http://www.ncbi.nlm.nih.gov/gene/50781","Dkk3")</f>
        <v>Dkk3</v>
      </c>
      <c r="C1390">
        <v>50781</v>
      </c>
      <c r="D1390" t="s">
        <v>2790</v>
      </c>
      <c r="E1390" s="3" t="str">
        <f>HYPERLINK("http://genome.ucsc.edu/cgi-bin/hgTracks?db=mm10&amp;lastVirtModeType=default&amp;lastVirtModeExtraState=&amp;virtModeType=default&amp;virtMode=0&amp;nonVirtPosition=&amp;position=chr7:112116018-112159057","chr7:112116018-112159057")</f>
        <v>chr7:112116018-112159057</v>
      </c>
      <c r="F1390" t="s">
        <v>25</v>
      </c>
      <c r="G1390">
        <v>-0.52292842314625099</v>
      </c>
      <c r="H1390">
        <v>0.13843334571705801</v>
      </c>
      <c r="I1390">
        <v>-3.7774744259599098</v>
      </c>
      <c r="J1390">
        <v>1.5842676714870199E-4</v>
      </c>
      <c r="K1390">
        <v>1.5317637825908101E-3</v>
      </c>
      <c r="L1390" t="s">
        <v>26</v>
      </c>
      <c r="M1390" t="s">
        <v>27</v>
      </c>
      <c r="N1390">
        <v>234.14243199164</v>
      </c>
      <c r="O1390">
        <v>289.42981852746601</v>
      </c>
      <c r="P1390">
        <v>192.67689208977001</v>
      </c>
      <c r="Q1390">
        <v>295.10004938303399</v>
      </c>
      <c r="R1390">
        <v>290.13001084965902</v>
      </c>
      <c r="S1390">
        <v>283.05939534970599</v>
      </c>
      <c r="T1390">
        <v>137.48864146743799</v>
      </c>
      <c r="U1390">
        <v>220.54944482620999</v>
      </c>
      <c r="V1390">
        <v>201.56909294427899</v>
      </c>
      <c r="W1390">
        <v>211.100389121154</v>
      </c>
    </row>
    <row r="1391" spans="1:23" x14ac:dyDescent="0.2">
      <c r="A1391" t="s">
        <v>2791</v>
      </c>
      <c r="B1391" s="3" t="str">
        <f>HYPERLINK("http://www.ncbi.nlm.nih.gov/gene/55946","Ap3m1")</f>
        <v>Ap3m1</v>
      </c>
      <c r="C1391">
        <v>55946</v>
      </c>
      <c r="D1391" t="s">
        <v>2792</v>
      </c>
      <c r="E1391" s="3" t="str">
        <f>HYPERLINK("http://genome.ucsc.edu/cgi-bin/hgTracks?db=mm10&amp;lastVirtModeType=default&amp;lastVirtModeExtraState=&amp;virtModeType=default&amp;virtMode=0&amp;nonVirtPosition=&amp;position=chr14:21033741-21052442","chr14:21033741-21052442")</f>
        <v>chr14:21033741-21052442</v>
      </c>
      <c r="F1391" t="s">
        <v>25</v>
      </c>
      <c r="G1391">
        <v>-0.48147192122704902</v>
      </c>
      <c r="H1391">
        <v>0.127510193605192</v>
      </c>
      <c r="I1391">
        <v>-3.7759484760710502</v>
      </c>
      <c r="J1391">
        <v>1.5939994114829901E-4</v>
      </c>
      <c r="K1391">
        <v>1.5400610475590701E-3</v>
      </c>
      <c r="L1391" t="s">
        <v>26</v>
      </c>
      <c r="M1391" t="s">
        <v>27</v>
      </c>
      <c r="N1391">
        <v>242.526220492265</v>
      </c>
      <c r="O1391">
        <v>290.36066572222597</v>
      </c>
      <c r="P1391">
        <v>206.65038656979499</v>
      </c>
      <c r="Q1391">
        <v>287.86174628496002</v>
      </c>
      <c r="R1391">
        <v>303.78318783081897</v>
      </c>
      <c r="S1391">
        <v>279.43706305089802</v>
      </c>
      <c r="T1391">
        <v>219.98182634790101</v>
      </c>
      <c r="U1391">
        <v>192.71310712969799</v>
      </c>
      <c r="V1391">
        <v>220.69608716526901</v>
      </c>
      <c r="W1391">
        <v>193.21052563631099</v>
      </c>
    </row>
    <row r="1392" spans="1:23" x14ac:dyDescent="0.2">
      <c r="A1392" t="s">
        <v>2793</v>
      </c>
      <c r="B1392" s="3" t="str">
        <f>HYPERLINK("http://www.ncbi.nlm.nih.gov/gene/74451","Pgs1")</f>
        <v>Pgs1</v>
      </c>
      <c r="C1392">
        <v>74451</v>
      </c>
      <c r="D1392" t="s">
        <v>2794</v>
      </c>
      <c r="E1392" s="3" t="str">
        <f>HYPERLINK("http://genome.ucsc.edu/cgi-bin/hgTracks?db=mm10&amp;lastVirtModeType=default&amp;lastVirtModeExtraState=&amp;virtModeType=default&amp;virtMode=0&amp;nonVirtPosition=&amp;position=chr11:117986856-118024011","chr11:117986856-118024011")</f>
        <v>chr11:117986856-118024011</v>
      </c>
      <c r="F1392" t="s">
        <v>30</v>
      </c>
      <c r="G1392">
        <v>0.50744718678335499</v>
      </c>
      <c r="H1392">
        <v>0.13440431768130101</v>
      </c>
      <c r="I1392">
        <v>3.7755274200834101</v>
      </c>
      <c r="J1392">
        <v>1.5966945810570201E-4</v>
      </c>
      <c r="K1392">
        <v>1.54155278550358E-3</v>
      </c>
      <c r="L1392" t="s">
        <v>26</v>
      </c>
      <c r="M1392" t="s">
        <v>27</v>
      </c>
      <c r="N1392">
        <v>208.445298113109</v>
      </c>
      <c r="O1392">
        <v>168.184569620513</v>
      </c>
      <c r="P1392">
        <v>238.64084448255599</v>
      </c>
      <c r="Q1392">
        <v>156.458705427609</v>
      </c>
      <c r="R1392">
        <v>162.32110410935101</v>
      </c>
      <c r="S1392">
        <v>185.773899324578</v>
      </c>
      <c r="T1392">
        <v>219.98182634790101</v>
      </c>
      <c r="U1392">
        <v>237.67949879329399</v>
      </c>
      <c r="V1392">
        <v>246.44396400121701</v>
      </c>
      <c r="W1392">
        <v>250.45808878781</v>
      </c>
    </row>
    <row r="1393" spans="1:23" x14ac:dyDescent="0.2">
      <c r="A1393" t="s">
        <v>2795</v>
      </c>
      <c r="B1393" s="3" t="str">
        <f>HYPERLINK("http://www.ncbi.nlm.nih.gov/gene/193116","Slu7")</f>
        <v>Slu7</v>
      </c>
      <c r="C1393">
        <v>193116</v>
      </c>
      <c r="D1393" t="s">
        <v>2796</v>
      </c>
      <c r="E1393" s="3" t="str">
        <f>HYPERLINK("http://genome.ucsc.edu/cgi-bin/hgTracks?db=mm10&amp;lastVirtModeType=default&amp;lastVirtModeExtraState=&amp;virtModeType=default&amp;virtMode=0&amp;nonVirtPosition=&amp;position=chr11:43433730-43447981","chr11:43433730-43447981")</f>
        <v>chr11:43433730-43447981</v>
      </c>
      <c r="F1393" t="s">
        <v>30</v>
      </c>
      <c r="G1393">
        <v>-0.64652286621792998</v>
      </c>
      <c r="H1393">
        <v>0.17129200589640001</v>
      </c>
      <c r="I1393">
        <v>-3.7743901872978101</v>
      </c>
      <c r="J1393">
        <v>1.6039954303220401E-4</v>
      </c>
      <c r="K1393">
        <v>1.5466907642427399E-3</v>
      </c>
      <c r="L1393" t="s">
        <v>26</v>
      </c>
      <c r="M1393" t="s">
        <v>27</v>
      </c>
      <c r="N1393">
        <v>215.30299773526201</v>
      </c>
      <c r="O1393">
        <v>273.29156272795899</v>
      </c>
      <c r="P1393">
        <v>171.81157399073899</v>
      </c>
      <c r="Q1393">
        <v>334.632320149441</v>
      </c>
      <c r="R1393">
        <v>250.30824465460699</v>
      </c>
      <c r="S1393">
        <v>234.934123379829</v>
      </c>
      <c r="T1393">
        <v>192.48409805441301</v>
      </c>
      <c r="U1393">
        <v>143.46420197433099</v>
      </c>
      <c r="V1393">
        <v>164.05075812618301</v>
      </c>
      <c r="W1393">
        <v>187.24723780803001</v>
      </c>
    </row>
    <row r="1394" spans="1:23" x14ac:dyDescent="0.2">
      <c r="A1394" t="s">
        <v>2797</v>
      </c>
      <c r="B1394" s="3" t="str">
        <f>HYPERLINK("http://www.ncbi.nlm.nih.gov/gene/12568","Cdk5")</f>
        <v>Cdk5</v>
      </c>
      <c r="C1394">
        <v>12568</v>
      </c>
      <c r="D1394" t="s">
        <v>2798</v>
      </c>
      <c r="E1394" s="3" t="str">
        <f>HYPERLINK("http://genome.ucsc.edu/cgi-bin/hgTracks?db=mm10&amp;lastVirtModeType=default&amp;lastVirtModeExtraState=&amp;virtModeType=default&amp;virtMode=0&amp;nonVirtPosition=&amp;position=chr5:24418241-24423530","chr5:24418241-24423530")</f>
        <v>chr5:24418241-24423530</v>
      </c>
      <c r="F1394" t="s">
        <v>25</v>
      </c>
      <c r="G1394">
        <v>-0.51270461745784301</v>
      </c>
      <c r="H1394">
        <v>0.13583958712848801</v>
      </c>
      <c r="I1394">
        <v>-3.7743387498144201</v>
      </c>
      <c r="J1394">
        <v>1.60432639200446E-4</v>
      </c>
      <c r="K1394">
        <v>1.5466907642427399E-3</v>
      </c>
      <c r="L1394" t="s">
        <v>26</v>
      </c>
      <c r="M1394" t="s">
        <v>27</v>
      </c>
      <c r="N1394">
        <v>183.24727371809701</v>
      </c>
      <c r="O1394">
        <v>222.84198310816501</v>
      </c>
      <c r="P1394">
        <v>153.55124167554499</v>
      </c>
      <c r="Q1394">
        <v>213.25154512019299</v>
      </c>
      <c r="R1394">
        <v>231.724753763584</v>
      </c>
      <c r="S1394">
        <v>223.54965044071801</v>
      </c>
      <c r="T1394">
        <v>142.07159618301901</v>
      </c>
      <c r="U1394">
        <v>160.59425594141501</v>
      </c>
      <c r="V1394">
        <v>149.33768564849899</v>
      </c>
      <c r="W1394">
        <v>162.201428929249</v>
      </c>
    </row>
    <row r="1395" spans="1:23" x14ac:dyDescent="0.2">
      <c r="A1395" t="s">
        <v>2799</v>
      </c>
      <c r="B1395" s="3" t="str">
        <f>HYPERLINK("http://www.ncbi.nlm.nih.gov/gene/218035","Vps41")</f>
        <v>Vps41</v>
      </c>
      <c r="C1395">
        <v>218035</v>
      </c>
      <c r="D1395" t="s">
        <v>2800</v>
      </c>
      <c r="E1395" s="3" t="str">
        <f>HYPERLINK("http://genome.ucsc.edu/cgi-bin/hgTracks?db=mm10&amp;lastVirtModeType=default&amp;lastVirtModeExtraState=&amp;virtModeType=default&amp;virtMode=0&amp;nonVirtPosition=&amp;position=chr13:18717291-18866811","chr13:18717291-18866811")</f>
        <v>chr13:18717291-18866811</v>
      </c>
      <c r="F1395" t="s">
        <v>30</v>
      </c>
      <c r="G1395">
        <v>-0.49121099532035301</v>
      </c>
      <c r="H1395">
        <v>0.13026412104492699</v>
      </c>
      <c r="I1395">
        <v>-3.7708848098774399</v>
      </c>
      <c r="J1395">
        <v>1.62669752374936E-4</v>
      </c>
      <c r="K1395">
        <v>1.5671299669444401E-3</v>
      </c>
      <c r="L1395" t="s">
        <v>26</v>
      </c>
      <c r="M1395" t="s">
        <v>27</v>
      </c>
      <c r="N1395">
        <v>487.37128132463903</v>
      </c>
      <c r="O1395">
        <v>588.09006822679396</v>
      </c>
      <c r="P1395">
        <v>411.83219114802301</v>
      </c>
      <c r="Q1395">
        <v>667.59426266086405</v>
      </c>
      <c r="R1395">
        <v>564.71057013743996</v>
      </c>
      <c r="S1395">
        <v>531.96537188207901</v>
      </c>
      <c r="T1395">
        <v>412.46592440231399</v>
      </c>
      <c r="U1395">
        <v>364.01364680054098</v>
      </c>
      <c r="V1395">
        <v>445.07044244995899</v>
      </c>
      <c r="W1395">
        <v>425.77875093927798</v>
      </c>
    </row>
    <row r="1396" spans="1:23" x14ac:dyDescent="0.2">
      <c r="A1396" t="s">
        <v>2801</v>
      </c>
      <c r="B1396" s="3" t="str">
        <f>HYPERLINK("http://www.ncbi.nlm.nih.gov/gene/68926","Ubap2")</f>
        <v>Ubap2</v>
      </c>
      <c r="C1396">
        <v>68926</v>
      </c>
      <c r="D1396" t="s">
        <v>2802</v>
      </c>
      <c r="E1396" s="3" t="str">
        <f>HYPERLINK("http://genome.ucsc.edu/cgi-bin/hgTracks?db=mm10&amp;lastVirtModeType=default&amp;lastVirtModeExtraState=&amp;virtModeType=default&amp;virtMode=0&amp;nonVirtPosition=&amp;position=chr4:41194314-41275135","chr4:41194314-41275135")</f>
        <v>chr4:41194314-41275135</v>
      </c>
      <c r="F1396" t="s">
        <v>25</v>
      </c>
      <c r="G1396">
        <v>0.62385654785657096</v>
      </c>
      <c r="H1396">
        <v>0.16551903126793499</v>
      </c>
      <c r="I1396">
        <v>3.7690925513374798</v>
      </c>
      <c r="J1396">
        <v>1.63842131292589E-4</v>
      </c>
      <c r="K1396">
        <v>1.57655610047313E-3</v>
      </c>
      <c r="L1396" t="s">
        <v>26</v>
      </c>
      <c r="M1396" t="s">
        <v>27</v>
      </c>
      <c r="N1396">
        <v>307.82068106063599</v>
      </c>
      <c r="O1396">
        <v>231.407651167046</v>
      </c>
      <c r="P1396">
        <v>365.13045348082898</v>
      </c>
      <c r="Q1396">
        <v>190.979843279964</v>
      </c>
      <c r="R1396">
        <v>205.176909633549</v>
      </c>
      <c r="S1396">
        <v>298.066200587624</v>
      </c>
      <c r="T1396">
        <v>389.55115082440699</v>
      </c>
      <c r="U1396">
        <v>349.024849579342</v>
      </c>
      <c r="V1396">
        <v>364.14854382269402</v>
      </c>
      <c r="W1396">
        <v>357.79726969687198</v>
      </c>
    </row>
    <row r="1397" spans="1:23" x14ac:dyDescent="0.2">
      <c r="A1397" t="s">
        <v>2803</v>
      </c>
      <c r="B1397" s="3" t="str">
        <f>HYPERLINK("http://www.ncbi.nlm.nih.gov/gene/23964","Tenm2")</f>
        <v>Tenm2</v>
      </c>
      <c r="C1397">
        <v>23964</v>
      </c>
      <c r="D1397" t="s">
        <v>2804</v>
      </c>
      <c r="E1397" s="3" t="str">
        <f>HYPERLINK("http://genome.ucsc.edu/cgi-bin/hgTracks?db=mm10&amp;lastVirtModeType=default&amp;lastVirtModeExtraState=&amp;virtModeType=default&amp;virtMode=0&amp;nonVirtPosition=&amp;position=chr11:36006655-36944241","chr11:36006655-36944241")</f>
        <v>chr11:36006655-36944241</v>
      </c>
      <c r="F1397" t="s">
        <v>25</v>
      </c>
      <c r="G1397">
        <v>0.95888965718215502</v>
      </c>
      <c r="H1397">
        <v>0.25441289635577302</v>
      </c>
      <c r="I1397">
        <v>3.76902928631903</v>
      </c>
      <c r="J1397">
        <v>1.6388366005963599E-4</v>
      </c>
      <c r="K1397">
        <v>1.57655610047313E-3</v>
      </c>
      <c r="L1397" t="s">
        <v>26</v>
      </c>
      <c r="M1397" t="s">
        <v>27</v>
      </c>
      <c r="N1397">
        <v>141.69186770895999</v>
      </c>
      <c r="O1397">
        <v>86.8119310701248</v>
      </c>
      <c r="P1397">
        <v>182.85182018808601</v>
      </c>
      <c r="Q1397">
        <v>43.986611134452303</v>
      </c>
      <c r="R1397">
        <v>104.674356855563</v>
      </c>
      <c r="S1397">
        <v>111.77482522035901</v>
      </c>
      <c r="T1397">
        <v>151.237505614182</v>
      </c>
      <c r="U1397">
        <v>192.71310712969799</v>
      </c>
      <c r="V1397">
        <v>169.20033349337299</v>
      </c>
      <c r="W1397">
        <v>218.25633451509199</v>
      </c>
    </row>
    <row r="1398" spans="1:23" x14ac:dyDescent="0.2">
      <c r="A1398" t="s">
        <v>2805</v>
      </c>
      <c r="B1398" s="3" t="str">
        <f>HYPERLINK("http://www.ncbi.nlm.nih.gov/gene/209239","Gan")</f>
        <v>Gan</v>
      </c>
      <c r="C1398">
        <v>209239</v>
      </c>
      <c r="D1398" t="s">
        <v>2806</v>
      </c>
      <c r="E1398" s="3" t="str">
        <f>HYPERLINK("http://genome.ucsc.edu/cgi-bin/hgTracks?db=mm10&amp;lastVirtModeType=default&amp;lastVirtModeExtraState=&amp;virtModeType=default&amp;virtMode=0&amp;nonVirtPosition=&amp;position=chr8:117158134-117205186","chr8:117158134-117205186")</f>
        <v>chr8:117158134-117205186</v>
      </c>
      <c r="F1398" t="s">
        <v>30</v>
      </c>
      <c r="G1398">
        <v>0.65347205728337499</v>
      </c>
      <c r="H1398">
        <v>0.17348654144299699</v>
      </c>
      <c r="I1398">
        <v>3.7667017386365398</v>
      </c>
      <c r="J1398">
        <v>1.6541842442553399E-4</v>
      </c>
      <c r="K1398">
        <v>1.59017812023139E-3</v>
      </c>
      <c r="L1398" t="s">
        <v>26</v>
      </c>
      <c r="M1398" t="s">
        <v>27</v>
      </c>
      <c r="N1398">
        <v>229.119145922147</v>
      </c>
      <c r="O1398">
        <v>171.61973701346</v>
      </c>
      <c r="P1398">
        <v>272.24370260366101</v>
      </c>
      <c r="Q1398">
        <v>173.16248180778001</v>
      </c>
      <c r="R1398">
        <v>131.60145590174099</v>
      </c>
      <c r="S1398">
        <v>210.09527333086001</v>
      </c>
      <c r="T1398">
        <v>229.147735779063</v>
      </c>
      <c r="U1398">
        <v>289.069660694547</v>
      </c>
      <c r="V1398">
        <v>286.90491331484998</v>
      </c>
      <c r="W1398">
        <v>283.85250062618502</v>
      </c>
    </row>
    <row r="1399" spans="1:23" x14ac:dyDescent="0.2">
      <c r="A1399" t="s">
        <v>2807</v>
      </c>
      <c r="B1399" s="3" t="str">
        <f>HYPERLINK("http://www.ncbi.nlm.nih.gov/gene/20869","Stk11")</f>
        <v>Stk11</v>
      </c>
      <c r="C1399">
        <v>20869</v>
      </c>
      <c r="D1399" t="s">
        <v>2808</v>
      </c>
      <c r="E1399" s="3" t="str">
        <f>HYPERLINK("http://genome.ucsc.edu/cgi-bin/hgTracks?db=mm10&amp;lastVirtModeType=default&amp;lastVirtModeExtraState=&amp;virtModeType=default&amp;virtMode=0&amp;nonVirtPosition=&amp;position=chr10:80115802-80130685","chr10:80115802-80130685")</f>
        <v>chr10:80115802-80130685</v>
      </c>
      <c r="F1399" t="s">
        <v>30</v>
      </c>
      <c r="G1399">
        <v>0.53721720639734405</v>
      </c>
      <c r="H1399">
        <v>0.142644932074981</v>
      </c>
      <c r="I1399">
        <v>3.76611491612586</v>
      </c>
      <c r="J1399">
        <v>1.65807498861938E-4</v>
      </c>
      <c r="K1399">
        <v>1.5920442966247199E-3</v>
      </c>
      <c r="L1399" t="s">
        <v>26</v>
      </c>
      <c r="M1399" t="s">
        <v>27</v>
      </c>
      <c r="N1399">
        <v>291.37018156711201</v>
      </c>
      <c r="O1399">
        <v>229.66383803820199</v>
      </c>
      <c r="P1399">
        <v>337.64993921379499</v>
      </c>
      <c r="Q1399">
        <v>208.797204752147</v>
      </c>
      <c r="R1399">
        <v>211.62424320798601</v>
      </c>
      <c r="S1399">
        <v>268.57006615447398</v>
      </c>
      <c r="T1399">
        <v>325.38978480626997</v>
      </c>
      <c r="U1399">
        <v>359.73113330876998</v>
      </c>
      <c r="V1399">
        <v>305.296253911956</v>
      </c>
      <c r="W1399">
        <v>360.18258482818402</v>
      </c>
    </row>
    <row r="1400" spans="1:23" x14ac:dyDescent="0.2">
      <c r="A1400" t="s">
        <v>2809</v>
      </c>
      <c r="B1400" s="3" t="str">
        <f>HYPERLINK("http://www.ncbi.nlm.nih.gov/gene/21815","Tgif1")</f>
        <v>Tgif1</v>
      </c>
      <c r="C1400">
        <v>21815</v>
      </c>
      <c r="D1400" t="s">
        <v>2810</v>
      </c>
      <c r="E1400" s="3" t="str">
        <f>HYPERLINK("http://genome.ucsc.edu/cgi-bin/hgTracks?db=mm10&amp;lastVirtModeType=default&amp;lastVirtModeExtraState=&amp;virtModeType=default&amp;virtMode=0&amp;nonVirtPosition=&amp;position=chr17:70844204-70851210","chr17:70844204-70851210")</f>
        <v>chr17:70844204-70851210</v>
      </c>
      <c r="F1400" t="s">
        <v>25</v>
      </c>
      <c r="G1400">
        <v>0.87455398793418004</v>
      </c>
      <c r="H1400">
        <v>0.232230703207919</v>
      </c>
      <c r="I1400">
        <v>3.7658844237800002</v>
      </c>
      <c r="J1400">
        <v>1.6596055501287999E-4</v>
      </c>
      <c r="K1400">
        <v>1.5920442966247199E-3</v>
      </c>
      <c r="L1400" t="s">
        <v>26</v>
      </c>
      <c r="M1400" t="s">
        <v>27</v>
      </c>
      <c r="N1400">
        <v>41.743644031789799</v>
      </c>
      <c r="O1400">
        <v>27.350275814163801</v>
      </c>
      <c r="P1400">
        <v>52.538670195009402</v>
      </c>
      <c r="Q1400">
        <v>27.282834754280501</v>
      </c>
      <c r="R1400">
        <v>25.789334297747398</v>
      </c>
      <c r="S1400">
        <v>28.978658390463501</v>
      </c>
      <c r="T1400">
        <v>50.4125018713939</v>
      </c>
      <c r="U1400">
        <v>49.248905155367297</v>
      </c>
      <c r="V1400">
        <v>54.438368167432998</v>
      </c>
      <c r="W1400">
        <v>56.054905585843301</v>
      </c>
    </row>
    <row r="1401" spans="1:23" x14ac:dyDescent="0.2">
      <c r="A1401" t="s">
        <v>2811</v>
      </c>
      <c r="B1401" s="3" t="str">
        <f>HYPERLINK("http://www.ncbi.nlm.nih.gov/gene/68617","Mtcl1")</f>
        <v>Mtcl1</v>
      </c>
      <c r="C1401">
        <v>68617</v>
      </c>
      <c r="D1401" t="s">
        <v>2812</v>
      </c>
      <c r="E1401" s="3" t="str">
        <f>HYPERLINK("http://genome.ucsc.edu/cgi-bin/hgTracks?db=mm10&amp;lastVirtModeType=default&amp;lastVirtModeExtraState=&amp;virtModeType=default&amp;virtMode=0&amp;nonVirtPosition=&amp;position=chr17:66336981-66449750","chr17:66336981-66449750")</f>
        <v>chr17:66336981-66449750</v>
      </c>
      <c r="F1401" t="s">
        <v>25</v>
      </c>
      <c r="G1401">
        <v>0.49083504808176298</v>
      </c>
      <c r="H1401">
        <v>0.130337709027077</v>
      </c>
      <c r="I1401">
        <v>3.7658713794010001</v>
      </c>
      <c r="J1401">
        <v>1.65969220975887E-4</v>
      </c>
      <c r="K1401">
        <v>1.5920442966247199E-3</v>
      </c>
      <c r="L1401" t="s">
        <v>26</v>
      </c>
      <c r="M1401" t="s">
        <v>27</v>
      </c>
      <c r="N1401">
        <v>364.800510255826</v>
      </c>
      <c r="O1401">
        <v>293.55736009253002</v>
      </c>
      <c r="P1401">
        <v>418.23287287829902</v>
      </c>
      <c r="Q1401">
        <v>273.385140088811</v>
      </c>
      <c r="R1401">
        <v>325.77997296713301</v>
      </c>
      <c r="S1401">
        <v>281.50696722164503</v>
      </c>
      <c r="T1401">
        <v>398.71706025557</v>
      </c>
      <c r="U1401">
        <v>475.358997586589</v>
      </c>
      <c r="V1401">
        <v>376.65465542872602</v>
      </c>
      <c r="W1401">
        <v>422.20077824230901</v>
      </c>
    </row>
    <row r="1402" spans="1:23" x14ac:dyDescent="0.2">
      <c r="A1402" t="s">
        <v>2813</v>
      </c>
      <c r="B1402" s="3" t="str">
        <f>HYPERLINK("http://www.ncbi.nlm.nih.gov/gene/71745","Cul2")</f>
        <v>Cul2</v>
      </c>
      <c r="C1402">
        <v>71745</v>
      </c>
      <c r="D1402" t="s">
        <v>2814</v>
      </c>
      <c r="E1402" s="3" t="str">
        <f>HYPERLINK("http://genome.ucsc.edu/cgi-bin/hgTracks?db=mm10&amp;lastVirtModeType=default&amp;lastVirtModeExtraState=&amp;virtModeType=default&amp;virtMode=0&amp;nonVirtPosition=&amp;position=chr18:3383224-3436700","chr18:3383224-3436700")</f>
        <v>chr18:3383224-3436700</v>
      </c>
      <c r="F1402" t="s">
        <v>30</v>
      </c>
      <c r="G1402">
        <v>-0.51658620624871898</v>
      </c>
      <c r="H1402">
        <v>0.137212147623196</v>
      </c>
      <c r="I1402">
        <v>-3.7648722448929002</v>
      </c>
      <c r="J1402">
        <v>1.66634257155725E-4</v>
      </c>
      <c r="K1402">
        <v>1.59602640108243E-3</v>
      </c>
      <c r="L1402" t="s">
        <v>26</v>
      </c>
      <c r="M1402" t="s">
        <v>27</v>
      </c>
      <c r="N1402">
        <v>261.54978924219398</v>
      </c>
      <c r="O1402">
        <v>318.47850463058001</v>
      </c>
      <c r="P1402">
        <v>218.85325270090499</v>
      </c>
      <c r="Q1402">
        <v>300.11118229708597</v>
      </c>
      <c r="R1402">
        <v>357.25813100703101</v>
      </c>
      <c r="S1402">
        <v>298.066200587624</v>
      </c>
      <c r="T1402">
        <v>215.39887163231899</v>
      </c>
      <c r="U1402">
        <v>199.136877367355</v>
      </c>
      <c r="V1402">
        <v>219.96043354138499</v>
      </c>
      <c r="W1402">
        <v>240.91682826255999</v>
      </c>
    </row>
    <row r="1403" spans="1:23" x14ac:dyDescent="0.2">
      <c r="A1403" t="s">
        <v>2815</v>
      </c>
      <c r="B1403" s="3" t="str">
        <f>HYPERLINK("http://www.ncbi.nlm.nih.gov/gene/407823","Baz2b")</f>
        <v>Baz2b</v>
      </c>
      <c r="C1403">
        <v>407823</v>
      </c>
      <c r="D1403" t="s">
        <v>2816</v>
      </c>
      <c r="E1403" s="3" t="str">
        <f>HYPERLINK("http://genome.ucsc.edu/cgi-bin/hgTracks?db=mm10&amp;lastVirtModeType=default&amp;lastVirtModeExtraState=&amp;virtModeType=default&amp;virtMode=0&amp;nonVirtPosition=&amp;position=chr2:59899362-60125740","chr2:59899362-60125740")</f>
        <v>chr2:59899362-60125740</v>
      </c>
      <c r="F1403" t="s">
        <v>25</v>
      </c>
      <c r="G1403">
        <v>0.53178075379761203</v>
      </c>
      <c r="H1403">
        <v>0.141256864458224</v>
      </c>
      <c r="I1403">
        <v>3.7646365423528501</v>
      </c>
      <c r="J1403">
        <v>1.66791508700808E-4</v>
      </c>
      <c r="K1403">
        <v>1.59602640108243E-3</v>
      </c>
      <c r="L1403" t="s">
        <v>26</v>
      </c>
      <c r="M1403" t="s">
        <v>27</v>
      </c>
      <c r="N1403">
        <v>335.895027343761</v>
      </c>
      <c r="O1403">
        <v>263.11896640021598</v>
      </c>
      <c r="P1403">
        <v>390.47707305141898</v>
      </c>
      <c r="Q1403">
        <v>272.82834754280498</v>
      </c>
      <c r="R1403">
        <v>256.75557822904398</v>
      </c>
      <c r="S1403">
        <v>259.77297342879802</v>
      </c>
      <c r="T1403">
        <v>481.210245136033</v>
      </c>
      <c r="U1403">
        <v>301.91720116986102</v>
      </c>
      <c r="V1403">
        <v>384.01119166756803</v>
      </c>
      <c r="W1403">
        <v>394.76965423221498</v>
      </c>
    </row>
    <row r="1404" spans="1:23" x14ac:dyDescent="0.2">
      <c r="A1404" t="s">
        <v>2817</v>
      </c>
      <c r="B1404" s="3" t="str">
        <f>HYPERLINK("http://www.ncbi.nlm.nih.gov/gene/232943","Klc3")</f>
        <v>Klc3</v>
      </c>
      <c r="C1404">
        <v>232943</v>
      </c>
      <c r="D1404" t="s">
        <v>2818</v>
      </c>
      <c r="E1404" s="3" t="str">
        <f>HYPERLINK("http://genome.ucsc.edu/cgi-bin/hgTracks?db=mm10&amp;lastVirtModeType=default&amp;lastVirtModeExtraState=&amp;virtModeType=default&amp;virtMode=0&amp;nonVirtPosition=&amp;position=chr7:19394439-19399921","chr7:19394439-19399921")</f>
        <v>chr7:19394439-19399921</v>
      </c>
      <c r="F1404" t="s">
        <v>25</v>
      </c>
      <c r="G1404">
        <v>0.89474288443018402</v>
      </c>
      <c r="H1404">
        <v>0.237674538186157</v>
      </c>
      <c r="I1404">
        <v>3.7645718858171602</v>
      </c>
      <c r="J1404">
        <v>1.6683466941457199E-4</v>
      </c>
      <c r="K1404">
        <v>1.59602640108243E-3</v>
      </c>
      <c r="L1404" t="s">
        <v>26</v>
      </c>
      <c r="M1404" t="s">
        <v>27</v>
      </c>
      <c r="N1404">
        <v>48.518454220245097</v>
      </c>
      <c r="O1404">
        <v>30.5017797932265</v>
      </c>
      <c r="P1404">
        <v>62.030960040509001</v>
      </c>
      <c r="Q1404">
        <v>23.9420794782462</v>
      </c>
      <c r="R1404">
        <v>31.8574129560409</v>
      </c>
      <c r="S1404">
        <v>35.705846945392501</v>
      </c>
      <c r="T1404">
        <v>64.161366018137699</v>
      </c>
      <c r="U1404">
        <v>68.520215868337104</v>
      </c>
      <c r="V1404">
        <v>52.231407295780301</v>
      </c>
      <c r="W1404">
        <v>63.210850979780702</v>
      </c>
    </row>
    <row r="1405" spans="1:23" x14ac:dyDescent="0.2">
      <c r="A1405" t="s">
        <v>2819</v>
      </c>
      <c r="B1405" s="3" t="str">
        <f>HYPERLINK("http://www.ncbi.nlm.nih.gov/gene/54524","Syt6")</f>
        <v>Syt6</v>
      </c>
      <c r="C1405">
        <v>54524</v>
      </c>
      <c r="D1405" t="s">
        <v>2820</v>
      </c>
      <c r="E1405" s="3" t="str">
        <f>HYPERLINK("http://genome.ucsc.edu/cgi-bin/hgTracks?db=mm10&amp;lastVirtModeType=default&amp;lastVirtModeExtraState=&amp;virtModeType=default&amp;virtMode=0&amp;nonVirtPosition=&amp;position=chr3:103575281-103630969","chr3:103575281-103630969")</f>
        <v>chr3:103575281-103630969</v>
      </c>
      <c r="F1405" t="s">
        <v>30</v>
      </c>
      <c r="G1405">
        <v>-0.70780340812199605</v>
      </c>
      <c r="H1405">
        <v>0.18801894929145899</v>
      </c>
      <c r="I1405">
        <v>-3.7645323026712099</v>
      </c>
      <c r="J1405">
        <v>1.6686109786538799E-4</v>
      </c>
      <c r="K1405">
        <v>1.59602640108243E-3</v>
      </c>
      <c r="L1405" t="s">
        <v>26</v>
      </c>
      <c r="M1405" t="s">
        <v>27</v>
      </c>
      <c r="N1405">
        <v>190.04409257374701</v>
      </c>
      <c r="O1405">
        <v>245.37063431502199</v>
      </c>
      <c r="P1405">
        <v>148.54918626778999</v>
      </c>
      <c r="Q1405">
        <v>210.46758239016401</v>
      </c>
      <c r="R1405">
        <v>243.10240124788399</v>
      </c>
      <c r="S1405">
        <v>282.54191930701899</v>
      </c>
      <c r="T1405">
        <v>146.65455089860001</v>
      </c>
      <c r="U1405">
        <v>196.99562062146899</v>
      </c>
      <c r="V1405">
        <v>116.96892619759301</v>
      </c>
      <c r="W1405">
        <v>133.577647353499</v>
      </c>
    </row>
    <row r="1406" spans="1:23" x14ac:dyDescent="0.2">
      <c r="A1406" t="s">
        <v>2821</v>
      </c>
      <c r="B1406" s="3" t="str">
        <f>HYPERLINK("http://www.ncbi.nlm.nih.gov/gene/67808","Tprgl")</f>
        <v>Tprgl</v>
      </c>
      <c r="C1406">
        <v>67808</v>
      </c>
      <c r="D1406" t="s">
        <v>2822</v>
      </c>
      <c r="E1406" s="3" t="str">
        <f>HYPERLINK("http://genome.ucsc.edu/cgi-bin/hgTracks?db=mm10&amp;lastVirtModeType=default&amp;lastVirtModeExtraState=&amp;virtModeType=default&amp;virtMode=0&amp;nonVirtPosition=&amp;position=chr4:154157484-154160684","chr4:154157484-154160684")</f>
        <v>chr4:154157484-154160684</v>
      </c>
      <c r="F1406" t="s">
        <v>25</v>
      </c>
      <c r="G1406">
        <v>-0.68360019865412303</v>
      </c>
      <c r="H1406">
        <v>0.18168861280040699</v>
      </c>
      <c r="I1406">
        <v>-3.7624823488805399</v>
      </c>
      <c r="J1406">
        <v>1.68235185245878E-4</v>
      </c>
      <c r="K1406">
        <v>1.6080209604764899E-3</v>
      </c>
      <c r="L1406" t="s">
        <v>26</v>
      </c>
      <c r="M1406" t="s">
        <v>27</v>
      </c>
      <c r="N1406">
        <v>296.86504230350999</v>
      </c>
      <c r="O1406">
        <v>384.78857146050098</v>
      </c>
      <c r="P1406">
        <v>230.92239543576599</v>
      </c>
      <c r="Q1406">
        <v>412.02648404423599</v>
      </c>
      <c r="R1406">
        <v>398.21766195051202</v>
      </c>
      <c r="S1406">
        <v>344.12156838675401</v>
      </c>
      <c r="T1406">
        <v>164.98636976092499</v>
      </c>
      <c r="U1406">
        <v>321.18851188283003</v>
      </c>
      <c r="V1406">
        <v>194.21255670543701</v>
      </c>
      <c r="W1406">
        <v>243.302143393873</v>
      </c>
    </row>
    <row r="1407" spans="1:23" x14ac:dyDescent="0.2">
      <c r="A1407" t="s">
        <v>2823</v>
      </c>
      <c r="B1407" s="3" t="str">
        <f>HYPERLINK("http://www.ncbi.nlm.nih.gov/gene/17690","Msi1")</f>
        <v>Msi1</v>
      </c>
      <c r="C1407">
        <v>17690</v>
      </c>
      <c r="D1407" t="s">
        <v>2824</v>
      </c>
      <c r="E1407" s="3" t="str">
        <f>HYPERLINK("http://genome.ucsc.edu/cgi-bin/hgTracks?db=mm10&amp;lastVirtModeType=default&amp;lastVirtModeExtraState=&amp;virtModeType=default&amp;virtMode=0&amp;nonVirtPosition=&amp;position=chr5:115429684-115454202","chr5:115429684-115454202")</f>
        <v>chr5:115429684-115454202</v>
      </c>
      <c r="F1407" t="s">
        <v>30</v>
      </c>
      <c r="G1407">
        <v>0.58502651423751995</v>
      </c>
      <c r="H1407">
        <v>0.15554687365793099</v>
      </c>
      <c r="I1407">
        <v>3.76109464934714</v>
      </c>
      <c r="J1407">
        <v>1.6917139661121701E-4</v>
      </c>
      <c r="K1407">
        <v>1.6154350438232299E-3</v>
      </c>
      <c r="L1407" t="s">
        <v>26</v>
      </c>
      <c r="M1407" t="s">
        <v>27</v>
      </c>
      <c r="N1407">
        <v>177.842242400885</v>
      </c>
      <c r="O1407">
        <v>138.92523348042499</v>
      </c>
      <c r="P1407">
        <v>207.02999909123099</v>
      </c>
      <c r="Q1407">
        <v>136.414173771403</v>
      </c>
      <c r="R1407">
        <v>126.67114199187699</v>
      </c>
      <c r="S1407">
        <v>153.69038467799399</v>
      </c>
      <c r="T1407">
        <v>155.82046032976299</v>
      </c>
      <c r="U1407">
        <v>244.103269030951</v>
      </c>
      <c r="V1407">
        <v>211.132590054774</v>
      </c>
      <c r="W1407">
        <v>217.063676949436</v>
      </c>
    </row>
    <row r="1408" spans="1:23" x14ac:dyDescent="0.2">
      <c r="A1408" t="s">
        <v>2825</v>
      </c>
      <c r="B1408" s="3" t="str">
        <f>HYPERLINK("http://www.ncbi.nlm.nih.gov/gene/71819","Kif23")</f>
        <v>Kif23</v>
      </c>
      <c r="C1408">
        <v>71819</v>
      </c>
      <c r="D1408" t="s">
        <v>2826</v>
      </c>
      <c r="E1408" s="3" t="str">
        <f>HYPERLINK("http://genome.ucsc.edu/cgi-bin/hgTracks?db=mm10&amp;lastVirtModeType=default&amp;lastVirtModeExtraState=&amp;virtModeType=default&amp;virtMode=0&amp;nonVirtPosition=&amp;position=chr9:61917277-61946799","chr9:61917277-61946799")</f>
        <v>chr9:61917277-61946799</v>
      </c>
      <c r="F1408" t="s">
        <v>25</v>
      </c>
      <c r="G1408">
        <v>0.97990124835120196</v>
      </c>
      <c r="H1408">
        <v>0.26054445122729603</v>
      </c>
      <c r="I1408">
        <v>3.76097531049068</v>
      </c>
      <c r="J1408">
        <v>1.6925213699380101E-4</v>
      </c>
      <c r="K1408">
        <v>1.6154350438232299E-3</v>
      </c>
      <c r="L1408" t="s">
        <v>26</v>
      </c>
      <c r="M1408" t="s">
        <v>27</v>
      </c>
      <c r="N1408">
        <v>229.54791663719899</v>
      </c>
      <c r="O1408">
        <v>136.42459347180099</v>
      </c>
      <c r="P1408">
        <v>299.39040901124702</v>
      </c>
      <c r="Q1408">
        <v>77.394163894795795</v>
      </c>
      <c r="R1408">
        <v>164.21737869006799</v>
      </c>
      <c r="S1408">
        <v>167.662237830539</v>
      </c>
      <c r="T1408">
        <v>430.797743264639</v>
      </c>
      <c r="U1408">
        <v>182.00682340027001</v>
      </c>
      <c r="V1408">
        <v>310.44582927914502</v>
      </c>
      <c r="W1408">
        <v>274.31124010093498</v>
      </c>
    </row>
    <row r="1409" spans="1:23" x14ac:dyDescent="0.2">
      <c r="A1409" t="s">
        <v>2827</v>
      </c>
      <c r="B1409" s="3" t="str">
        <f>HYPERLINK("http://www.ncbi.nlm.nih.gov/gene/54613","St3gal6")</f>
        <v>St3gal6</v>
      </c>
      <c r="C1409">
        <v>54613</v>
      </c>
      <c r="D1409" t="s">
        <v>2828</v>
      </c>
      <c r="E1409" s="3" t="str">
        <f>HYPERLINK("http://genome.ucsc.edu/cgi-bin/hgTracks?db=mm10&amp;lastVirtModeType=default&amp;lastVirtModeExtraState=&amp;virtModeType=default&amp;virtMode=0&amp;nonVirtPosition=&amp;position=chr16:58470540-58523312","chr16:58470540-58523312")</f>
        <v>chr16:58470540-58523312</v>
      </c>
      <c r="F1409" t="s">
        <v>25</v>
      </c>
      <c r="G1409">
        <v>-0.74471331573423305</v>
      </c>
      <c r="H1409">
        <v>0.19802651617523701</v>
      </c>
      <c r="I1409">
        <v>-3.7606747324445302</v>
      </c>
      <c r="J1409">
        <v>1.6945565795356701E-4</v>
      </c>
      <c r="K1409">
        <v>1.6162255809517201E-3</v>
      </c>
      <c r="L1409" t="s">
        <v>26</v>
      </c>
      <c r="M1409" t="s">
        <v>27</v>
      </c>
      <c r="N1409">
        <v>126.900931394681</v>
      </c>
      <c r="O1409">
        <v>169.97332933478799</v>
      </c>
      <c r="P1409">
        <v>94.5966329395998</v>
      </c>
      <c r="Q1409">
        <v>131.95983340335701</v>
      </c>
      <c r="R1409">
        <v>179.76683025194501</v>
      </c>
      <c r="S1409">
        <v>198.193324349063</v>
      </c>
      <c r="T1409">
        <v>68.744320733718993</v>
      </c>
      <c r="U1409">
        <v>98.497810310734593</v>
      </c>
      <c r="V1409">
        <v>97.841931976602595</v>
      </c>
      <c r="W1409">
        <v>113.30246873734301</v>
      </c>
    </row>
    <row r="1410" spans="1:23" x14ac:dyDescent="0.2">
      <c r="A1410" t="s">
        <v>2829</v>
      </c>
      <c r="B1410" s="3" t="str">
        <f>HYPERLINK("http://www.ncbi.nlm.nih.gov/gene/353310","Zfp703")</f>
        <v>Zfp703</v>
      </c>
      <c r="C1410">
        <v>353310</v>
      </c>
      <c r="D1410" t="s">
        <v>2830</v>
      </c>
      <c r="E1410" s="3" t="str">
        <f>HYPERLINK("http://genome.ucsc.edu/cgi-bin/hgTracks?db=mm10&amp;lastVirtModeType=default&amp;lastVirtModeExtraState=&amp;virtModeType=default&amp;virtMode=0&amp;nonVirtPosition=&amp;position=chr8:26977335-26981462","chr8:26977335-26981462")</f>
        <v>chr8:26977335-26981462</v>
      </c>
      <c r="F1410" t="s">
        <v>30</v>
      </c>
      <c r="G1410">
        <v>1.1247872979997799</v>
      </c>
      <c r="H1410">
        <v>0.29918631040584998</v>
      </c>
      <c r="I1410">
        <v>3.75948784713442</v>
      </c>
      <c r="J1410">
        <v>1.7026154759584701E-4</v>
      </c>
      <c r="K1410">
        <v>1.6227561450932299E-3</v>
      </c>
      <c r="L1410" t="s">
        <v>26</v>
      </c>
      <c r="M1410" t="s">
        <v>27</v>
      </c>
      <c r="N1410">
        <v>129.51884170226299</v>
      </c>
      <c r="O1410">
        <v>68.910911912251805</v>
      </c>
      <c r="P1410">
        <v>174.974789044772</v>
      </c>
      <c r="Q1410">
        <v>48.440951502498102</v>
      </c>
      <c r="R1410">
        <v>35.649962117474402</v>
      </c>
      <c r="S1410">
        <v>122.641822116783</v>
      </c>
      <c r="T1410">
        <v>142.07159618301901</v>
      </c>
      <c r="U1410">
        <v>224.83195831798099</v>
      </c>
      <c r="V1410">
        <v>183.91340597105801</v>
      </c>
      <c r="W1410">
        <v>149.08219570703</v>
      </c>
    </row>
    <row r="1411" spans="1:23" x14ac:dyDescent="0.2">
      <c r="A1411" t="s">
        <v>2831</v>
      </c>
      <c r="B1411" s="3" t="str">
        <f>HYPERLINK("http://www.ncbi.nlm.nih.gov/gene/64297","Gprc5b")</f>
        <v>Gprc5b</v>
      </c>
      <c r="C1411">
        <v>64297</v>
      </c>
      <c r="D1411" t="s">
        <v>2832</v>
      </c>
      <c r="E1411" s="3" t="str">
        <f>HYPERLINK("http://genome.ucsc.edu/cgi-bin/hgTracks?db=mm10&amp;lastVirtModeType=default&amp;lastVirtModeExtraState=&amp;virtModeType=default&amp;virtMode=0&amp;nonVirtPosition=&amp;position=chr7:118972039-118995211","chr7:118972039-118995211")</f>
        <v>chr7:118972039-118995211</v>
      </c>
      <c r="F1411" t="s">
        <v>25</v>
      </c>
      <c r="G1411">
        <v>-0.46159506227282898</v>
      </c>
      <c r="H1411">
        <v>0.122801528587774</v>
      </c>
      <c r="I1411">
        <v>-3.7588706556115699</v>
      </c>
      <c r="J1411">
        <v>1.7068204117019799E-4</v>
      </c>
      <c r="K1411">
        <v>1.62560683734717E-3</v>
      </c>
      <c r="L1411" t="s">
        <v>26</v>
      </c>
      <c r="M1411" t="s">
        <v>27</v>
      </c>
      <c r="N1411">
        <v>640.44641939991902</v>
      </c>
      <c r="O1411">
        <v>765.67580042345901</v>
      </c>
      <c r="P1411">
        <v>546.52438363226304</v>
      </c>
      <c r="Q1411">
        <v>706.01294833525901</v>
      </c>
      <c r="R1411">
        <v>719.06732100778095</v>
      </c>
      <c r="S1411">
        <v>871.94713192733798</v>
      </c>
      <c r="T1411">
        <v>490.37615456719499</v>
      </c>
      <c r="U1411">
        <v>554.58549718435404</v>
      </c>
      <c r="V1411">
        <v>568.66025126250997</v>
      </c>
      <c r="W1411">
        <v>572.47563151499503</v>
      </c>
    </row>
    <row r="1412" spans="1:23" x14ac:dyDescent="0.2">
      <c r="A1412" t="s">
        <v>2833</v>
      </c>
      <c r="B1412" s="3" t="str">
        <f>HYPERLINK("http://www.ncbi.nlm.nih.gov/gene/78246","Phf23")</f>
        <v>Phf23</v>
      </c>
      <c r="C1412">
        <v>78246</v>
      </c>
      <c r="D1412" t="s">
        <v>2834</v>
      </c>
      <c r="E1412" s="3" t="str">
        <f>HYPERLINK("http://genome.ucsc.edu/cgi-bin/hgTracks?db=mm10&amp;lastVirtModeType=default&amp;lastVirtModeExtraState=&amp;virtModeType=default&amp;virtMode=0&amp;nonVirtPosition=&amp;position=chr11:69996940-70000011","chr11:69996940-70000011")</f>
        <v>chr11:69996940-70000011</v>
      </c>
      <c r="F1412" t="s">
        <v>30</v>
      </c>
      <c r="G1412">
        <v>-0.50645210775455296</v>
      </c>
      <c r="H1412">
        <v>0.134747312067521</v>
      </c>
      <c r="I1412">
        <v>-3.7585321739165698</v>
      </c>
      <c r="J1412">
        <v>1.7091306383931599E-4</v>
      </c>
      <c r="K1412">
        <v>1.6266502046000601E-3</v>
      </c>
      <c r="L1412" t="s">
        <v>26</v>
      </c>
      <c r="M1412" t="s">
        <v>27</v>
      </c>
      <c r="N1412">
        <v>182.95776171516101</v>
      </c>
      <c r="O1412">
        <v>220.389390389097</v>
      </c>
      <c r="P1412">
        <v>154.88404020970901</v>
      </c>
      <c r="Q1412">
        <v>226.61456622432999</v>
      </c>
      <c r="R1412">
        <v>210.486478459556</v>
      </c>
      <c r="S1412">
        <v>224.06712648340499</v>
      </c>
      <c r="T1412">
        <v>164.98636976092499</v>
      </c>
      <c r="U1412">
        <v>149.88797221198701</v>
      </c>
      <c r="V1412">
        <v>150.808992896267</v>
      </c>
      <c r="W1412">
        <v>153.85282596965499</v>
      </c>
    </row>
    <row r="1413" spans="1:23" x14ac:dyDescent="0.2">
      <c r="A1413" t="s">
        <v>2835</v>
      </c>
      <c r="B1413" s="3" t="str">
        <f>HYPERLINK("http://www.ncbi.nlm.nih.gov/gene/71994","Cnn3")</f>
        <v>Cnn3</v>
      </c>
      <c r="C1413">
        <v>71994</v>
      </c>
      <c r="D1413" t="s">
        <v>2836</v>
      </c>
      <c r="E1413" s="3" t="str">
        <f>HYPERLINK("http://genome.ucsc.edu/cgi-bin/hgTracks?db=mm10&amp;lastVirtModeType=default&amp;lastVirtModeExtraState=&amp;virtModeType=default&amp;virtMode=0&amp;nonVirtPosition=&amp;position=chr3:121426540-121458205","chr3:121426540-121458205")</f>
        <v>chr3:121426540-121458205</v>
      </c>
      <c r="F1413" t="s">
        <v>30</v>
      </c>
      <c r="G1413">
        <v>-0.38894247682102201</v>
      </c>
      <c r="H1413">
        <v>0.103553406027995</v>
      </c>
      <c r="I1413">
        <v>-3.7559602502681102</v>
      </c>
      <c r="J1413">
        <v>1.7267810165009099E-4</v>
      </c>
      <c r="K1413">
        <v>1.64228157613378E-3</v>
      </c>
      <c r="L1413" t="s">
        <v>26</v>
      </c>
      <c r="M1413" t="s">
        <v>27</v>
      </c>
      <c r="N1413">
        <v>752.56977577184796</v>
      </c>
      <c r="O1413">
        <v>874.83108073072799</v>
      </c>
      <c r="P1413">
        <v>660.87379705268802</v>
      </c>
      <c r="Q1413">
        <v>847.43825502071297</v>
      </c>
      <c r="R1413">
        <v>907.17775941488003</v>
      </c>
      <c r="S1413">
        <v>869.87722775659097</v>
      </c>
      <c r="T1413">
        <v>609.53297717230805</v>
      </c>
      <c r="U1413">
        <v>668.07210471628696</v>
      </c>
      <c r="V1413">
        <v>640.75430640316404</v>
      </c>
      <c r="W1413">
        <v>725.13579991899405</v>
      </c>
    </row>
    <row r="1414" spans="1:23" x14ac:dyDescent="0.2">
      <c r="A1414" t="s">
        <v>2837</v>
      </c>
      <c r="B1414" s="3" t="str">
        <f>HYPERLINK("http://www.ncbi.nlm.nih.gov/gene/100302648","Gm11944")</f>
        <v>Gm11944</v>
      </c>
      <c r="C1414">
        <v>100302648</v>
      </c>
      <c r="D1414" t="s">
        <v>2838</v>
      </c>
      <c r="E1414" s="3" t="str">
        <f>HYPERLINK("http://genome.ucsc.edu/cgi-bin/hgTracks?db=mm10&amp;lastVirtModeType=default&amp;lastVirtModeExtraState=&amp;virtModeType=default&amp;virtMode=0&amp;nonVirtPosition=&amp;position=chr11:3308999-3320722","chr11:3308999-3320722")</f>
        <v>chr11:3308999-3320722</v>
      </c>
      <c r="F1414" t="s">
        <v>30</v>
      </c>
      <c r="G1414">
        <v>1.2363451993847401</v>
      </c>
      <c r="H1414">
        <v>0.329223409233035</v>
      </c>
      <c r="I1414">
        <v>3.7553380613637302</v>
      </c>
      <c r="J1414">
        <v>1.73107660004601E-4</v>
      </c>
      <c r="K1414">
        <v>1.6451984919244899E-3</v>
      </c>
      <c r="L1414" t="s">
        <v>26</v>
      </c>
      <c r="M1414" t="s">
        <v>27</v>
      </c>
      <c r="N1414">
        <v>19.987042712588401</v>
      </c>
      <c r="O1414">
        <v>8.9397067520923201</v>
      </c>
      <c r="P1414">
        <v>28.2725446829605</v>
      </c>
      <c r="Q1414">
        <v>10.0222658281031</v>
      </c>
      <c r="R1414">
        <v>6.4473335744368603</v>
      </c>
      <c r="S1414">
        <v>10.349520853736999</v>
      </c>
      <c r="T1414">
        <v>36.663637724650101</v>
      </c>
      <c r="U1414">
        <v>34.260107934168602</v>
      </c>
      <c r="V1414">
        <v>24.276569588179601</v>
      </c>
      <c r="W1414">
        <v>17.889863484843598</v>
      </c>
    </row>
    <row r="1415" spans="1:23" x14ac:dyDescent="0.2">
      <c r="A1415" t="s">
        <v>2839</v>
      </c>
      <c r="B1415" s="3" t="str">
        <f>HYPERLINK("http://www.ncbi.nlm.nih.gov/gene/73945","Otud4")</f>
        <v>Otud4</v>
      </c>
      <c r="C1415">
        <v>73945</v>
      </c>
      <c r="D1415" t="s">
        <v>2840</v>
      </c>
      <c r="E1415" s="3" t="str">
        <f>HYPERLINK("http://genome.ucsc.edu/cgi-bin/hgTracks?db=mm10&amp;lastVirtModeType=default&amp;lastVirtModeExtraState=&amp;virtModeType=default&amp;virtMode=0&amp;nonVirtPosition=&amp;position=chr8:79639675-79677755","chr8:79639675-79677755")</f>
        <v>chr8:79639675-79677755</v>
      </c>
      <c r="F1415" t="s">
        <v>30</v>
      </c>
      <c r="G1415">
        <v>0.41392727878038998</v>
      </c>
      <c r="H1415">
        <v>0.110235856074615</v>
      </c>
      <c r="I1415">
        <v>3.75492415553262</v>
      </c>
      <c r="J1415">
        <v>1.73393976459823E-4</v>
      </c>
      <c r="K1415">
        <v>1.6467508785627601E-3</v>
      </c>
      <c r="L1415" t="s">
        <v>26</v>
      </c>
      <c r="M1415" t="s">
        <v>27</v>
      </c>
      <c r="N1415">
        <v>523.286384134233</v>
      </c>
      <c r="O1415">
        <v>438.14439124456698</v>
      </c>
      <c r="P1415">
        <v>587.14287880148299</v>
      </c>
      <c r="Q1415">
        <v>399.22025548610497</v>
      </c>
      <c r="R1415">
        <v>452.071860042867</v>
      </c>
      <c r="S1415">
        <v>463.14105820472901</v>
      </c>
      <c r="T1415">
        <v>563.70343001649496</v>
      </c>
      <c r="U1415">
        <v>633.81199678211794</v>
      </c>
      <c r="V1415">
        <v>573.80982662969996</v>
      </c>
      <c r="W1415">
        <v>577.24626177762002</v>
      </c>
    </row>
    <row r="1416" spans="1:23" x14ac:dyDescent="0.2">
      <c r="A1416" t="s">
        <v>2841</v>
      </c>
      <c r="B1416" s="3" t="str">
        <f>HYPERLINK("http://www.ncbi.nlm.nih.gov/gene/15980","Ifngr2")</f>
        <v>Ifngr2</v>
      </c>
      <c r="C1416">
        <v>15980</v>
      </c>
      <c r="D1416" t="s">
        <v>2842</v>
      </c>
      <c r="E1416" s="3" t="str">
        <f>HYPERLINK("http://genome.ucsc.edu/cgi-bin/hgTracks?db=mm10&amp;lastVirtModeType=default&amp;lastVirtModeExtraState=&amp;virtModeType=default&amp;virtMode=0&amp;nonVirtPosition=&amp;position=chr16:91547093-91564007","chr16:91547093-91564007")</f>
        <v>chr16:91547093-91564007</v>
      </c>
      <c r="F1416" t="s">
        <v>30</v>
      </c>
      <c r="G1416">
        <v>-0.512238780191141</v>
      </c>
      <c r="H1416">
        <v>0.13643081272351701</v>
      </c>
      <c r="I1416">
        <v>-3.75456812112682</v>
      </c>
      <c r="J1416">
        <v>1.7364061702758199E-4</v>
      </c>
      <c r="K1416">
        <v>1.6479245234701199E-3</v>
      </c>
      <c r="L1416" t="s">
        <v>26</v>
      </c>
      <c r="M1416" t="s">
        <v>27</v>
      </c>
      <c r="N1416">
        <v>182.576833504479</v>
      </c>
      <c r="O1416">
        <v>223.34464205985</v>
      </c>
      <c r="P1416">
        <v>152.00097708795099</v>
      </c>
      <c r="Q1416">
        <v>216.03550785022099</v>
      </c>
      <c r="R1416">
        <v>230.96624393129699</v>
      </c>
      <c r="S1416">
        <v>223.032174398031</v>
      </c>
      <c r="T1416">
        <v>132.90568675185699</v>
      </c>
      <c r="U1416">
        <v>160.59425594141501</v>
      </c>
      <c r="V1416">
        <v>161.84379725453101</v>
      </c>
      <c r="W1416">
        <v>152.66016840399899</v>
      </c>
    </row>
    <row r="1417" spans="1:23" x14ac:dyDescent="0.2">
      <c r="A1417" t="s">
        <v>2843</v>
      </c>
      <c r="B1417" s="3" t="str">
        <f>HYPERLINK("http://www.ncbi.nlm.nih.gov/gene/100039796","Tgtp2")</f>
        <v>Tgtp2</v>
      </c>
      <c r="C1417">
        <v>100039796</v>
      </c>
      <c r="D1417" t="s">
        <v>2844</v>
      </c>
      <c r="E1417" s="3" t="str">
        <f>HYPERLINK("http://genome.ucsc.edu/cgi-bin/hgTracks?db=mm10&amp;lastVirtModeType=default&amp;lastVirtModeExtraState=&amp;virtModeType=default&amp;virtMode=0&amp;nonVirtPosition=&amp;position=chr11:49057195-49064212","chr11:49057195-49064212")</f>
        <v>chr11:49057195-49064212</v>
      </c>
      <c r="F1417" t="s">
        <v>25</v>
      </c>
      <c r="G1417">
        <v>1.47194395672627</v>
      </c>
      <c r="H1417">
        <v>0.39207451060121501</v>
      </c>
      <c r="I1417">
        <v>3.7542454735686999</v>
      </c>
      <c r="J1417">
        <v>1.7386441402050001E-4</v>
      </c>
      <c r="K1417">
        <v>1.64887986412784E-3</v>
      </c>
      <c r="L1417" t="s">
        <v>26</v>
      </c>
      <c r="M1417" t="s">
        <v>27</v>
      </c>
      <c r="N1417">
        <v>88.071923669366498</v>
      </c>
      <c r="O1417">
        <v>23.147125964687898</v>
      </c>
      <c r="P1417">
        <v>136.76552194787499</v>
      </c>
      <c r="Q1417">
        <v>36.191515490372097</v>
      </c>
      <c r="R1417">
        <v>10.998392568157</v>
      </c>
      <c r="S1417">
        <v>22.2514698355345</v>
      </c>
      <c r="T1417">
        <v>247.47955464138801</v>
      </c>
      <c r="U1417">
        <v>47.107648409481797</v>
      </c>
      <c r="V1417">
        <v>117.704579821477</v>
      </c>
      <c r="W1417">
        <v>134.770304919155</v>
      </c>
    </row>
    <row r="1418" spans="1:23" x14ac:dyDescent="0.2">
      <c r="A1418" t="s">
        <v>2845</v>
      </c>
      <c r="B1418" s="3" t="str">
        <f>HYPERLINK("http://www.ncbi.nlm.nih.gov/gene/225631","Onecut2")</f>
        <v>Onecut2</v>
      </c>
      <c r="C1418">
        <v>225631</v>
      </c>
      <c r="D1418" t="s">
        <v>2846</v>
      </c>
      <c r="E1418" s="3" t="str">
        <f>HYPERLINK("http://genome.ucsc.edu/cgi-bin/hgTracks?db=mm10&amp;lastVirtModeType=default&amp;lastVirtModeExtraState=&amp;virtModeType=default&amp;virtMode=0&amp;nonVirtPosition=&amp;position=chr18:64340363-64398488","chr18:64340363-64398488")</f>
        <v>chr18:64340363-64398488</v>
      </c>
      <c r="F1418" t="s">
        <v>30</v>
      </c>
      <c r="G1418">
        <v>0.97515655212535801</v>
      </c>
      <c r="H1418">
        <v>0.259875257448827</v>
      </c>
      <c r="I1418">
        <v>3.7524024476142399</v>
      </c>
      <c r="J1418">
        <v>1.7514799545091799E-4</v>
      </c>
      <c r="K1418">
        <v>1.65987742893365E-3</v>
      </c>
      <c r="L1418" t="s">
        <v>26</v>
      </c>
      <c r="M1418" t="s">
        <v>27</v>
      </c>
      <c r="N1418">
        <v>42.362820701677101</v>
      </c>
      <c r="O1418">
        <v>24.635748629498401</v>
      </c>
      <c r="P1418">
        <v>55.658124755811102</v>
      </c>
      <c r="Q1418">
        <v>23.385286932240501</v>
      </c>
      <c r="R1418">
        <v>30.340393291467599</v>
      </c>
      <c r="S1418">
        <v>20.181565664787101</v>
      </c>
      <c r="T1418">
        <v>77.910230164881497</v>
      </c>
      <c r="U1418">
        <v>38.5426214259396</v>
      </c>
      <c r="V1418">
        <v>53.702714543548801</v>
      </c>
      <c r="W1418">
        <v>52.4769328888746</v>
      </c>
    </row>
    <row r="1419" spans="1:23" x14ac:dyDescent="0.2">
      <c r="A1419" t="s">
        <v>2847</v>
      </c>
      <c r="B1419" s="3" t="str">
        <f>HYPERLINK("http://www.ncbi.nlm.nih.gov/gene/16408","Itgal")</f>
        <v>Itgal</v>
      </c>
      <c r="C1419">
        <v>16408</v>
      </c>
      <c r="D1419" t="s">
        <v>2848</v>
      </c>
      <c r="E1419" s="3" t="str">
        <f>HYPERLINK("http://genome.ucsc.edu/cgi-bin/hgTracks?db=mm10&amp;lastVirtModeType=default&amp;lastVirtModeExtraState=&amp;virtModeType=default&amp;virtMode=0&amp;nonVirtPosition=&amp;position=chr7:127296259-127335137","chr7:127296259-127335137")</f>
        <v>chr7:127296259-127335137</v>
      </c>
      <c r="F1419" t="s">
        <v>30</v>
      </c>
      <c r="G1419">
        <v>1.0980302916340401</v>
      </c>
      <c r="H1419">
        <v>0.29268504631421599</v>
      </c>
      <c r="I1419">
        <v>3.7515763291002999</v>
      </c>
      <c r="J1419">
        <v>1.7572623623050601E-4</v>
      </c>
      <c r="K1419">
        <v>1.66417965301464E-3</v>
      </c>
      <c r="L1419" t="s">
        <v>26</v>
      </c>
      <c r="M1419" t="s">
        <v>27</v>
      </c>
      <c r="N1419">
        <v>58.835181258115</v>
      </c>
      <c r="O1419">
        <v>31.213143838566801</v>
      </c>
      <c r="P1419">
        <v>79.551709322776105</v>
      </c>
      <c r="Q1419">
        <v>42.873026042440799</v>
      </c>
      <c r="R1419">
        <v>25.410079381604099</v>
      </c>
      <c r="S1419">
        <v>25.3563260916555</v>
      </c>
      <c r="T1419">
        <v>123.739777320694</v>
      </c>
      <c r="U1419">
        <v>36.401364680054101</v>
      </c>
      <c r="V1419">
        <v>75.772323260075694</v>
      </c>
      <c r="W1419">
        <v>82.293372030280594</v>
      </c>
    </row>
    <row r="1420" spans="1:23" x14ac:dyDescent="0.2">
      <c r="A1420" t="s">
        <v>2849</v>
      </c>
      <c r="B1420" s="3" t="str">
        <f>HYPERLINK("http://www.ncbi.nlm.nih.gov/gene/16898","Rps2")</f>
        <v>Rps2</v>
      </c>
      <c r="C1420">
        <v>16898</v>
      </c>
      <c r="D1420" t="s">
        <v>2850</v>
      </c>
      <c r="E1420" s="3" t="str">
        <f>HYPERLINK("http://genome.ucsc.edu/cgi-bin/hgTracks?db=mm10&amp;lastVirtModeType=default&amp;lastVirtModeExtraState=&amp;virtModeType=default&amp;virtMode=0&amp;nonVirtPosition=&amp;position=chr17:24720062-24721927","chr17:24720062-24721927")</f>
        <v>chr17:24720062-24721927</v>
      </c>
      <c r="F1420" t="s">
        <v>30</v>
      </c>
      <c r="G1420">
        <v>1.40613293748172</v>
      </c>
      <c r="H1420">
        <v>0.37500281374162098</v>
      </c>
      <c r="I1420">
        <v>3.74965969842177</v>
      </c>
      <c r="J1420">
        <v>1.7707470131800201E-4</v>
      </c>
      <c r="K1420">
        <v>1.6757648942398401E-3</v>
      </c>
      <c r="L1420" t="s">
        <v>26</v>
      </c>
      <c r="M1420" t="s">
        <v>27</v>
      </c>
      <c r="N1420">
        <v>194.23205129337401</v>
      </c>
      <c r="O1420">
        <v>66.420494130301506</v>
      </c>
      <c r="P1420">
        <v>290.09071916567802</v>
      </c>
      <c r="Q1420">
        <v>30.623590030314901</v>
      </c>
      <c r="R1420">
        <v>41.338785859624601</v>
      </c>
      <c r="S1420">
        <v>127.299106500965</v>
      </c>
      <c r="T1420">
        <v>362.05342253091999</v>
      </c>
      <c r="U1420">
        <v>327.61228212048701</v>
      </c>
      <c r="V1420">
        <v>221.431740789153</v>
      </c>
      <c r="W1420">
        <v>249.26543122215401</v>
      </c>
    </row>
    <row r="1421" spans="1:23" x14ac:dyDescent="0.2">
      <c r="A1421" t="s">
        <v>2851</v>
      </c>
      <c r="B1421" s="3" t="str">
        <f>HYPERLINK("http://www.ncbi.nlm.nih.gov/gene/68877","Maf1")</f>
        <v>Maf1</v>
      </c>
      <c r="C1421">
        <v>68877</v>
      </c>
      <c r="D1421" t="s">
        <v>2852</v>
      </c>
      <c r="E1421" s="3" t="str">
        <f>HYPERLINK("http://genome.ucsc.edu/cgi-bin/hgTracks?db=mm10&amp;lastVirtModeType=default&amp;lastVirtModeExtraState=&amp;virtModeType=default&amp;virtMode=0&amp;nonVirtPosition=&amp;position=chr15:76351293-76354378","chr15:76351293-76354378")</f>
        <v>chr15:76351293-76354378</v>
      </c>
      <c r="F1421" t="s">
        <v>30</v>
      </c>
      <c r="G1421">
        <v>-0.50565429504613602</v>
      </c>
      <c r="H1421">
        <v>0.13491503275642899</v>
      </c>
      <c r="I1421">
        <v>-3.7479462793373801</v>
      </c>
      <c r="J1421">
        <v>1.7828842667497299E-4</v>
      </c>
      <c r="K1421">
        <v>1.6860595491557601E-3</v>
      </c>
      <c r="L1421" t="s">
        <v>26</v>
      </c>
      <c r="M1421" t="s">
        <v>27</v>
      </c>
      <c r="N1421">
        <v>217.111310357279</v>
      </c>
      <c r="O1421">
        <v>264.33153481711901</v>
      </c>
      <c r="P1421">
        <v>181.69614201239801</v>
      </c>
      <c r="Q1421">
        <v>269.487592266771</v>
      </c>
      <c r="R1421">
        <v>240.44761683487999</v>
      </c>
      <c r="S1421">
        <v>283.05939534970599</v>
      </c>
      <c r="T1421">
        <v>164.98636976092499</v>
      </c>
      <c r="U1421">
        <v>188.43059363792699</v>
      </c>
      <c r="V1421">
        <v>186.12036684271001</v>
      </c>
      <c r="W1421">
        <v>187.24723780803001</v>
      </c>
    </row>
    <row r="1422" spans="1:23" x14ac:dyDescent="0.2">
      <c r="A1422" t="s">
        <v>2853</v>
      </c>
      <c r="B1422" s="3" t="str">
        <f>HYPERLINK("http://www.ncbi.nlm.nih.gov/gene/68671","Pcyt2")</f>
        <v>Pcyt2</v>
      </c>
      <c r="C1422">
        <v>68671</v>
      </c>
      <c r="D1422" t="s">
        <v>2854</v>
      </c>
      <c r="E1422" s="3" t="str">
        <f>HYPERLINK("http://genome.ucsc.edu/cgi-bin/hgTracks?db=mm10&amp;lastVirtModeType=default&amp;lastVirtModeExtraState=&amp;virtModeType=default&amp;virtMode=0&amp;nonVirtPosition=&amp;position=chr11:120610086-120617890","chr11:120610086-120617890")</f>
        <v>chr11:120610086-120617890</v>
      </c>
      <c r="F1422" t="s">
        <v>25</v>
      </c>
      <c r="G1422">
        <v>0.79579539771324403</v>
      </c>
      <c r="H1422">
        <v>0.212460433328721</v>
      </c>
      <c r="I1422">
        <v>3.7456169379170099</v>
      </c>
      <c r="J1422">
        <v>1.7995099940179901E-4</v>
      </c>
      <c r="K1422">
        <v>1.7004685130994901E-3</v>
      </c>
      <c r="L1422" t="s">
        <v>26</v>
      </c>
      <c r="M1422" t="s">
        <v>27</v>
      </c>
      <c r="N1422">
        <v>199.42196339790999</v>
      </c>
      <c r="O1422">
        <v>136.743112239851</v>
      </c>
      <c r="P1422">
        <v>246.43110176645499</v>
      </c>
      <c r="Q1422">
        <v>87.416429722898798</v>
      </c>
      <c r="R1422">
        <v>153.59824103805499</v>
      </c>
      <c r="S1422">
        <v>169.214665958599</v>
      </c>
      <c r="T1422">
        <v>192.48409805441301</v>
      </c>
      <c r="U1422">
        <v>291.21091744043298</v>
      </c>
      <c r="V1422">
        <v>242.03004225791199</v>
      </c>
      <c r="W1422">
        <v>259.99934931306001</v>
      </c>
    </row>
    <row r="1423" spans="1:23" x14ac:dyDescent="0.2">
      <c r="A1423" t="s">
        <v>2855</v>
      </c>
      <c r="B1423" s="3" t="str">
        <f>HYPERLINK("http://www.ncbi.nlm.nih.gov/gene/21916","Tmod1")</f>
        <v>Tmod1</v>
      </c>
      <c r="C1423">
        <v>21916</v>
      </c>
      <c r="D1423" t="s">
        <v>2856</v>
      </c>
      <c r="E1423" s="3" t="str">
        <f>HYPERLINK("http://genome.ucsc.edu/cgi-bin/hgTracks?db=mm10&amp;lastVirtModeType=default&amp;lastVirtModeExtraState=&amp;virtModeType=default&amp;virtMode=0&amp;nonVirtPosition=&amp;position=chr4:46039221-46116032","chr4:46039221-46116032")</f>
        <v>chr4:46039221-46116032</v>
      </c>
      <c r="F1423" t="s">
        <v>30</v>
      </c>
      <c r="G1423">
        <v>-1.0514053357397299</v>
      </c>
      <c r="H1423">
        <v>0.28071486965140702</v>
      </c>
      <c r="I1423">
        <v>-3.7454565091096401</v>
      </c>
      <c r="J1423">
        <v>1.8006604074192201E-4</v>
      </c>
      <c r="K1423">
        <v>1.7004685130994901E-3</v>
      </c>
      <c r="L1423" t="s">
        <v>26</v>
      </c>
      <c r="M1423" t="s">
        <v>27</v>
      </c>
      <c r="N1423">
        <v>36.714326116870502</v>
      </c>
      <c r="O1423">
        <v>55.558385446176501</v>
      </c>
      <c r="P1423">
        <v>22.581281619891101</v>
      </c>
      <c r="Q1423">
        <v>42.316233496435103</v>
      </c>
      <c r="R1423">
        <v>70.541414402662099</v>
      </c>
      <c r="S1423">
        <v>53.817508439432203</v>
      </c>
      <c r="T1423">
        <v>18.3318188623251</v>
      </c>
      <c r="U1423">
        <v>19.2713107129698</v>
      </c>
      <c r="V1423">
        <v>26.483530459832298</v>
      </c>
      <c r="W1423">
        <v>26.2384664444373</v>
      </c>
    </row>
    <row r="1424" spans="1:23" x14ac:dyDescent="0.2">
      <c r="A1424" t="s">
        <v>2857</v>
      </c>
      <c r="B1424" s="3" t="str">
        <f>HYPERLINK("http://www.ncbi.nlm.nih.gov/gene/54650","Sfmbt1")</f>
        <v>Sfmbt1</v>
      </c>
      <c r="C1424">
        <v>54650</v>
      </c>
      <c r="D1424" t="s">
        <v>2858</v>
      </c>
      <c r="E1424" s="3" t="str">
        <f>HYPERLINK("http://genome.ucsc.edu/cgi-bin/hgTracks?db=mm10&amp;lastVirtModeType=default&amp;lastVirtModeExtraState=&amp;virtModeType=default&amp;virtMode=0&amp;nonVirtPosition=&amp;position=chr14:30714848-30822721","chr14:30714848-30822721")</f>
        <v>chr14:30714848-30822721</v>
      </c>
      <c r="F1424" t="s">
        <v>30</v>
      </c>
      <c r="G1424">
        <v>0.54993077396383205</v>
      </c>
      <c r="H1424">
        <v>0.14686497463655801</v>
      </c>
      <c r="I1424">
        <v>3.7444651137871898</v>
      </c>
      <c r="J1424">
        <v>1.80778492418529E-4</v>
      </c>
      <c r="K1424">
        <v>1.70599351090664E-3</v>
      </c>
      <c r="L1424" t="s">
        <v>26</v>
      </c>
      <c r="M1424" t="s">
        <v>27</v>
      </c>
      <c r="N1424">
        <v>192.28919725503599</v>
      </c>
      <c r="O1424">
        <v>149.823088537129</v>
      </c>
      <c r="P1424">
        <v>224.13877879346799</v>
      </c>
      <c r="Q1424">
        <v>136.414173771403</v>
      </c>
      <c r="R1424">
        <v>144.87537796675801</v>
      </c>
      <c r="S1424">
        <v>168.17971387322501</v>
      </c>
      <c r="T1424">
        <v>229.147735779063</v>
      </c>
      <c r="U1424">
        <v>246.24452577683701</v>
      </c>
      <c r="V1424">
        <v>224.37435528469001</v>
      </c>
      <c r="W1424">
        <v>196.78849833327999</v>
      </c>
    </row>
    <row r="1425" spans="1:23" x14ac:dyDescent="0.2">
      <c r="A1425" t="s">
        <v>2859</v>
      </c>
      <c r="B1425" s="3" t="str">
        <f>HYPERLINK("http://www.ncbi.nlm.nih.gov/gene/67955","Sugt1")</f>
        <v>Sugt1</v>
      </c>
      <c r="C1425">
        <v>67955</v>
      </c>
      <c r="D1425" t="s">
        <v>2860</v>
      </c>
      <c r="E1425" s="3" t="str">
        <f>HYPERLINK("http://genome.ucsc.edu/cgi-bin/hgTracks?db=mm10&amp;lastVirtModeType=default&amp;lastVirtModeExtraState=&amp;virtModeType=default&amp;virtMode=0&amp;nonVirtPosition=&amp;position=chr14:79587690-79629755","chr14:79587690-79629755")</f>
        <v>chr14:79587690-79629755</v>
      </c>
      <c r="F1425" t="s">
        <v>30</v>
      </c>
      <c r="G1425">
        <v>-0.45430653106357999</v>
      </c>
      <c r="H1425">
        <v>0.121341339917046</v>
      </c>
      <c r="I1425">
        <v>-3.7440375339036298</v>
      </c>
      <c r="J1425">
        <v>1.8108658371942201E-4</v>
      </c>
      <c r="K1425">
        <v>1.7076974947794199E-3</v>
      </c>
      <c r="L1425" t="s">
        <v>26</v>
      </c>
      <c r="M1425" t="s">
        <v>27</v>
      </c>
      <c r="N1425">
        <v>298.499156930249</v>
      </c>
      <c r="O1425">
        <v>357.18930432928101</v>
      </c>
      <c r="P1425">
        <v>254.481546380975</v>
      </c>
      <c r="Q1425">
        <v>350.22251143760099</v>
      </c>
      <c r="R1425">
        <v>372.04907273662099</v>
      </c>
      <c r="S1425">
        <v>349.29632881362198</v>
      </c>
      <c r="T1425">
        <v>238.31364521022601</v>
      </c>
      <c r="U1425">
        <v>237.67949879329399</v>
      </c>
      <c r="V1425">
        <v>279.548377076007</v>
      </c>
      <c r="W1425">
        <v>262.38466444437302</v>
      </c>
    </row>
    <row r="1426" spans="1:23" x14ac:dyDescent="0.2">
      <c r="A1426" t="s">
        <v>2861</v>
      </c>
      <c r="B1426" s="3" t="str">
        <f>HYPERLINK("http://www.ncbi.nlm.nih.gov/gene/68526","Gpr155")</f>
        <v>Gpr155</v>
      </c>
      <c r="C1426">
        <v>68526</v>
      </c>
      <c r="D1426" t="s">
        <v>2862</v>
      </c>
      <c r="E1426" s="3" t="str">
        <f>HYPERLINK("http://genome.ucsc.edu/cgi-bin/hgTracks?db=mm10&amp;lastVirtModeType=default&amp;lastVirtModeExtraState=&amp;virtModeType=default&amp;virtMode=0&amp;nonVirtPosition=&amp;position=chr2:73341505-73386480","chr2:73341505-73386480")</f>
        <v>chr2:73341505-73386480</v>
      </c>
      <c r="F1426" t="s">
        <v>25</v>
      </c>
      <c r="G1426">
        <v>-0.70175502944354595</v>
      </c>
      <c r="H1426">
        <v>0.18746356084431701</v>
      </c>
      <c r="I1426">
        <v>-3.7434209949011499</v>
      </c>
      <c r="J1426">
        <v>1.81531698113678E-4</v>
      </c>
      <c r="K1426">
        <v>1.7106903373963901E-3</v>
      </c>
      <c r="L1426" t="s">
        <v>26</v>
      </c>
      <c r="M1426" t="s">
        <v>27</v>
      </c>
      <c r="N1426">
        <v>316.05872484687399</v>
      </c>
      <c r="O1426">
        <v>412.41879639024899</v>
      </c>
      <c r="P1426">
        <v>243.788671189344</v>
      </c>
      <c r="Q1426">
        <v>531.73688143546701</v>
      </c>
      <c r="R1426">
        <v>357.25813100703101</v>
      </c>
      <c r="S1426">
        <v>348.26137672824802</v>
      </c>
      <c r="T1426">
        <v>201.650007485576</v>
      </c>
      <c r="U1426">
        <v>299.77594442397498</v>
      </c>
      <c r="V1426">
        <v>262.62834372666998</v>
      </c>
      <c r="W1426">
        <v>211.100389121154</v>
      </c>
    </row>
    <row r="1427" spans="1:23" x14ac:dyDescent="0.2">
      <c r="A1427" t="s">
        <v>2863</v>
      </c>
      <c r="B1427" s="3" t="str">
        <f>HYPERLINK("http://www.ncbi.nlm.nih.gov/gene/60440","Iigp1")</f>
        <v>Iigp1</v>
      </c>
      <c r="C1427">
        <v>60440</v>
      </c>
      <c r="D1427" t="s">
        <v>2864</v>
      </c>
      <c r="E1427" s="3" t="str">
        <f>HYPERLINK("http://genome.ucsc.edu/cgi-bin/hgTracks?db=mm10&amp;lastVirtModeType=default&amp;lastVirtModeExtraState=&amp;virtModeType=default&amp;virtMode=0&amp;nonVirtPosition=&amp;position=chr18:60376028-60392629","chr18:60376028-60392629")</f>
        <v>chr18:60376028-60392629</v>
      </c>
      <c r="F1427" t="s">
        <v>30</v>
      </c>
      <c r="G1427">
        <v>1.4916180532285499</v>
      </c>
      <c r="H1427">
        <v>0.39850046640334202</v>
      </c>
      <c r="I1427">
        <v>3.7430773085189002</v>
      </c>
      <c r="J1427">
        <v>1.81780271084231E-4</v>
      </c>
      <c r="K1427">
        <v>1.7109009119906501E-3</v>
      </c>
      <c r="L1427" t="s">
        <v>26</v>
      </c>
      <c r="M1427" t="s">
        <v>27</v>
      </c>
      <c r="N1427">
        <v>231.15409008596299</v>
      </c>
      <c r="O1427">
        <v>48.419846632583003</v>
      </c>
      <c r="P1427">
        <v>368.20477267599802</v>
      </c>
      <c r="Q1427">
        <v>60.690387514624</v>
      </c>
      <c r="R1427">
        <v>34.891452285187697</v>
      </c>
      <c r="S1427">
        <v>49.677700097937397</v>
      </c>
      <c r="T1427">
        <v>765.35343750207096</v>
      </c>
      <c r="U1427">
        <v>79.2264995977648</v>
      </c>
      <c r="V1427">
        <v>269.249226341628</v>
      </c>
      <c r="W1427">
        <v>358.989927262528</v>
      </c>
    </row>
    <row r="1428" spans="1:23" x14ac:dyDescent="0.2">
      <c r="A1428" t="s">
        <v>2865</v>
      </c>
      <c r="B1428" s="3" t="str">
        <f>HYPERLINK("http://www.ncbi.nlm.nih.gov/gene/13200","Ddost")</f>
        <v>Ddost</v>
      </c>
      <c r="C1428">
        <v>13200</v>
      </c>
      <c r="D1428" t="s">
        <v>2866</v>
      </c>
      <c r="E1428" s="3" t="str">
        <f>HYPERLINK("http://genome.ucsc.edu/cgi-bin/hgTracks?db=mm10&amp;lastVirtModeType=default&amp;lastVirtModeExtraState=&amp;virtModeType=default&amp;virtMode=0&amp;nonVirtPosition=&amp;position=chr4:138304737-138312611","chr4:138304737-138312611")</f>
        <v>chr4:138304737-138312611</v>
      </c>
      <c r="F1428" t="s">
        <v>30</v>
      </c>
      <c r="G1428">
        <v>-0.524057075846729</v>
      </c>
      <c r="H1428">
        <v>0.14000852799822799</v>
      </c>
      <c r="I1428">
        <v>-3.7430368231095201</v>
      </c>
      <c r="J1428">
        <v>1.8180957342713001E-4</v>
      </c>
      <c r="K1428">
        <v>1.7109009119906501E-3</v>
      </c>
      <c r="L1428" t="s">
        <v>26</v>
      </c>
      <c r="M1428" t="s">
        <v>27</v>
      </c>
      <c r="N1428">
        <v>736.08920021607003</v>
      </c>
      <c r="O1428">
        <v>903.085342773256</v>
      </c>
      <c r="P1428">
        <v>610.842093298181</v>
      </c>
      <c r="Q1428">
        <v>857.46052084881603</v>
      </c>
      <c r="R1428">
        <v>936.38038795791795</v>
      </c>
      <c r="S1428">
        <v>915.41511951303301</v>
      </c>
      <c r="T1428">
        <v>439.96365269580099</v>
      </c>
      <c r="U1428">
        <v>678.778388445715</v>
      </c>
      <c r="V1428">
        <v>649.582149889775</v>
      </c>
      <c r="W1428">
        <v>675.04418216143199</v>
      </c>
    </row>
    <row r="1429" spans="1:23" x14ac:dyDescent="0.2">
      <c r="A1429" t="s">
        <v>2867</v>
      </c>
      <c r="B1429" s="3" t="str">
        <f>HYPERLINK("http://www.ncbi.nlm.nih.gov/gene/18021","Nfatc3")</f>
        <v>Nfatc3</v>
      </c>
      <c r="C1429">
        <v>18021</v>
      </c>
      <c r="D1429" t="s">
        <v>2868</v>
      </c>
      <c r="E1429" s="3" t="str">
        <f>HYPERLINK("http://genome.ucsc.edu/cgi-bin/hgTracks?db=mm10&amp;lastVirtModeType=default&amp;lastVirtModeExtraState=&amp;virtModeType=default&amp;virtMode=0&amp;nonVirtPosition=&amp;position=chr8:106059602-106130537","chr8:106059602-106130537")</f>
        <v>chr8:106059602-106130537</v>
      </c>
      <c r="F1429" t="s">
        <v>30</v>
      </c>
      <c r="G1429">
        <v>0.57456100427543599</v>
      </c>
      <c r="H1429">
        <v>0.15353081626715701</v>
      </c>
      <c r="I1429">
        <v>3.7423171337515102</v>
      </c>
      <c r="J1429">
        <v>1.82331208576707E-4</v>
      </c>
      <c r="K1429">
        <v>1.7146047851479499E-3</v>
      </c>
      <c r="L1429" t="s">
        <v>26</v>
      </c>
      <c r="M1429" t="s">
        <v>27</v>
      </c>
      <c r="N1429">
        <v>211.64612361149099</v>
      </c>
      <c r="O1429">
        <v>166.56864533271499</v>
      </c>
      <c r="P1429">
        <v>245.454232320573</v>
      </c>
      <c r="Q1429">
        <v>158.12908306562599</v>
      </c>
      <c r="R1429">
        <v>158.90780986406099</v>
      </c>
      <c r="S1429">
        <v>182.669043068457</v>
      </c>
      <c r="T1429">
        <v>206.23296220115699</v>
      </c>
      <c r="U1429">
        <v>229.11447180975199</v>
      </c>
      <c r="V1429">
        <v>297.20406404922898</v>
      </c>
      <c r="W1429">
        <v>249.26543122215401</v>
      </c>
    </row>
    <row r="1430" spans="1:23" x14ac:dyDescent="0.2">
      <c r="A1430" t="s">
        <v>2869</v>
      </c>
      <c r="B1430" s="3" t="str">
        <f>HYPERLINK("http://www.ncbi.nlm.nih.gov/gene/244579","Tox3")</f>
        <v>Tox3</v>
      </c>
      <c r="C1430">
        <v>244579</v>
      </c>
      <c r="D1430" t="s">
        <v>2870</v>
      </c>
      <c r="E1430" s="3" t="str">
        <f>HYPERLINK("http://genome.ucsc.edu/cgi-bin/hgTracks?db=mm10&amp;lastVirtModeType=default&amp;lastVirtModeExtraState=&amp;virtModeType=default&amp;virtMode=0&amp;nonVirtPosition=&amp;position=chr8:90247111-90348252","chr8:90247111-90348252")</f>
        <v>chr8:90247111-90348252</v>
      </c>
      <c r="F1430" t="s">
        <v>25</v>
      </c>
      <c r="G1430">
        <v>-0.836858691527263</v>
      </c>
      <c r="H1430">
        <v>0.22370190063789699</v>
      </c>
      <c r="I1430">
        <v>-3.7409547667718401</v>
      </c>
      <c r="J1430">
        <v>1.83322515336073E-4</v>
      </c>
      <c r="K1430">
        <v>1.72271705464235E-3</v>
      </c>
      <c r="L1430" t="s">
        <v>26</v>
      </c>
      <c r="M1430" t="s">
        <v>27</v>
      </c>
      <c r="N1430">
        <v>83.605008968749999</v>
      </c>
      <c r="O1430">
        <v>113.662347034023</v>
      </c>
      <c r="P1430">
        <v>61.062005419795398</v>
      </c>
      <c r="Q1430">
        <v>143.652476869477</v>
      </c>
      <c r="R1430">
        <v>108.84616093314</v>
      </c>
      <c r="S1430">
        <v>88.488403299450994</v>
      </c>
      <c r="T1430">
        <v>73.327275449300203</v>
      </c>
      <c r="U1430">
        <v>47.107648409481797</v>
      </c>
      <c r="V1430">
        <v>61.7949044062753</v>
      </c>
      <c r="W1430">
        <v>62.018193414124497</v>
      </c>
    </row>
    <row r="1431" spans="1:23" x14ac:dyDescent="0.2">
      <c r="A1431" t="s">
        <v>2871</v>
      </c>
      <c r="B1431" s="3" t="str">
        <f>HYPERLINK("http://www.ncbi.nlm.nih.gov/gene/241627","Wdr76")</f>
        <v>Wdr76</v>
      </c>
      <c r="C1431">
        <v>241627</v>
      </c>
      <c r="D1431" t="s">
        <v>2872</v>
      </c>
      <c r="E1431" s="3" t="str">
        <f>HYPERLINK("http://genome.ucsc.edu/cgi-bin/hgTracks?db=mm10&amp;lastVirtModeType=default&amp;lastVirtModeExtraState=&amp;virtModeType=default&amp;virtMode=0&amp;nonVirtPosition=&amp;position=chr2:121506722-121544859","chr2:121506722-121544859")</f>
        <v>chr2:121506722-121544859</v>
      </c>
      <c r="F1431" t="s">
        <v>30</v>
      </c>
      <c r="G1431">
        <v>0.82578170376097004</v>
      </c>
      <c r="H1431">
        <v>0.220754031218201</v>
      </c>
      <c r="I1431">
        <v>3.7407321587923201</v>
      </c>
      <c r="J1431">
        <v>1.8348497363254401E-4</v>
      </c>
      <c r="K1431">
        <v>1.7230345595465699E-3</v>
      </c>
      <c r="L1431" t="s">
        <v>26</v>
      </c>
      <c r="M1431" t="s">
        <v>27</v>
      </c>
      <c r="N1431">
        <v>138.11242750026699</v>
      </c>
      <c r="O1431">
        <v>90.326391886278799</v>
      </c>
      <c r="P1431">
        <v>173.95195421075701</v>
      </c>
      <c r="Q1431">
        <v>66.258312974681303</v>
      </c>
      <c r="R1431">
        <v>102.778082274846</v>
      </c>
      <c r="S1431">
        <v>101.94278040930899</v>
      </c>
      <c r="T1431">
        <v>210.81591691673799</v>
      </c>
      <c r="U1431">
        <v>214.12567458855401</v>
      </c>
      <c r="V1431">
        <v>136.09592041858301</v>
      </c>
      <c r="W1431">
        <v>134.770304919155</v>
      </c>
    </row>
    <row r="1432" spans="1:23" x14ac:dyDescent="0.2">
      <c r="A1432" t="s">
        <v>2873</v>
      </c>
      <c r="B1432" s="3" t="str">
        <f>HYPERLINK("http://www.ncbi.nlm.nih.gov/gene/22343","Lin7c")</f>
        <v>Lin7c</v>
      </c>
      <c r="C1432">
        <v>22343</v>
      </c>
      <c r="D1432" t="s">
        <v>2874</v>
      </c>
      <c r="E1432" s="3" t="str">
        <f>HYPERLINK("http://genome.ucsc.edu/cgi-bin/hgTracks?db=mm10&amp;lastVirtModeType=default&amp;lastVirtModeExtraState=&amp;virtModeType=default&amp;virtMode=0&amp;nonVirtPosition=&amp;position=chr2:109890877-109900936","chr2:109890877-109900936")</f>
        <v>chr2:109890877-109900936</v>
      </c>
      <c r="F1432" t="s">
        <v>30</v>
      </c>
      <c r="G1432">
        <v>-0.47599002841254001</v>
      </c>
      <c r="H1432">
        <v>0.12733135843478999</v>
      </c>
      <c r="I1432">
        <v>-3.7381995626498199</v>
      </c>
      <c r="J1432">
        <v>1.8534280495977799E-4</v>
      </c>
      <c r="K1432">
        <v>1.73926103799326E-3</v>
      </c>
      <c r="L1432" t="s">
        <v>26</v>
      </c>
      <c r="M1432" t="s">
        <v>27</v>
      </c>
      <c r="N1432">
        <v>614.23013018423103</v>
      </c>
      <c r="O1432">
        <v>733.67149001421899</v>
      </c>
      <c r="P1432">
        <v>524.64911031173995</v>
      </c>
      <c r="Q1432">
        <v>646.99293845865202</v>
      </c>
      <c r="R1432">
        <v>851.80654165795204</v>
      </c>
      <c r="S1432">
        <v>702.214989926052</v>
      </c>
      <c r="T1432">
        <v>545.37161115416995</v>
      </c>
      <c r="U1432">
        <v>509.61910552075699</v>
      </c>
      <c r="V1432">
        <v>525.99234107722498</v>
      </c>
      <c r="W1432">
        <v>517.61338349480798</v>
      </c>
    </row>
    <row r="1433" spans="1:23" x14ac:dyDescent="0.2">
      <c r="A1433" t="s">
        <v>2875</v>
      </c>
      <c r="B1433" s="3" t="str">
        <f>HYPERLINK("http://www.ncbi.nlm.nih.gov/gene/106618","Wdr90")</f>
        <v>Wdr90</v>
      </c>
      <c r="C1433">
        <v>106618</v>
      </c>
      <c r="D1433" t="s">
        <v>2876</v>
      </c>
      <c r="E1433" s="3" t="str">
        <f>HYPERLINK("http://genome.ucsc.edu/cgi-bin/hgTracks?db=mm10&amp;lastVirtModeType=default&amp;lastVirtModeExtraState=&amp;virtModeType=default&amp;virtMode=0&amp;nonVirtPosition=&amp;position=chr17:25844733-25861515","chr17:25844733-25861515")</f>
        <v>chr17:25844733-25861515</v>
      </c>
      <c r="F1433" t="s">
        <v>25</v>
      </c>
      <c r="G1433">
        <v>1.0254316902360401</v>
      </c>
      <c r="H1433">
        <v>0.27460494995606599</v>
      </c>
      <c r="I1433">
        <v>3.7342068684490202</v>
      </c>
      <c r="J1433">
        <v>1.8830767008261599E-4</v>
      </c>
      <c r="K1433">
        <v>1.76584594543159E-3</v>
      </c>
      <c r="L1433" t="s">
        <v>26</v>
      </c>
      <c r="M1433" t="s">
        <v>27</v>
      </c>
      <c r="N1433">
        <v>219.55173307030699</v>
      </c>
      <c r="O1433">
        <v>125.89142279762601</v>
      </c>
      <c r="P1433">
        <v>289.79696577481798</v>
      </c>
      <c r="Q1433">
        <v>58.463217330601097</v>
      </c>
      <c r="R1433">
        <v>119.465298585154</v>
      </c>
      <c r="S1433">
        <v>199.74575247712301</v>
      </c>
      <c r="T1433">
        <v>357.47046781533902</v>
      </c>
      <c r="U1433">
        <v>301.91720116986102</v>
      </c>
      <c r="V1433">
        <v>230.25958427576401</v>
      </c>
      <c r="W1433">
        <v>269.54060983830999</v>
      </c>
    </row>
    <row r="1434" spans="1:23" x14ac:dyDescent="0.2">
      <c r="A1434" t="s">
        <v>2877</v>
      </c>
      <c r="B1434" s="3" t="str">
        <f>HYPERLINK("http://www.ncbi.nlm.nih.gov/gene/70579","Zc3h11a")</f>
        <v>Zc3h11a</v>
      </c>
      <c r="C1434">
        <v>70579</v>
      </c>
      <c r="D1434" t="s">
        <v>2878</v>
      </c>
      <c r="E1434" s="3" t="str">
        <f>HYPERLINK("http://genome.ucsc.edu/cgi-bin/hgTracks?db=mm10&amp;lastVirtModeType=default&amp;lastVirtModeExtraState=&amp;virtModeType=default&amp;virtMode=0&amp;nonVirtPosition=&amp;position=chr1:133619870-133661399","chr1:133619870-133661399")</f>
        <v>chr1:133619870-133661399</v>
      </c>
      <c r="F1434" t="s">
        <v>25</v>
      </c>
      <c r="G1434">
        <v>0.80835657823243601</v>
      </c>
      <c r="H1434">
        <v>0.216511878359232</v>
      </c>
      <c r="I1434">
        <v>3.7335437868735601</v>
      </c>
      <c r="J1434">
        <v>1.88804351944749E-4</v>
      </c>
      <c r="K1434">
        <v>1.7692645744521601E-3</v>
      </c>
      <c r="L1434" t="s">
        <v>26</v>
      </c>
      <c r="M1434" t="s">
        <v>27</v>
      </c>
      <c r="N1434">
        <v>111.043511385285</v>
      </c>
      <c r="O1434">
        <v>74.567737166741793</v>
      </c>
      <c r="P1434">
        <v>138.40034204919201</v>
      </c>
      <c r="Q1434">
        <v>65.701520428675593</v>
      </c>
      <c r="R1434">
        <v>59.163766918361802</v>
      </c>
      <c r="S1434">
        <v>98.837924153187899</v>
      </c>
      <c r="T1434">
        <v>151.237505614182</v>
      </c>
      <c r="U1434">
        <v>152.02922895787299</v>
      </c>
      <c r="V1434">
        <v>144.18811028130901</v>
      </c>
      <c r="W1434">
        <v>106.14652334340499</v>
      </c>
    </row>
    <row r="1435" spans="1:23" x14ac:dyDescent="0.2">
      <c r="A1435" t="s">
        <v>2879</v>
      </c>
      <c r="B1435" s="3" t="str">
        <f>HYPERLINK("http://www.ncbi.nlm.nih.gov/gene/116733","Vps4a")</f>
        <v>Vps4a</v>
      </c>
      <c r="C1435">
        <v>116733</v>
      </c>
      <c r="D1435" t="s">
        <v>2880</v>
      </c>
      <c r="E1435" s="3" t="str">
        <f>HYPERLINK("http://genome.ucsc.edu/cgi-bin/hgTracks?db=mm10&amp;lastVirtModeType=default&amp;lastVirtModeExtraState=&amp;virtModeType=default&amp;virtMode=0&amp;nonVirtPosition=&amp;position=chr8:107031325-107045756","chr8:107031325-107045756")</f>
        <v>chr8:107031325-107045756</v>
      </c>
      <c r="F1435" t="s">
        <v>30</v>
      </c>
      <c r="G1435">
        <v>-0.53084119279786801</v>
      </c>
      <c r="H1435">
        <v>0.14221663272611201</v>
      </c>
      <c r="I1435">
        <v>-3.7326238332487498</v>
      </c>
      <c r="J1435">
        <v>1.89495483560455E-4</v>
      </c>
      <c r="K1435">
        <v>1.7744993149357E-3</v>
      </c>
      <c r="L1435" t="s">
        <v>26</v>
      </c>
      <c r="M1435" t="s">
        <v>27</v>
      </c>
      <c r="N1435">
        <v>315.36645179111798</v>
      </c>
      <c r="O1435">
        <v>383.90315571121403</v>
      </c>
      <c r="P1435">
        <v>263.96392385104701</v>
      </c>
      <c r="Q1435">
        <v>420.93516478032802</v>
      </c>
      <c r="R1435">
        <v>411.49158401552899</v>
      </c>
      <c r="S1435">
        <v>319.28271833778501</v>
      </c>
      <c r="T1435">
        <v>274.97728293487597</v>
      </c>
      <c r="U1435">
        <v>269.79834998157702</v>
      </c>
      <c r="V1435">
        <v>267.77791909386002</v>
      </c>
      <c r="W1435">
        <v>243.302143393873</v>
      </c>
    </row>
    <row r="1436" spans="1:23" x14ac:dyDescent="0.2">
      <c r="A1436" t="s">
        <v>2881</v>
      </c>
      <c r="B1436" s="3" t="str">
        <f>HYPERLINK("http://www.ncbi.nlm.nih.gov/gene/75608","Chmp4b")</f>
        <v>Chmp4b</v>
      </c>
      <c r="C1436">
        <v>75608</v>
      </c>
      <c r="D1436" t="s">
        <v>2882</v>
      </c>
      <c r="E1436" s="3" t="str">
        <f>HYPERLINK("http://genome.ucsc.edu/cgi-bin/hgTracks?db=mm10&amp;lastVirtModeType=default&amp;lastVirtModeExtraState=&amp;virtModeType=default&amp;virtMode=0&amp;nonVirtPosition=&amp;position=chr2:154657025-154694783","chr2:154657025-154694783")</f>
        <v>chr2:154657025-154694783</v>
      </c>
      <c r="F1436" t="s">
        <v>30</v>
      </c>
      <c r="G1436">
        <v>-0.52862861632718094</v>
      </c>
      <c r="H1436">
        <v>0.141639734191223</v>
      </c>
      <c r="I1436">
        <v>-3.73220565080628</v>
      </c>
      <c r="J1436">
        <v>1.89810436087551E-4</v>
      </c>
      <c r="K1436">
        <v>1.77620653364667E-3</v>
      </c>
      <c r="L1436" t="s">
        <v>26</v>
      </c>
      <c r="M1436" t="s">
        <v>27</v>
      </c>
      <c r="N1436">
        <v>374.53296919088399</v>
      </c>
      <c r="O1436">
        <v>460.30768169678402</v>
      </c>
      <c r="P1436">
        <v>310.20193481145901</v>
      </c>
      <c r="Q1436">
        <v>454.34271754067203</v>
      </c>
      <c r="R1436">
        <v>480.51597875361801</v>
      </c>
      <c r="S1436">
        <v>446.06434879606297</v>
      </c>
      <c r="T1436">
        <v>229.147735779063</v>
      </c>
      <c r="U1436">
        <v>387.56747100528202</v>
      </c>
      <c r="V1436">
        <v>300.88233216865001</v>
      </c>
      <c r="W1436">
        <v>323.21020029284102</v>
      </c>
    </row>
    <row r="1437" spans="1:23" x14ac:dyDescent="0.2">
      <c r="A1437" t="s">
        <v>2883</v>
      </c>
      <c r="B1437" s="3" t="str">
        <f>HYPERLINK("http://www.ncbi.nlm.nih.gov/gene/80281","Cttnbp2nl")</f>
        <v>Cttnbp2nl</v>
      </c>
      <c r="C1437">
        <v>80281</v>
      </c>
      <c r="D1437" t="s">
        <v>2884</v>
      </c>
      <c r="E1437" s="3" t="str">
        <f>HYPERLINK("http://genome.ucsc.edu/cgi-bin/hgTracks?db=mm10&amp;lastVirtModeType=default&amp;lastVirtModeExtraState=&amp;virtModeType=default&amp;virtMode=0&amp;nonVirtPosition=&amp;position=chr3:105001914-105053146","chr3:105001914-105053146")</f>
        <v>chr3:105001914-105053146</v>
      </c>
      <c r="F1437" t="s">
        <v>25</v>
      </c>
      <c r="G1437">
        <v>-0.65785129076708804</v>
      </c>
      <c r="H1437">
        <v>0.17628696022776399</v>
      </c>
      <c r="I1437">
        <v>-3.7317070412759898</v>
      </c>
      <c r="J1437">
        <v>1.9018660499365401E-4</v>
      </c>
      <c r="K1437">
        <v>1.7784838180656599E-3</v>
      </c>
      <c r="L1437" t="s">
        <v>26</v>
      </c>
      <c r="M1437" t="s">
        <v>27</v>
      </c>
      <c r="N1437">
        <v>920.15458141617</v>
      </c>
      <c r="O1437">
        <v>1178.41457942904</v>
      </c>
      <c r="P1437">
        <v>726.45958290651799</v>
      </c>
      <c r="Q1437">
        <v>867.48278667692</v>
      </c>
      <c r="R1437">
        <v>1151.0386704950499</v>
      </c>
      <c r="S1437">
        <v>1516.7222811151501</v>
      </c>
      <c r="T1437">
        <v>646.19661489695795</v>
      </c>
      <c r="U1437">
        <v>792.26499597764803</v>
      </c>
      <c r="V1437">
        <v>767.28672971125195</v>
      </c>
      <c r="W1437">
        <v>700.08999104021302</v>
      </c>
    </row>
    <row r="1438" spans="1:23" x14ac:dyDescent="0.2">
      <c r="A1438" t="s">
        <v>2885</v>
      </c>
      <c r="B1438" s="3" t="str">
        <f>HYPERLINK("http://www.ncbi.nlm.nih.gov/gene/211429","Pla2g4b")</f>
        <v>Pla2g4b</v>
      </c>
      <c r="C1438">
        <v>211429</v>
      </c>
      <c r="D1438" t="s">
        <v>2886</v>
      </c>
      <c r="E1438" s="3" t="str">
        <f>HYPERLINK("http://genome.ucsc.edu/cgi-bin/hgTracks?db=mm10&amp;lastVirtModeType=default&amp;lastVirtModeExtraState=&amp;virtModeType=default&amp;virtMode=0&amp;nonVirtPosition=&amp;position=chr2:120033432-120043032","chr2:120033432-120043032")</f>
        <v>chr2:120033432-120043032</v>
      </c>
      <c r="F1438" t="s">
        <v>30</v>
      </c>
      <c r="G1438">
        <v>1.3812347478067699</v>
      </c>
      <c r="H1438">
        <v>0.37047012840794302</v>
      </c>
      <c r="I1438">
        <v>3.7283296057970499</v>
      </c>
      <c r="J1438">
        <v>1.9275316993029899E-4</v>
      </c>
      <c r="K1438">
        <v>1.8005333114210801E-3</v>
      </c>
      <c r="L1438" t="s">
        <v>26</v>
      </c>
      <c r="M1438" t="s">
        <v>27</v>
      </c>
      <c r="N1438">
        <v>10.074597358161901</v>
      </c>
      <c r="O1438">
        <v>3.7627498752876201</v>
      </c>
      <c r="P1438">
        <v>14.8084829703176</v>
      </c>
      <c r="Q1438">
        <v>5.0111329140515304</v>
      </c>
      <c r="R1438">
        <v>2.6547844130034099</v>
      </c>
      <c r="S1438">
        <v>3.6223322988079301</v>
      </c>
      <c r="T1438">
        <v>13.7488641467438</v>
      </c>
      <c r="U1438">
        <v>14.9887972211987</v>
      </c>
      <c r="V1438">
        <v>16.184379725453098</v>
      </c>
      <c r="W1438">
        <v>14.3118907878749</v>
      </c>
    </row>
    <row r="1439" spans="1:23" x14ac:dyDescent="0.2">
      <c r="A1439" t="s">
        <v>2887</v>
      </c>
      <c r="B1439" s="3" t="str">
        <f>HYPERLINK("http://www.ncbi.nlm.nih.gov/gene/72114","Zbed3")</f>
        <v>Zbed3</v>
      </c>
      <c r="C1439">
        <v>72114</v>
      </c>
      <c r="D1439" t="s">
        <v>2888</v>
      </c>
      <c r="E1439" s="3" t="str">
        <f>HYPERLINK("http://genome.ucsc.edu/cgi-bin/hgTracks?db=mm10&amp;lastVirtModeType=default&amp;lastVirtModeExtraState=&amp;virtModeType=default&amp;virtMode=0&amp;nonVirtPosition=&amp;position=chr13:95324824-95337842","chr13:95324824-95337842")</f>
        <v>chr13:95324824-95337842</v>
      </c>
      <c r="F1439" t="s">
        <v>30</v>
      </c>
      <c r="G1439">
        <v>0.82815931476041704</v>
      </c>
      <c r="H1439">
        <v>0.22213079493031901</v>
      </c>
      <c r="I1439">
        <v>3.7282508038572701</v>
      </c>
      <c r="J1439">
        <v>1.9281343951742399E-4</v>
      </c>
      <c r="K1439">
        <v>1.8005333114210801E-3</v>
      </c>
      <c r="L1439" t="s">
        <v>26</v>
      </c>
      <c r="M1439" t="s">
        <v>27</v>
      </c>
      <c r="N1439">
        <v>98.177316232043694</v>
      </c>
      <c r="O1439">
        <v>65.5321400612643</v>
      </c>
      <c r="P1439">
        <v>122.661198360128</v>
      </c>
      <c r="Q1439">
        <v>54.565669508561101</v>
      </c>
      <c r="R1439">
        <v>56.129727589215001</v>
      </c>
      <c r="S1439">
        <v>85.901023086016707</v>
      </c>
      <c r="T1439">
        <v>105.407958458369</v>
      </c>
      <c r="U1439">
        <v>160.59425594141501</v>
      </c>
      <c r="V1439">
        <v>102.99150734379199</v>
      </c>
      <c r="W1439">
        <v>121.651071696936</v>
      </c>
    </row>
    <row r="1440" spans="1:23" x14ac:dyDescent="0.2">
      <c r="A1440" t="s">
        <v>2889</v>
      </c>
      <c r="B1440" s="3" t="str">
        <f>HYPERLINK("http://www.ncbi.nlm.nih.gov/gene/12554","Cdh13")</f>
        <v>Cdh13</v>
      </c>
      <c r="C1440">
        <v>12554</v>
      </c>
      <c r="D1440" t="s">
        <v>2890</v>
      </c>
      <c r="E1440" s="3" t="str">
        <f>HYPERLINK("http://genome.ucsc.edu/cgi-bin/hgTracks?db=mm10&amp;lastVirtModeType=default&amp;lastVirtModeExtraState=&amp;virtModeType=default&amp;virtMode=0&amp;nonVirtPosition=&amp;position=chr8:118283610-119324927","chr8:118283610-119324927")</f>
        <v>chr8:118283610-119324927</v>
      </c>
      <c r="F1440" t="s">
        <v>30</v>
      </c>
      <c r="G1440">
        <v>-0.48351600385805099</v>
      </c>
      <c r="H1440">
        <v>0.12972801699581099</v>
      </c>
      <c r="I1440">
        <v>-3.7271517368038101</v>
      </c>
      <c r="J1440">
        <v>1.9365588012197E-4</v>
      </c>
      <c r="K1440">
        <v>1.8065181237702E-3</v>
      </c>
      <c r="L1440" t="s">
        <v>26</v>
      </c>
      <c r="M1440" t="s">
        <v>27</v>
      </c>
      <c r="N1440">
        <v>559.12996642974099</v>
      </c>
      <c r="O1440">
        <v>670.80568794177395</v>
      </c>
      <c r="P1440">
        <v>475.37317529571698</v>
      </c>
      <c r="Q1440">
        <v>783.96390477606099</v>
      </c>
      <c r="R1440">
        <v>633.35570995938599</v>
      </c>
      <c r="S1440">
        <v>595.097449089875</v>
      </c>
      <c r="T1440">
        <v>485.79319985161402</v>
      </c>
      <c r="U1440">
        <v>464.65271385716102</v>
      </c>
      <c r="V1440">
        <v>490.68096713078199</v>
      </c>
      <c r="W1440">
        <v>460.365820343309</v>
      </c>
    </row>
    <row r="1441" spans="1:23" x14ac:dyDescent="0.2">
      <c r="A1441" t="s">
        <v>2891</v>
      </c>
      <c r="B1441" s="3" t="str">
        <f>HYPERLINK("http://www.ncbi.nlm.nih.gov/gene/54633","Pqbp1")</f>
        <v>Pqbp1</v>
      </c>
      <c r="C1441">
        <v>54633</v>
      </c>
      <c r="D1441" t="s">
        <v>2892</v>
      </c>
      <c r="E1441" s="3" t="str">
        <f>HYPERLINK("http://genome.ucsc.edu/cgi-bin/hgTracks?db=mm10&amp;lastVirtModeType=default&amp;lastVirtModeExtraState=&amp;virtModeType=default&amp;virtMode=0&amp;nonVirtPosition=&amp;position=chrX:7894518-7899269","chrX:7894518-7899269")</f>
        <v>chrX:7894518-7899269</v>
      </c>
      <c r="F1441" t="s">
        <v>25</v>
      </c>
      <c r="G1441">
        <v>-0.62872600534549605</v>
      </c>
      <c r="H1441">
        <v>0.16869848487830399</v>
      </c>
      <c r="I1441">
        <v>-3.72692147056951</v>
      </c>
      <c r="J1441">
        <v>1.93832818090725E-4</v>
      </c>
      <c r="K1441">
        <v>1.8065181237702E-3</v>
      </c>
      <c r="L1441" t="s">
        <v>26</v>
      </c>
      <c r="M1441" t="s">
        <v>27</v>
      </c>
      <c r="N1441">
        <v>220.030208994622</v>
      </c>
      <c r="O1441">
        <v>276.64236464232903</v>
      </c>
      <c r="P1441">
        <v>177.57109225884099</v>
      </c>
      <c r="Q1441">
        <v>315.70137358524602</v>
      </c>
      <c r="R1441">
        <v>299.99063866938599</v>
      </c>
      <c r="S1441">
        <v>214.23508167235499</v>
      </c>
      <c r="T1441">
        <v>192.48409805441301</v>
      </c>
      <c r="U1441">
        <v>182.00682340027001</v>
      </c>
      <c r="V1441">
        <v>164.05075812618301</v>
      </c>
      <c r="W1441">
        <v>171.74268945449899</v>
      </c>
    </row>
    <row r="1442" spans="1:23" x14ac:dyDescent="0.2">
      <c r="A1442" t="s">
        <v>2893</v>
      </c>
      <c r="B1442" s="3" t="str">
        <f>HYPERLINK("http://www.ncbi.nlm.nih.gov/gene/68592","Syf2")</f>
        <v>Syf2</v>
      </c>
      <c r="C1442">
        <v>68592</v>
      </c>
      <c r="D1442" t="s">
        <v>2894</v>
      </c>
      <c r="E1442" s="3" t="str">
        <f>HYPERLINK("http://genome.ucsc.edu/cgi-bin/hgTracks?db=mm10&amp;lastVirtModeType=default&amp;lastVirtModeExtraState=&amp;virtModeType=default&amp;virtMode=0&amp;nonVirtPosition=&amp;position=chr4:134930979-134937537","chr4:134930979-134937537")</f>
        <v>chr4:134930979-134937537</v>
      </c>
      <c r="F1442" t="s">
        <v>30</v>
      </c>
      <c r="G1442">
        <v>-0.58268009283997801</v>
      </c>
      <c r="H1442">
        <v>0.156344970563663</v>
      </c>
      <c r="I1442">
        <v>-3.72688734878564</v>
      </c>
      <c r="J1442">
        <v>1.9385905039636899E-4</v>
      </c>
      <c r="K1442">
        <v>1.8065181237702E-3</v>
      </c>
      <c r="L1442" t="s">
        <v>26</v>
      </c>
      <c r="M1442" t="s">
        <v>27</v>
      </c>
      <c r="N1442">
        <v>166.61080671333801</v>
      </c>
      <c r="O1442">
        <v>207.866258931564</v>
      </c>
      <c r="P1442">
        <v>135.66921754966799</v>
      </c>
      <c r="Q1442">
        <v>222.160225856284</v>
      </c>
      <c r="R1442">
        <v>204.797654717406</v>
      </c>
      <c r="S1442">
        <v>196.64089622100201</v>
      </c>
      <c r="T1442">
        <v>132.90568675185699</v>
      </c>
      <c r="U1442">
        <v>122.051634515476</v>
      </c>
      <c r="V1442">
        <v>124.325462436435</v>
      </c>
      <c r="W1442">
        <v>163.394086494905</v>
      </c>
    </row>
    <row r="1443" spans="1:23" x14ac:dyDescent="0.2">
      <c r="A1443" t="s">
        <v>2895</v>
      </c>
      <c r="B1443" s="3" t="str">
        <f>HYPERLINK("http://www.ncbi.nlm.nih.gov/gene/20787","Srebf1")</f>
        <v>Srebf1</v>
      </c>
      <c r="C1443">
        <v>20787</v>
      </c>
      <c r="D1443" t="s">
        <v>2896</v>
      </c>
      <c r="E1443" s="3" t="str">
        <f>HYPERLINK("http://genome.ucsc.edu/cgi-bin/hgTracks?db=mm10&amp;lastVirtModeType=default&amp;lastVirtModeExtraState=&amp;virtModeType=default&amp;virtMode=0&amp;nonVirtPosition=&amp;position=chr11:60199083-60220627","chr11:60199083-60220627")</f>
        <v>chr11:60199083-60220627</v>
      </c>
      <c r="F1443" t="s">
        <v>25</v>
      </c>
      <c r="G1443">
        <v>0.79610721081544999</v>
      </c>
      <c r="H1443">
        <v>0.213673850626588</v>
      </c>
      <c r="I1443">
        <v>3.7258055137814199</v>
      </c>
      <c r="J1443">
        <v>1.94692480340175E-4</v>
      </c>
      <c r="K1443">
        <v>1.8129406852599201E-3</v>
      </c>
      <c r="L1443" t="s">
        <v>26</v>
      </c>
      <c r="M1443" t="s">
        <v>27</v>
      </c>
      <c r="N1443">
        <v>659.10516236981402</v>
      </c>
      <c r="O1443">
        <v>450.60887071565702</v>
      </c>
      <c r="P1443">
        <v>815.47738111043395</v>
      </c>
      <c r="Q1443">
        <v>322.38288413731499</v>
      </c>
      <c r="R1443">
        <v>441.07346747471001</v>
      </c>
      <c r="S1443">
        <v>588.37026053494606</v>
      </c>
      <c r="T1443">
        <v>563.70343001649496</v>
      </c>
      <c r="U1443">
        <v>1062.06334595923</v>
      </c>
      <c r="V1443">
        <v>868.071276183392</v>
      </c>
      <c r="W1443">
        <v>768.07147228261795</v>
      </c>
    </row>
    <row r="1444" spans="1:23" x14ac:dyDescent="0.2">
      <c r="A1444" t="s">
        <v>2897</v>
      </c>
      <c r="B1444" s="3" t="str">
        <f>HYPERLINK("http://www.ncbi.nlm.nih.gov/gene/21887","Tle3")</f>
        <v>Tle3</v>
      </c>
      <c r="C1444">
        <v>21887</v>
      </c>
      <c r="D1444" t="s">
        <v>2898</v>
      </c>
      <c r="E1444" s="3" t="str">
        <f>HYPERLINK("http://genome.ucsc.edu/cgi-bin/hgTracks?db=mm10&amp;lastVirtModeType=default&amp;lastVirtModeExtraState=&amp;virtModeType=default&amp;virtMode=0&amp;nonVirtPosition=&amp;position=chr9:61372365-61418497","chr9:61372365-61418497")</f>
        <v>chr9:61372365-61418497</v>
      </c>
      <c r="F1444" t="s">
        <v>30</v>
      </c>
      <c r="G1444">
        <v>0.54301750646858604</v>
      </c>
      <c r="H1444">
        <v>0.145751406368088</v>
      </c>
      <c r="I1444">
        <v>3.7256416250092501</v>
      </c>
      <c r="J1444">
        <v>1.9481903114696599E-4</v>
      </c>
      <c r="K1444">
        <v>1.8129406852599201E-3</v>
      </c>
      <c r="L1444" t="s">
        <v>26</v>
      </c>
      <c r="M1444" t="s">
        <v>27</v>
      </c>
      <c r="N1444">
        <v>586.14638389035304</v>
      </c>
      <c r="O1444">
        <v>462.33525512618201</v>
      </c>
      <c r="P1444">
        <v>679.004730463481</v>
      </c>
      <c r="Q1444">
        <v>531.73688143546701</v>
      </c>
      <c r="R1444">
        <v>370.91130798819103</v>
      </c>
      <c r="S1444">
        <v>484.357575954889</v>
      </c>
      <c r="T1444">
        <v>618.69888660347101</v>
      </c>
      <c r="U1444">
        <v>734.45106383873895</v>
      </c>
      <c r="V1444">
        <v>722.41185865431396</v>
      </c>
      <c r="W1444">
        <v>640.45711275740098</v>
      </c>
    </row>
    <row r="1445" spans="1:23" x14ac:dyDescent="0.2">
      <c r="A1445" t="s">
        <v>2899</v>
      </c>
      <c r="B1445" s="3" t="str">
        <f>HYPERLINK("http://www.ncbi.nlm.nih.gov/gene/20623","Snrk")</f>
        <v>Snrk</v>
      </c>
      <c r="C1445">
        <v>20623</v>
      </c>
      <c r="D1445" t="s">
        <v>2900</v>
      </c>
      <c r="E1445" s="3" t="str">
        <f>HYPERLINK("http://genome.ucsc.edu/cgi-bin/hgTracks?db=mm10&amp;lastVirtModeType=default&amp;lastVirtModeExtraState=&amp;virtModeType=default&amp;virtMode=0&amp;nonVirtPosition=&amp;position=chr9:122117265-122169702","chr9:122117265-122169702")</f>
        <v>chr9:122117265-122169702</v>
      </c>
      <c r="F1445" t="s">
        <v>30</v>
      </c>
      <c r="G1445">
        <v>-0.67512827417185794</v>
      </c>
      <c r="H1445">
        <v>0.18123741888669001</v>
      </c>
      <c r="I1445">
        <v>-3.7251042214077899</v>
      </c>
      <c r="J1445">
        <v>1.95234543261597E-4</v>
      </c>
      <c r="K1445">
        <v>1.8155456727889201E-3</v>
      </c>
      <c r="L1445" t="s">
        <v>26</v>
      </c>
      <c r="M1445" t="s">
        <v>27</v>
      </c>
      <c r="N1445">
        <v>188.73267615094201</v>
      </c>
      <c r="O1445">
        <v>243.85257117793</v>
      </c>
      <c r="P1445">
        <v>147.39275488070101</v>
      </c>
      <c r="Q1445">
        <v>226.61456622432999</v>
      </c>
      <c r="R1445">
        <v>304.16244274696197</v>
      </c>
      <c r="S1445">
        <v>200.78070456249699</v>
      </c>
      <c r="T1445">
        <v>132.90568675185699</v>
      </c>
      <c r="U1445">
        <v>145.60545872021601</v>
      </c>
      <c r="V1445">
        <v>140.509842161888</v>
      </c>
      <c r="W1445">
        <v>170.550031888842</v>
      </c>
    </row>
    <row r="1446" spans="1:23" x14ac:dyDescent="0.2">
      <c r="A1446" t="s">
        <v>2901</v>
      </c>
      <c r="B1446" s="3" t="str">
        <f>HYPERLINK("http://www.ncbi.nlm.nih.gov/gene/104570","Smek2")</f>
        <v>Smek2</v>
      </c>
      <c r="C1446">
        <v>104570</v>
      </c>
      <c r="D1446" t="s">
        <v>2902</v>
      </c>
      <c r="E1446" s="3" t="str">
        <f>HYPERLINK("http://genome.ucsc.edu/cgi-bin/hgTracks?db=mm10&amp;lastVirtModeType=default&amp;lastVirtModeExtraState=&amp;virtModeType=default&amp;virtMode=0&amp;nonVirtPosition=&amp;position=chr11:29172906-29220797","chr11:29172906-29220797")</f>
        <v>chr11:29172906-29220797</v>
      </c>
      <c r="F1446" t="s">
        <v>30</v>
      </c>
      <c r="G1446">
        <v>-0.45453662522800897</v>
      </c>
      <c r="H1446">
        <v>0.122059842715655</v>
      </c>
      <c r="I1446">
        <v>-3.7238834256642201</v>
      </c>
      <c r="J1446">
        <v>1.9618154012287901E-4</v>
      </c>
      <c r="K1446">
        <v>1.8230860539802001E-3</v>
      </c>
      <c r="L1446" t="s">
        <v>26</v>
      </c>
      <c r="M1446" t="s">
        <v>27</v>
      </c>
      <c r="N1446">
        <v>501.11418323767202</v>
      </c>
      <c r="O1446">
        <v>596.63000739192501</v>
      </c>
      <c r="P1446">
        <v>429.47731512198101</v>
      </c>
      <c r="Q1446">
        <v>669.821432844887</v>
      </c>
      <c r="R1446">
        <v>560.15951114372001</v>
      </c>
      <c r="S1446">
        <v>559.90907818716903</v>
      </c>
      <c r="T1446">
        <v>417.04887911789501</v>
      </c>
      <c r="U1446">
        <v>426.11009243122197</v>
      </c>
      <c r="V1446">
        <v>465.66874391871801</v>
      </c>
      <c r="W1446">
        <v>409.08154502009</v>
      </c>
    </row>
    <row r="1447" spans="1:23" x14ac:dyDescent="0.2">
      <c r="A1447" t="s">
        <v>2903</v>
      </c>
      <c r="B1447" s="3" t="str">
        <f>HYPERLINK("http://www.ncbi.nlm.nih.gov/gene/211922","Dennd6a")</f>
        <v>Dennd6a</v>
      </c>
      <c r="C1447">
        <v>211922</v>
      </c>
      <c r="D1447" t="s">
        <v>2904</v>
      </c>
      <c r="E1447" s="3" t="str">
        <f>HYPERLINK("http://genome.ucsc.edu/cgi-bin/hgTracks?db=mm10&amp;lastVirtModeType=default&amp;lastVirtModeExtraState=&amp;virtModeType=default&amp;virtMode=0&amp;nonVirtPosition=&amp;position=chr14:26573857-26634322","chr14:26573857-26634322")</f>
        <v>chr14:26573857-26634322</v>
      </c>
      <c r="F1447" t="s">
        <v>30</v>
      </c>
      <c r="G1447">
        <v>-0.54147416598714004</v>
      </c>
      <c r="H1447">
        <v>0.14544319299747799</v>
      </c>
      <c r="I1447">
        <v>-3.7229254585776901</v>
      </c>
      <c r="J1447">
        <v>1.9692767584690601E-4</v>
      </c>
      <c r="K1447">
        <v>1.82875069852006E-3</v>
      </c>
      <c r="L1447" t="s">
        <v>26</v>
      </c>
      <c r="M1447" t="s">
        <v>27</v>
      </c>
      <c r="N1447">
        <v>294.55315993141102</v>
      </c>
      <c r="O1447">
        <v>361.88129714848901</v>
      </c>
      <c r="P1447">
        <v>244.05705701860299</v>
      </c>
      <c r="Q1447">
        <v>419.821579688317</v>
      </c>
      <c r="R1447">
        <v>339.81240486443699</v>
      </c>
      <c r="S1447">
        <v>326.00990689271401</v>
      </c>
      <c r="T1447">
        <v>252.062509356969</v>
      </c>
      <c r="U1447">
        <v>207.701904350897</v>
      </c>
      <c r="V1447">
        <v>255.271807487828</v>
      </c>
      <c r="W1447">
        <v>261.192006878717</v>
      </c>
    </row>
    <row r="1448" spans="1:23" x14ac:dyDescent="0.2">
      <c r="A1448" t="s">
        <v>2905</v>
      </c>
      <c r="B1448" s="3" t="str">
        <f>HYPERLINK("http://www.ncbi.nlm.nih.gov/gene/64453","Zfp280b")</f>
        <v>Zfp280b</v>
      </c>
      <c r="C1448">
        <v>64453</v>
      </c>
      <c r="D1448" t="s">
        <v>2906</v>
      </c>
      <c r="E1448" s="3" t="str">
        <f>HYPERLINK("http://genome.ucsc.edu/cgi-bin/hgTracks?db=mm10&amp;lastVirtModeType=default&amp;lastVirtModeExtraState=&amp;virtModeType=default&amp;virtMode=0&amp;nonVirtPosition=&amp;position=chr10:76032611-76042969","chr10:76032611-76042969")</f>
        <v>chr10:76032611-76042969</v>
      </c>
      <c r="F1448" t="s">
        <v>30</v>
      </c>
      <c r="G1448">
        <v>0.73296043364421604</v>
      </c>
      <c r="H1448">
        <v>0.196912225930267</v>
      </c>
      <c r="I1448">
        <v>3.7222698092081998</v>
      </c>
      <c r="J1448">
        <v>1.97439880230979E-4</v>
      </c>
      <c r="K1448">
        <v>1.83223661550453E-3</v>
      </c>
      <c r="L1448" t="s">
        <v>26</v>
      </c>
      <c r="M1448" t="s">
        <v>27</v>
      </c>
      <c r="N1448">
        <v>78.665392123418499</v>
      </c>
      <c r="O1448">
        <v>54.830712869398297</v>
      </c>
      <c r="P1448">
        <v>96.541401563933704</v>
      </c>
      <c r="Q1448">
        <v>55.679254600572499</v>
      </c>
      <c r="R1448">
        <v>49.303139098634801</v>
      </c>
      <c r="S1448">
        <v>59.5097449089875</v>
      </c>
      <c r="T1448">
        <v>114.573867889532</v>
      </c>
      <c r="U1448">
        <v>83.509013089535898</v>
      </c>
      <c r="V1448">
        <v>83.128859498918004</v>
      </c>
      <c r="W1448">
        <v>104.953865777749</v>
      </c>
    </row>
    <row r="1449" spans="1:23" x14ac:dyDescent="0.2">
      <c r="A1449" t="s">
        <v>2907</v>
      </c>
      <c r="B1449" s="3" t="str">
        <f>HYPERLINK("http://www.ncbi.nlm.nih.gov/gene/16549","Khsrp")</f>
        <v>Khsrp</v>
      </c>
      <c r="C1449">
        <v>16549</v>
      </c>
      <c r="D1449" t="s">
        <v>2908</v>
      </c>
      <c r="E1449" s="3" t="str">
        <f>HYPERLINK("http://genome.ucsc.edu/cgi-bin/hgTracks?db=mm10&amp;lastVirtModeType=default&amp;lastVirtModeExtraState=&amp;virtModeType=default&amp;virtMode=0&amp;nonVirtPosition=&amp;position=chr17:57021048-57031507","chr17:57021048-57031507")</f>
        <v>chr17:57021048-57031507</v>
      </c>
      <c r="F1449" t="s">
        <v>25</v>
      </c>
      <c r="G1449">
        <v>0.64870735264300505</v>
      </c>
      <c r="H1449">
        <v>0.17429719701663299</v>
      </c>
      <c r="I1449">
        <v>3.7218461555701401</v>
      </c>
      <c r="J1449">
        <v>1.97771511076882E-4</v>
      </c>
      <c r="K1449">
        <v>1.83404314738956E-3</v>
      </c>
      <c r="L1449" t="s">
        <v>26</v>
      </c>
      <c r="M1449" t="s">
        <v>27</v>
      </c>
      <c r="N1449">
        <v>777.84756685914101</v>
      </c>
      <c r="O1449">
        <v>577.80431977180695</v>
      </c>
      <c r="P1449">
        <v>927.88000217464003</v>
      </c>
      <c r="Q1449">
        <v>440.422903890528</v>
      </c>
      <c r="R1449">
        <v>534.37017684597299</v>
      </c>
      <c r="S1449">
        <v>758.61987857891904</v>
      </c>
      <c r="T1449">
        <v>893.67616953834602</v>
      </c>
      <c r="U1449">
        <v>1049.2158054839099</v>
      </c>
      <c r="V1449">
        <v>871.74954430281298</v>
      </c>
      <c r="W1449">
        <v>896.87848937349202</v>
      </c>
    </row>
    <row r="1450" spans="1:23" x14ac:dyDescent="0.2">
      <c r="A1450" t="s">
        <v>2909</v>
      </c>
      <c r="B1450" s="3" t="str">
        <f>HYPERLINK("http://www.ncbi.nlm.nih.gov/gene/12848","Cops2")</f>
        <v>Cops2</v>
      </c>
      <c r="C1450">
        <v>12848</v>
      </c>
      <c r="D1450" t="s">
        <v>2910</v>
      </c>
      <c r="E1450" s="3" t="str">
        <f>HYPERLINK("http://genome.ucsc.edu/cgi-bin/hgTracks?db=mm10&amp;lastVirtModeType=default&amp;lastVirtModeExtraState=&amp;virtModeType=default&amp;virtMode=0&amp;nonVirtPosition=&amp;position=chr2:125830301-125859082","chr2:125830301-125859082")</f>
        <v>chr2:125830301-125859082</v>
      </c>
      <c r="F1450" t="s">
        <v>25</v>
      </c>
      <c r="G1450">
        <v>-0.53697335685283099</v>
      </c>
      <c r="H1450">
        <v>0.144302760482275</v>
      </c>
      <c r="I1450">
        <v>-3.7211578978683999</v>
      </c>
      <c r="J1450">
        <v>1.9831138673311101E-4</v>
      </c>
      <c r="K1450">
        <v>1.83777701020283E-3</v>
      </c>
      <c r="L1450" t="s">
        <v>26</v>
      </c>
      <c r="M1450" t="s">
        <v>27</v>
      </c>
      <c r="N1450">
        <v>605.95084420025603</v>
      </c>
      <c r="O1450">
        <v>737.87400035189796</v>
      </c>
      <c r="P1450">
        <v>507.00847708652498</v>
      </c>
      <c r="Q1450">
        <v>622.49406643440102</v>
      </c>
      <c r="R1450">
        <v>874.94109154269597</v>
      </c>
      <c r="S1450">
        <v>716.18684307859701</v>
      </c>
      <c r="T1450">
        <v>582.03524887881997</v>
      </c>
      <c r="U1450">
        <v>471.076484094818</v>
      </c>
      <c r="V1450">
        <v>500.244464241277</v>
      </c>
      <c r="W1450">
        <v>474.677711131183</v>
      </c>
    </row>
    <row r="1451" spans="1:23" x14ac:dyDescent="0.2">
      <c r="A1451" t="s">
        <v>2911</v>
      </c>
      <c r="B1451" s="3" t="str">
        <f>HYPERLINK("http://www.ncbi.nlm.nih.gov/gene/94112","Med15")</f>
        <v>Med15</v>
      </c>
      <c r="C1451">
        <v>94112</v>
      </c>
      <c r="D1451" t="s">
        <v>2912</v>
      </c>
      <c r="E1451" s="3" t="str">
        <f>HYPERLINK("http://genome.ucsc.edu/cgi-bin/hgTracks?db=mm10&amp;lastVirtModeType=default&amp;lastVirtModeExtraState=&amp;virtModeType=default&amp;virtMode=0&amp;nonVirtPosition=&amp;position=chr16:17651207-17722947","chr16:17651207-17722947")</f>
        <v>chr16:17651207-17722947</v>
      </c>
      <c r="F1451" t="s">
        <v>25</v>
      </c>
      <c r="G1451">
        <v>0.67009048023840301</v>
      </c>
      <c r="H1451">
        <v>0.180122426759207</v>
      </c>
      <c r="I1451">
        <v>3.7201946048295098</v>
      </c>
      <c r="J1451">
        <v>1.99069328230666E-4</v>
      </c>
      <c r="K1451">
        <v>1.84352515514305E-3</v>
      </c>
      <c r="L1451" t="s">
        <v>26</v>
      </c>
      <c r="M1451" t="s">
        <v>27</v>
      </c>
      <c r="N1451">
        <v>241.53548290187399</v>
      </c>
      <c r="O1451">
        <v>177.80269861813201</v>
      </c>
      <c r="P1451">
        <v>289.335071114681</v>
      </c>
      <c r="Q1451">
        <v>138.08455140941999</v>
      </c>
      <c r="R1451">
        <v>161.94184919320799</v>
      </c>
      <c r="S1451">
        <v>233.38169525176801</v>
      </c>
      <c r="T1451">
        <v>265.81137350371301</v>
      </c>
      <c r="U1451">
        <v>312.62348489928797</v>
      </c>
      <c r="V1451">
        <v>279.548377076007</v>
      </c>
      <c r="W1451">
        <v>299.35704897971601</v>
      </c>
    </row>
    <row r="1452" spans="1:23" x14ac:dyDescent="0.2">
      <c r="A1452" t="s">
        <v>2913</v>
      </c>
      <c r="B1452" s="3" t="str">
        <f>HYPERLINK("http://www.ncbi.nlm.nih.gov/gene/17527","Mpv17")</f>
        <v>Mpv17</v>
      </c>
      <c r="C1452">
        <v>17527</v>
      </c>
      <c r="D1452" t="s">
        <v>2914</v>
      </c>
      <c r="E1452" s="3" t="str">
        <f>HYPERLINK("http://genome.ucsc.edu/cgi-bin/hgTracks?db=mm10&amp;lastVirtModeType=default&amp;lastVirtModeExtraState=&amp;virtModeType=default&amp;virtMode=0&amp;nonVirtPosition=&amp;position=chr5:31140662-31154180","chr5:31140662-31154180")</f>
        <v>chr5:31140662-31154180</v>
      </c>
      <c r="F1452" t="s">
        <v>25</v>
      </c>
      <c r="G1452">
        <v>-0.73115098661357603</v>
      </c>
      <c r="H1452">
        <v>0.196572182759711</v>
      </c>
      <c r="I1452">
        <v>-3.7195038298340202</v>
      </c>
      <c r="J1452">
        <v>1.9961452088746001E-4</v>
      </c>
      <c r="K1452">
        <v>1.84729650947061E-3</v>
      </c>
      <c r="L1452" t="s">
        <v>26</v>
      </c>
      <c r="M1452" t="s">
        <v>27</v>
      </c>
      <c r="N1452">
        <v>147.33749117993301</v>
      </c>
      <c r="O1452">
        <v>195.88141503866299</v>
      </c>
      <c r="P1452">
        <v>110.929548285886</v>
      </c>
      <c r="Q1452">
        <v>246.659097880536</v>
      </c>
      <c r="R1452">
        <v>167.63067293535801</v>
      </c>
      <c r="S1452">
        <v>173.35447430009401</v>
      </c>
      <c r="T1452">
        <v>87.076139596044001</v>
      </c>
      <c r="U1452">
        <v>111.345350786048</v>
      </c>
      <c r="V1452">
        <v>108.141082710982</v>
      </c>
      <c r="W1452">
        <v>137.155620050468</v>
      </c>
    </row>
    <row r="1453" spans="1:23" x14ac:dyDescent="0.2">
      <c r="A1453" t="s">
        <v>2915</v>
      </c>
      <c r="B1453" s="3" t="str">
        <f>HYPERLINK("http://www.ncbi.nlm.nih.gov/gene/70310","Plscr3")</f>
        <v>Plscr3</v>
      </c>
      <c r="C1453">
        <v>70310</v>
      </c>
      <c r="D1453" t="s">
        <v>2916</v>
      </c>
      <c r="E1453" s="3" t="str">
        <f>HYPERLINK("http://genome.ucsc.edu/cgi-bin/hgTracks?db=mm10&amp;lastVirtModeType=default&amp;lastVirtModeExtraState=&amp;virtModeType=default&amp;virtMode=0&amp;nonVirtPosition=&amp;position=chr11:69846616-69852058","chr11:69846616-69852058")</f>
        <v>chr11:69846616-69852058</v>
      </c>
      <c r="F1453" t="s">
        <v>30</v>
      </c>
      <c r="G1453">
        <v>0.72596309388260605</v>
      </c>
      <c r="H1453">
        <v>0.195248688959477</v>
      </c>
      <c r="I1453">
        <v>3.7181458054925902</v>
      </c>
      <c r="J1453">
        <v>2.0069043092866399E-4</v>
      </c>
      <c r="K1453">
        <v>1.8559706909984401E-3</v>
      </c>
      <c r="L1453" t="s">
        <v>26</v>
      </c>
      <c r="M1453" t="s">
        <v>27</v>
      </c>
      <c r="N1453">
        <v>90.690483225067794</v>
      </c>
      <c r="O1453">
        <v>66.027632897468706</v>
      </c>
      <c r="P1453">
        <v>109.187620970767</v>
      </c>
      <c r="Q1453">
        <v>62.917557698646903</v>
      </c>
      <c r="R1453">
        <v>56.508982505358297</v>
      </c>
      <c r="S1453">
        <v>78.656358488400798</v>
      </c>
      <c r="T1453">
        <v>87.076139596044001</v>
      </c>
      <c r="U1453">
        <v>109.204094040162</v>
      </c>
      <c r="V1453">
        <v>123.589808812551</v>
      </c>
      <c r="W1453">
        <v>116.880441434312</v>
      </c>
    </row>
    <row r="1454" spans="1:23" x14ac:dyDescent="0.2">
      <c r="A1454" t="s">
        <v>2917</v>
      </c>
      <c r="B1454" s="3" t="str">
        <f>HYPERLINK("http://www.ncbi.nlm.nih.gov/gene/381204","Naaladl1")</f>
        <v>Naaladl1</v>
      </c>
      <c r="C1454">
        <v>381204</v>
      </c>
      <c r="D1454" t="s">
        <v>2918</v>
      </c>
      <c r="E1454" s="3" t="str">
        <f>HYPERLINK("http://genome.ucsc.edu/cgi-bin/hgTracks?db=mm10&amp;lastVirtModeType=default&amp;lastVirtModeExtraState=&amp;virtModeType=default&amp;virtMode=0&amp;nonVirtPosition=&amp;position=chr19:6105797-6115555","chr19:6105797-6115555")</f>
        <v>chr19:6105797-6115555</v>
      </c>
      <c r="F1454" t="s">
        <v>30</v>
      </c>
      <c r="G1454">
        <v>1.2628306658981201</v>
      </c>
      <c r="H1454">
        <v>0.33977944231224</v>
      </c>
      <c r="I1454">
        <v>3.71661880808445</v>
      </c>
      <c r="J1454">
        <v>2.0190671807193599E-4</v>
      </c>
      <c r="K1454">
        <v>1.8659302013121499E-3</v>
      </c>
      <c r="L1454" t="s">
        <v>26</v>
      </c>
      <c r="M1454" t="s">
        <v>27</v>
      </c>
      <c r="N1454">
        <v>15.7847592763388</v>
      </c>
      <c r="O1454">
        <v>6.9031796990380601</v>
      </c>
      <c r="P1454">
        <v>22.445943959314398</v>
      </c>
      <c r="Q1454">
        <v>5.5679254600572499</v>
      </c>
      <c r="R1454">
        <v>5.3095688260068199</v>
      </c>
      <c r="S1454">
        <v>9.8320448110501104</v>
      </c>
      <c r="T1454">
        <v>27.497728293487601</v>
      </c>
      <c r="U1454">
        <v>21.412567458855399</v>
      </c>
      <c r="V1454">
        <v>20.5983014687584</v>
      </c>
      <c r="W1454">
        <v>20.275178616156101</v>
      </c>
    </row>
    <row r="1455" spans="1:23" x14ac:dyDescent="0.2">
      <c r="A1455" t="s">
        <v>2919</v>
      </c>
      <c r="B1455" s="3" t="str">
        <f>HYPERLINK("http://www.ncbi.nlm.nih.gov/gene/21683","Tecta")</f>
        <v>Tecta</v>
      </c>
      <c r="C1455">
        <v>21683</v>
      </c>
      <c r="D1455" t="s">
        <v>2920</v>
      </c>
      <c r="E1455" s="3" t="str">
        <f>HYPERLINK("http://genome.ucsc.edu/cgi-bin/hgTracks?db=mm10&amp;lastVirtModeType=default&amp;lastVirtModeExtraState=&amp;virtModeType=default&amp;virtMode=0&amp;nonVirtPosition=&amp;position=chr9:42329618-42399929","chr9:42329618-42399929")</f>
        <v>chr9:42329618-42399929</v>
      </c>
      <c r="F1455" t="s">
        <v>25</v>
      </c>
      <c r="G1455">
        <v>1.1050144484392399</v>
      </c>
      <c r="H1455">
        <v>0.29745086784333102</v>
      </c>
      <c r="I1455">
        <v>3.7149478044933999</v>
      </c>
      <c r="J1455">
        <v>2.03245643034677E-4</v>
      </c>
      <c r="K1455">
        <v>1.8770085557774799E-3</v>
      </c>
      <c r="L1455" t="s">
        <v>26</v>
      </c>
      <c r="M1455" t="s">
        <v>27</v>
      </c>
      <c r="N1455">
        <v>101.095166468976</v>
      </c>
      <c r="O1455">
        <v>56.026278197749498</v>
      </c>
      <c r="P1455">
        <v>134.89683267239499</v>
      </c>
      <c r="Q1455">
        <v>43.429818588446601</v>
      </c>
      <c r="R1455">
        <v>47.027609601774699</v>
      </c>
      <c r="S1455">
        <v>77.621406403027194</v>
      </c>
      <c r="T1455">
        <v>50.4125018713939</v>
      </c>
      <c r="U1455">
        <v>117.769121023704</v>
      </c>
      <c r="V1455">
        <v>210.39693643089001</v>
      </c>
      <c r="W1455">
        <v>161.00877136359199</v>
      </c>
    </row>
    <row r="1456" spans="1:23" x14ac:dyDescent="0.2">
      <c r="A1456" t="s">
        <v>2921</v>
      </c>
      <c r="B1456" s="3" t="str">
        <f>HYPERLINK("http://www.ncbi.nlm.nih.gov/gene/101148","Bmt2")</f>
        <v>Bmt2</v>
      </c>
      <c r="C1456">
        <v>101148</v>
      </c>
      <c r="D1456" t="s">
        <v>2922</v>
      </c>
      <c r="E1456" s="3" t="str">
        <f>HYPERLINK("http://genome.ucsc.edu/cgi-bin/hgTracks?db=mm10&amp;lastVirtModeType=default&amp;lastVirtModeExtraState=&amp;virtModeType=default&amp;virtMode=0&amp;nonVirtPosition=&amp;position=chr6:13625674-13677966","chr6:13625674-13677966")</f>
        <v>chr6:13625674-13677966</v>
      </c>
      <c r="F1456" t="s">
        <v>25</v>
      </c>
      <c r="G1456">
        <v>-0.48589797041274102</v>
      </c>
      <c r="H1456">
        <v>0.130829080855522</v>
      </c>
      <c r="I1456">
        <v>-3.7139905534407198</v>
      </c>
      <c r="J1456">
        <v>2.04016412610031E-4</v>
      </c>
      <c r="K1456">
        <v>1.8828282434603201E-3</v>
      </c>
      <c r="L1456" t="s">
        <v>26</v>
      </c>
      <c r="M1456" t="s">
        <v>27</v>
      </c>
      <c r="N1456">
        <v>245.096296940548</v>
      </c>
      <c r="O1456">
        <v>294.88938764482901</v>
      </c>
      <c r="P1456">
        <v>207.751478912338</v>
      </c>
      <c r="Q1456">
        <v>325.72363941334902</v>
      </c>
      <c r="R1456">
        <v>285.19969693979499</v>
      </c>
      <c r="S1456">
        <v>273.74482658134201</v>
      </c>
      <c r="T1456">
        <v>206.23296220115699</v>
      </c>
      <c r="U1456">
        <v>205.56064760501101</v>
      </c>
      <c r="V1456">
        <v>214.07520455031101</v>
      </c>
      <c r="W1456">
        <v>205.13710129287301</v>
      </c>
    </row>
    <row r="1457" spans="1:23" x14ac:dyDescent="0.2">
      <c r="A1457" t="s">
        <v>2923</v>
      </c>
      <c r="B1457" s="3" t="str">
        <f>HYPERLINK("http://www.ncbi.nlm.nih.gov/gene/22634","Plagl1")</f>
        <v>Plagl1</v>
      </c>
      <c r="C1457">
        <v>22634</v>
      </c>
      <c r="D1457" t="s">
        <v>2924</v>
      </c>
      <c r="E1457" s="3" t="str">
        <f>HYPERLINK("http://genome.ucsc.edu/cgi-bin/hgTracks?db=mm10&amp;lastVirtModeType=default&amp;lastVirtModeExtraState=&amp;virtModeType=default&amp;virtMode=0&amp;nonVirtPosition=&amp;position=chr10:13090787-13131695","chr10:13090787-13131695")</f>
        <v>chr10:13090787-13131695</v>
      </c>
      <c r="F1457" t="s">
        <v>30</v>
      </c>
      <c r="G1457">
        <v>1.0315530173140099</v>
      </c>
      <c r="H1457">
        <v>0.27780844035192098</v>
      </c>
      <c r="I1457">
        <v>3.7131809818566399</v>
      </c>
      <c r="J1457">
        <v>2.04670414242769E-4</v>
      </c>
      <c r="K1457">
        <v>1.88756302832295E-3</v>
      </c>
      <c r="L1457" t="s">
        <v>26</v>
      </c>
      <c r="M1457" t="s">
        <v>27</v>
      </c>
      <c r="N1457">
        <v>41.767559631948302</v>
      </c>
      <c r="O1457">
        <v>23.1957395357203</v>
      </c>
      <c r="P1457">
        <v>55.696424704119202</v>
      </c>
      <c r="Q1457">
        <v>18.3741540181889</v>
      </c>
      <c r="R1457">
        <v>28.4441187107508</v>
      </c>
      <c r="S1457">
        <v>22.768945878221299</v>
      </c>
      <c r="T1457">
        <v>82.493184880462707</v>
      </c>
      <c r="U1457">
        <v>29.9775944423975</v>
      </c>
      <c r="V1457">
        <v>56.645329039085702</v>
      </c>
      <c r="W1457">
        <v>53.669590454530798</v>
      </c>
    </row>
    <row r="1458" spans="1:23" x14ac:dyDescent="0.2">
      <c r="A1458" t="s">
        <v>2925</v>
      </c>
      <c r="B1458" s="3" t="str">
        <f>HYPERLINK("http://www.ncbi.nlm.nih.gov/gene/231637","Ssh1")</f>
        <v>Ssh1</v>
      </c>
      <c r="C1458">
        <v>231637</v>
      </c>
      <c r="D1458" t="s">
        <v>2926</v>
      </c>
      <c r="E1458" s="3" t="str">
        <f>HYPERLINK("http://genome.ucsc.edu/cgi-bin/hgTracks?db=mm10&amp;lastVirtModeType=default&amp;lastVirtModeExtraState=&amp;virtModeType=default&amp;virtMode=0&amp;nonVirtPosition=&amp;position=chr5:113942218-113993757","chr5:113942218-113993757")</f>
        <v>chr5:113942218-113993757</v>
      </c>
      <c r="F1458" t="s">
        <v>25</v>
      </c>
      <c r="G1458">
        <v>0.68340272343664299</v>
      </c>
      <c r="H1458">
        <v>0.184114089428915</v>
      </c>
      <c r="I1458">
        <v>3.7118437027628901</v>
      </c>
      <c r="J1458">
        <v>2.0575503235583699E-4</v>
      </c>
      <c r="K1458">
        <v>1.8962599024618101E-3</v>
      </c>
      <c r="L1458" t="s">
        <v>26</v>
      </c>
      <c r="M1458" t="s">
        <v>27</v>
      </c>
      <c r="N1458">
        <v>197.505336462</v>
      </c>
      <c r="O1458">
        <v>145.91550452913901</v>
      </c>
      <c r="P1458">
        <v>236.197710411646</v>
      </c>
      <c r="Q1458">
        <v>146.993232145511</v>
      </c>
      <c r="R1458">
        <v>113.776474843003</v>
      </c>
      <c r="S1458">
        <v>176.97680659890199</v>
      </c>
      <c r="T1458">
        <v>174.152279192088</v>
      </c>
      <c r="U1458">
        <v>276.222120219234</v>
      </c>
      <c r="V1458">
        <v>242.76569588179601</v>
      </c>
      <c r="W1458">
        <v>251.65074635346701</v>
      </c>
    </row>
    <row r="1459" spans="1:23" x14ac:dyDescent="0.2">
      <c r="A1459" t="s">
        <v>2927</v>
      </c>
      <c r="B1459" s="3" t="str">
        <f>HYPERLINK("http://www.ncbi.nlm.nih.gov/gene/13640","Efna5")</f>
        <v>Efna5</v>
      </c>
      <c r="C1459">
        <v>13640</v>
      </c>
      <c r="D1459" t="s">
        <v>2928</v>
      </c>
      <c r="E1459" s="3" t="str">
        <f>HYPERLINK("http://genome.ucsc.edu/cgi-bin/hgTracks?db=mm10&amp;lastVirtModeType=default&amp;lastVirtModeExtraState=&amp;virtModeType=default&amp;virtMode=0&amp;nonVirtPosition=&amp;position=chr17:62602956-62881317","chr17:62602956-62881317")</f>
        <v>chr17:62602956-62881317</v>
      </c>
      <c r="F1459" t="s">
        <v>25</v>
      </c>
      <c r="G1459">
        <v>1.35017073583993</v>
      </c>
      <c r="H1459">
        <v>0.36386158831639598</v>
      </c>
      <c r="I1459">
        <v>3.7106712530092398</v>
      </c>
      <c r="J1459">
        <v>2.0671040290015601E-4</v>
      </c>
      <c r="K1459">
        <v>1.9037544740275001E-3</v>
      </c>
      <c r="L1459" t="s">
        <v>26</v>
      </c>
      <c r="M1459" t="s">
        <v>27</v>
      </c>
      <c r="N1459">
        <v>22.9626877300595</v>
      </c>
      <c r="O1459">
        <v>8.8773586205424504</v>
      </c>
      <c r="P1459">
        <v>33.526684562197197</v>
      </c>
      <c r="Q1459">
        <v>5.0111329140515304</v>
      </c>
      <c r="R1459">
        <v>15.9287064780205</v>
      </c>
      <c r="S1459">
        <v>5.6922364695553203</v>
      </c>
      <c r="T1459">
        <v>22.914773577906299</v>
      </c>
      <c r="U1459">
        <v>34.260107934168602</v>
      </c>
      <c r="V1459">
        <v>22.069608716526901</v>
      </c>
      <c r="W1459">
        <v>54.862248020187003</v>
      </c>
    </row>
    <row r="1460" spans="1:23" x14ac:dyDescent="0.2">
      <c r="A1460" t="s">
        <v>2929</v>
      </c>
      <c r="B1460" s="3" t="str">
        <f>HYPERLINK("http://www.ncbi.nlm.nih.gov/gene/16412","Itgb1")</f>
        <v>Itgb1</v>
      </c>
      <c r="C1460">
        <v>16412</v>
      </c>
      <c r="D1460" t="s">
        <v>2930</v>
      </c>
      <c r="E1460" s="3" t="str">
        <f>HYPERLINK("http://genome.ucsc.edu/cgi-bin/hgTracks?db=mm10&amp;lastVirtModeType=default&amp;lastVirtModeExtraState=&amp;virtModeType=default&amp;virtMode=0&amp;nonVirtPosition=&amp;position=chr8:128685653-128733579","chr8:128685653-128733579")</f>
        <v>chr8:128685653-128733579</v>
      </c>
      <c r="F1460" t="s">
        <v>30</v>
      </c>
      <c r="G1460">
        <v>-0.59456559563179401</v>
      </c>
      <c r="H1460">
        <v>0.160252400531713</v>
      </c>
      <c r="I1460">
        <v>-3.7101821480304999</v>
      </c>
      <c r="J1460">
        <v>2.07110180363443E-4</v>
      </c>
      <c r="K1460">
        <v>1.90612537817654E-3</v>
      </c>
      <c r="L1460" t="s">
        <v>26</v>
      </c>
      <c r="M1460" t="s">
        <v>27</v>
      </c>
      <c r="N1460">
        <v>2529.8978122704102</v>
      </c>
      <c r="O1460">
        <v>3168.6440283606198</v>
      </c>
      <c r="P1460">
        <v>2050.8381502027501</v>
      </c>
      <c r="Q1460">
        <v>3139.7531669262798</v>
      </c>
      <c r="R1460">
        <v>3250.9731411807502</v>
      </c>
      <c r="S1460">
        <v>3115.2057769748199</v>
      </c>
      <c r="T1460">
        <v>1471.1284637015899</v>
      </c>
      <c r="U1460">
        <v>2156.2455431067301</v>
      </c>
      <c r="V1460">
        <v>2457.81875739721</v>
      </c>
      <c r="W1460">
        <v>2118.15983660548</v>
      </c>
    </row>
    <row r="1461" spans="1:23" x14ac:dyDescent="0.2">
      <c r="A1461" t="s">
        <v>2931</v>
      </c>
      <c r="B1461" s="3" t="str">
        <f>HYPERLINK("http://www.ncbi.nlm.nih.gov/gene/18642","Pfkm")</f>
        <v>Pfkm</v>
      </c>
      <c r="C1461">
        <v>18642</v>
      </c>
      <c r="D1461" t="s">
        <v>2932</v>
      </c>
      <c r="E1461" s="3" t="str">
        <f>HYPERLINK("http://genome.ucsc.edu/cgi-bin/hgTracks?db=mm10&amp;lastVirtModeType=default&amp;lastVirtModeExtraState=&amp;virtModeType=default&amp;virtMode=0&amp;nonVirtPosition=&amp;position=chr15:98112059-98132447","chr15:98112059-98132447")</f>
        <v>chr15:98112059-98132447</v>
      </c>
      <c r="F1461" t="s">
        <v>30</v>
      </c>
      <c r="G1461">
        <v>-0.55842055410590696</v>
      </c>
      <c r="H1461">
        <v>0.150607750448358</v>
      </c>
      <c r="I1461">
        <v>-3.70778099031088</v>
      </c>
      <c r="J1461">
        <v>2.0908335918022399E-4</v>
      </c>
      <c r="K1461">
        <v>1.9229637793835E-3</v>
      </c>
      <c r="L1461" t="s">
        <v>26</v>
      </c>
      <c r="M1461" t="s">
        <v>27</v>
      </c>
      <c r="N1461">
        <v>675.53620122279199</v>
      </c>
      <c r="O1461">
        <v>835.32284988029198</v>
      </c>
      <c r="P1461">
        <v>555.69621472966696</v>
      </c>
      <c r="Q1461">
        <v>954.34242385381299</v>
      </c>
      <c r="R1461">
        <v>876.83736612341295</v>
      </c>
      <c r="S1461">
        <v>674.78875966364899</v>
      </c>
      <c r="T1461">
        <v>485.79319985161402</v>
      </c>
      <c r="U1461">
        <v>586.70434837263701</v>
      </c>
      <c r="V1461">
        <v>519.37145846226701</v>
      </c>
      <c r="W1461">
        <v>630.915852232151</v>
      </c>
    </row>
    <row r="1462" spans="1:23" x14ac:dyDescent="0.2">
      <c r="A1462" t="s">
        <v>2933</v>
      </c>
      <c r="B1462" s="3" t="str">
        <f>HYPERLINK("http://www.ncbi.nlm.nih.gov/gene/24017","Rnf13")</f>
        <v>Rnf13</v>
      </c>
      <c r="C1462">
        <v>24017</v>
      </c>
      <c r="D1462" t="s">
        <v>2934</v>
      </c>
      <c r="E1462" s="3" t="str">
        <f>HYPERLINK("http://genome.ucsc.edu/cgi-bin/hgTracks?db=mm10&amp;lastVirtModeType=default&amp;lastVirtModeExtraState=&amp;virtModeType=default&amp;virtMode=0&amp;nonVirtPosition=&amp;position=chr3:57736061-57835425","chr3:57736061-57835425")</f>
        <v>chr3:57736061-57835425</v>
      </c>
      <c r="F1462" t="s">
        <v>30</v>
      </c>
      <c r="G1462">
        <v>-0.67842189600008695</v>
      </c>
      <c r="H1462">
        <v>0.18306175550951101</v>
      </c>
      <c r="I1462">
        <v>-3.7059728511389798</v>
      </c>
      <c r="J1462">
        <v>2.1058085707303801E-4</v>
      </c>
      <c r="K1462">
        <v>1.93540717712084E-3</v>
      </c>
      <c r="L1462" t="s">
        <v>26</v>
      </c>
      <c r="M1462" t="s">
        <v>27</v>
      </c>
      <c r="N1462">
        <v>378.097117891013</v>
      </c>
      <c r="O1462">
        <v>486.20800086315597</v>
      </c>
      <c r="P1462">
        <v>297.01395566190598</v>
      </c>
      <c r="Q1462">
        <v>625.83482171043499</v>
      </c>
      <c r="R1462">
        <v>463.82876244330998</v>
      </c>
      <c r="S1462">
        <v>368.96041843572198</v>
      </c>
      <c r="T1462">
        <v>339.13864895301401</v>
      </c>
      <c r="U1462">
        <v>252.668296014493</v>
      </c>
      <c r="V1462">
        <v>320.74498001352401</v>
      </c>
      <c r="W1462">
        <v>275.503897666591</v>
      </c>
    </row>
    <row r="1463" spans="1:23" x14ac:dyDescent="0.2">
      <c r="A1463" t="s">
        <v>2935</v>
      </c>
      <c r="B1463" s="3" t="str">
        <f>HYPERLINK("http://www.ncbi.nlm.nih.gov/gene/381668","Fbrsl1")</f>
        <v>Fbrsl1</v>
      </c>
      <c r="C1463">
        <v>381668</v>
      </c>
      <c r="D1463" t="s">
        <v>2936</v>
      </c>
      <c r="E1463" s="3" t="str">
        <f>HYPERLINK("http://genome.ucsc.edu/cgi-bin/hgTracks?db=mm10&amp;lastVirtModeType=default&amp;lastVirtModeExtraState=&amp;virtModeType=default&amp;virtMode=0&amp;nonVirtPosition=&amp;position=chr5:110361751-110387127","chr5:110361751-110387127")</f>
        <v>chr5:110361751-110387127</v>
      </c>
      <c r="F1463" t="s">
        <v>25</v>
      </c>
      <c r="G1463">
        <v>0.74575432836465405</v>
      </c>
      <c r="H1463">
        <v>0.20125715147868201</v>
      </c>
      <c r="I1463">
        <v>3.70547989418229</v>
      </c>
      <c r="J1463">
        <v>2.1099086723391601E-4</v>
      </c>
      <c r="K1463">
        <v>1.93784547539737E-3</v>
      </c>
      <c r="L1463" t="s">
        <v>26</v>
      </c>
      <c r="M1463" t="s">
        <v>27</v>
      </c>
      <c r="N1463">
        <v>138.26565755639299</v>
      </c>
      <c r="O1463">
        <v>97.955666319184004</v>
      </c>
      <c r="P1463">
        <v>168.4981509843</v>
      </c>
      <c r="Q1463">
        <v>82.405296808847297</v>
      </c>
      <c r="R1463">
        <v>80.022787306245704</v>
      </c>
      <c r="S1463">
        <v>131.43891484245901</v>
      </c>
      <c r="T1463">
        <v>146.65455089860001</v>
      </c>
      <c r="U1463">
        <v>175.58305316261399</v>
      </c>
      <c r="V1463">
        <v>163.31510450229899</v>
      </c>
      <c r="W1463">
        <v>188.439895373686</v>
      </c>
    </row>
    <row r="1464" spans="1:23" x14ac:dyDescent="0.2">
      <c r="A1464" t="s">
        <v>2937</v>
      </c>
      <c r="B1464" s="3" t="str">
        <f>HYPERLINK("http://www.ncbi.nlm.nih.gov/gene/66790","Grtp1")</f>
        <v>Grtp1</v>
      </c>
      <c r="C1464">
        <v>66790</v>
      </c>
      <c r="D1464" t="s">
        <v>2938</v>
      </c>
      <c r="E1464" s="3" t="str">
        <f>HYPERLINK("http://genome.ucsc.edu/cgi-bin/hgTracks?db=mm10&amp;lastVirtModeType=default&amp;lastVirtModeExtraState=&amp;virtModeType=default&amp;virtMode=0&amp;nonVirtPosition=&amp;position=chr8:13176868-13200624","chr8:13176868-13200624")</f>
        <v>chr8:13176868-13200624</v>
      </c>
      <c r="F1464" t="s">
        <v>25</v>
      </c>
      <c r="G1464">
        <v>0.92619910044188503</v>
      </c>
      <c r="H1464">
        <v>0.24996578010845999</v>
      </c>
      <c r="I1464">
        <v>3.7053035821143498</v>
      </c>
      <c r="J1464">
        <v>2.1113769430608099E-4</v>
      </c>
      <c r="K1464">
        <v>1.9378648831067399E-3</v>
      </c>
      <c r="L1464" t="s">
        <v>26</v>
      </c>
      <c r="M1464" t="s">
        <v>27</v>
      </c>
      <c r="N1464">
        <v>52.494435369084997</v>
      </c>
      <c r="O1464">
        <v>32.171174507198302</v>
      </c>
      <c r="P1464">
        <v>67.736881015499904</v>
      </c>
      <c r="Q1464">
        <v>36.191515490372097</v>
      </c>
      <c r="R1464">
        <v>26.168589213890801</v>
      </c>
      <c r="S1464">
        <v>34.153418817331897</v>
      </c>
      <c r="T1464">
        <v>73.327275449300203</v>
      </c>
      <c r="U1464">
        <v>74.943986105993702</v>
      </c>
      <c r="V1464">
        <v>46.346178304706498</v>
      </c>
      <c r="W1464">
        <v>76.330084201999398</v>
      </c>
    </row>
    <row r="1465" spans="1:23" x14ac:dyDescent="0.2">
      <c r="A1465" t="s">
        <v>2939</v>
      </c>
      <c r="B1465" s="3" t="str">
        <f>HYPERLINK("http://www.ncbi.nlm.nih.gov/gene/66435","Uggt2")</f>
        <v>Uggt2</v>
      </c>
      <c r="C1465">
        <v>66435</v>
      </c>
      <c r="D1465" t="s">
        <v>2940</v>
      </c>
      <c r="E1465" s="3" t="str">
        <f>HYPERLINK("http://genome.ucsc.edu/cgi-bin/hgTracks?db=mm10&amp;lastVirtModeType=default&amp;lastVirtModeExtraState=&amp;virtModeType=default&amp;virtMode=0&amp;nonVirtPosition=&amp;position=chr14:118984984-119099434","chr14:118984984-119099434")</f>
        <v>chr14:118984984-119099434</v>
      </c>
      <c r="F1465" t="s">
        <v>25</v>
      </c>
      <c r="G1465">
        <v>0.52724052356769302</v>
      </c>
      <c r="H1465">
        <v>0.14230276688195201</v>
      </c>
      <c r="I1465">
        <v>3.7050616451124201</v>
      </c>
      <c r="J1465">
        <v>2.1133932791373699E-4</v>
      </c>
      <c r="K1465">
        <v>1.9383869452690701E-3</v>
      </c>
      <c r="L1465" t="s">
        <v>26</v>
      </c>
      <c r="M1465" t="s">
        <v>27</v>
      </c>
      <c r="N1465">
        <v>339.02478216032699</v>
      </c>
      <c r="O1465">
        <v>271.06450810591701</v>
      </c>
      <c r="P1465">
        <v>389.99498770113502</v>
      </c>
      <c r="Q1465">
        <v>268.37400717475902</v>
      </c>
      <c r="R1465">
        <v>252.96302906761099</v>
      </c>
      <c r="S1465">
        <v>291.856488075382</v>
      </c>
      <c r="T1465">
        <v>371.21933196208198</v>
      </c>
      <c r="U1465">
        <v>321.18851188283003</v>
      </c>
      <c r="V1465">
        <v>456.105246808223</v>
      </c>
      <c r="W1465">
        <v>411.46686015140301</v>
      </c>
    </row>
    <row r="1466" spans="1:23" x14ac:dyDescent="0.2">
      <c r="A1466" t="s">
        <v>2941</v>
      </c>
      <c r="B1466" s="3" t="str">
        <f>HYPERLINK("http://www.ncbi.nlm.nih.gov/gene/69981","Tmem30a")</f>
        <v>Tmem30a</v>
      </c>
      <c r="C1466">
        <v>69981</v>
      </c>
      <c r="D1466" t="s">
        <v>2942</v>
      </c>
      <c r="E1466" s="3" t="str">
        <f>HYPERLINK("http://genome.ucsc.edu/cgi-bin/hgTracks?db=mm10&amp;lastVirtModeType=default&amp;lastVirtModeExtraState=&amp;virtModeType=default&amp;virtMode=0&amp;nonVirtPosition=&amp;position=chr9:79768940-79793430","chr9:79768940-79793430")</f>
        <v>chr9:79768940-79793430</v>
      </c>
      <c r="F1466" t="s">
        <v>25</v>
      </c>
      <c r="G1466">
        <v>-0.46033419242637302</v>
      </c>
      <c r="H1466">
        <v>0.124258703905798</v>
      </c>
      <c r="I1466">
        <v>-3.70464344111749</v>
      </c>
      <c r="J1466">
        <v>2.1168829135908499E-4</v>
      </c>
      <c r="K1466">
        <v>1.94025866501677E-3</v>
      </c>
      <c r="L1466" t="s">
        <v>26</v>
      </c>
      <c r="M1466" t="s">
        <v>27</v>
      </c>
      <c r="N1466">
        <v>1211.28947649721</v>
      </c>
      <c r="O1466">
        <v>1443.4597094814701</v>
      </c>
      <c r="P1466">
        <v>1037.1618017589999</v>
      </c>
      <c r="Q1466">
        <v>1584.6315859322899</v>
      </c>
      <c r="R1466">
        <v>1462.4069566487401</v>
      </c>
      <c r="S1466">
        <v>1283.3405858633801</v>
      </c>
      <c r="T1466">
        <v>976.16935441880901</v>
      </c>
      <c r="U1466">
        <v>1077.05214318042</v>
      </c>
      <c r="V1466">
        <v>1152.0335750027</v>
      </c>
      <c r="W1466">
        <v>943.39213443408596</v>
      </c>
    </row>
    <row r="1467" spans="1:23" x14ac:dyDescent="0.2">
      <c r="A1467" t="s">
        <v>2943</v>
      </c>
      <c r="B1467" s="3" t="str">
        <f>HYPERLINK("http://www.ncbi.nlm.nih.gov/gene/27058","Srp9")</f>
        <v>Srp9</v>
      </c>
      <c r="C1467">
        <v>27058</v>
      </c>
      <c r="D1467" t="s">
        <v>2944</v>
      </c>
      <c r="E1467" s="3" t="str">
        <f>HYPERLINK("http://genome.ucsc.edu/cgi-bin/hgTracks?db=mm10&amp;lastVirtModeType=default&amp;lastVirtModeExtraState=&amp;virtModeType=default&amp;virtMode=0&amp;nonVirtPosition=&amp;position=chr1:182124736-182132415","chr1:182124736-182132415")</f>
        <v>chr1:182124736-182132415</v>
      </c>
      <c r="F1467" t="s">
        <v>30</v>
      </c>
      <c r="G1467">
        <v>0.65059107395959903</v>
      </c>
      <c r="H1467">
        <v>0.17572259024415701</v>
      </c>
      <c r="I1467">
        <v>3.7023758473832999</v>
      </c>
      <c r="J1467">
        <v>2.13589888338213E-4</v>
      </c>
      <c r="K1467">
        <v>1.9563489704083501E-3</v>
      </c>
      <c r="L1467" t="s">
        <v>26</v>
      </c>
      <c r="M1467" t="s">
        <v>27</v>
      </c>
      <c r="N1467">
        <v>99.3436076590677</v>
      </c>
      <c r="O1467">
        <v>75.3671963905756</v>
      </c>
      <c r="P1467">
        <v>117.32591611043701</v>
      </c>
      <c r="Q1467">
        <v>69.042275704709894</v>
      </c>
      <c r="R1467">
        <v>77.368002893242306</v>
      </c>
      <c r="S1467">
        <v>79.691310573774501</v>
      </c>
      <c r="T1467">
        <v>96.242049027206505</v>
      </c>
      <c r="U1467">
        <v>113.486607531933</v>
      </c>
      <c r="V1467">
        <v>133.15330592304599</v>
      </c>
      <c r="W1467">
        <v>126.42170195956101</v>
      </c>
    </row>
    <row r="1468" spans="1:23" x14ac:dyDescent="0.2">
      <c r="A1468" t="s">
        <v>2945</v>
      </c>
      <c r="B1468" s="3" t="str">
        <f>HYPERLINK("http://www.ncbi.nlm.nih.gov/gene/66840","Wdr45b")</f>
        <v>Wdr45b</v>
      </c>
      <c r="C1468">
        <v>66840</v>
      </c>
      <c r="D1468" t="s">
        <v>2946</v>
      </c>
      <c r="E1468" s="3" t="str">
        <f>HYPERLINK("http://genome.ucsc.edu/cgi-bin/hgTracks?db=mm10&amp;lastVirtModeType=default&amp;lastVirtModeExtraState=&amp;virtModeType=default&amp;virtMode=0&amp;nonVirtPosition=&amp;position=chr11:121327202-121354447","chr11:121327202-121354447")</f>
        <v>chr11:121327202-121354447</v>
      </c>
      <c r="F1468" t="s">
        <v>25</v>
      </c>
      <c r="G1468">
        <v>-0.47962083244853898</v>
      </c>
      <c r="H1468">
        <v>0.12956547319061801</v>
      </c>
      <c r="I1468">
        <v>-3.70176421725342</v>
      </c>
      <c r="J1468">
        <v>2.14105539554318E-4</v>
      </c>
      <c r="K1468">
        <v>1.9597315653943101E-3</v>
      </c>
      <c r="L1468" t="s">
        <v>26</v>
      </c>
      <c r="M1468" t="s">
        <v>27</v>
      </c>
      <c r="N1468">
        <v>276.06431265003602</v>
      </c>
      <c r="O1468">
        <v>333.95603858180499</v>
      </c>
      <c r="P1468">
        <v>232.645518201209</v>
      </c>
      <c r="Q1468">
        <v>321.82609159130902</v>
      </c>
      <c r="R1468">
        <v>329.193267212423</v>
      </c>
      <c r="S1468">
        <v>350.84875694168301</v>
      </c>
      <c r="T1468">
        <v>206.23296220115699</v>
      </c>
      <c r="U1468">
        <v>237.67949879329399</v>
      </c>
      <c r="V1468">
        <v>264.83530459832298</v>
      </c>
      <c r="W1468">
        <v>221.83430721206099</v>
      </c>
    </row>
    <row r="1469" spans="1:23" x14ac:dyDescent="0.2">
      <c r="A1469" t="s">
        <v>2947</v>
      </c>
      <c r="B1469" s="3" t="str">
        <f>HYPERLINK("http://www.ncbi.nlm.nih.gov/gene/72480","Tspyl4")</f>
        <v>Tspyl4</v>
      </c>
      <c r="C1469">
        <v>72480</v>
      </c>
      <c r="D1469" t="s">
        <v>2948</v>
      </c>
      <c r="E1469" s="3" t="str">
        <f>HYPERLINK("http://genome.ucsc.edu/cgi-bin/hgTracks?db=mm10&amp;lastVirtModeType=default&amp;lastVirtModeExtraState=&amp;virtModeType=default&amp;virtMode=0&amp;nonVirtPosition=&amp;position=chr10:34297420-34301320","chr10:34297420-34301320")</f>
        <v>chr10:34297420-34301320</v>
      </c>
      <c r="F1469" t="s">
        <v>30</v>
      </c>
      <c r="G1469">
        <v>-0.65235258935129803</v>
      </c>
      <c r="H1469">
        <v>0.17624759084716199</v>
      </c>
      <c r="I1469">
        <v>-3.7013418805650802</v>
      </c>
      <c r="J1469">
        <v>2.1446228388668901E-4</v>
      </c>
      <c r="K1469">
        <v>1.9616560406602798E-3</v>
      </c>
      <c r="L1469" t="s">
        <v>26</v>
      </c>
      <c r="M1469" t="s">
        <v>27</v>
      </c>
      <c r="N1469">
        <v>682.74917296307899</v>
      </c>
      <c r="O1469">
        <v>872.18760278222703</v>
      </c>
      <c r="P1469">
        <v>540.67035059871898</v>
      </c>
      <c r="Q1469">
        <v>1123.0505652935501</v>
      </c>
      <c r="R1469">
        <v>850.28952199337903</v>
      </c>
      <c r="S1469">
        <v>643.22272105975196</v>
      </c>
      <c r="T1469">
        <v>508.70797342952</v>
      </c>
      <c r="U1469">
        <v>565.29178091378105</v>
      </c>
      <c r="V1469">
        <v>499.50881061739199</v>
      </c>
      <c r="W1469">
        <v>589.17283743418204</v>
      </c>
    </row>
    <row r="1470" spans="1:23" x14ac:dyDescent="0.2">
      <c r="A1470" t="s">
        <v>2949</v>
      </c>
      <c r="B1470" s="3" t="str">
        <f>HYPERLINK("http://www.ncbi.nlm.nih.gov/gene/66789","Alg14")</f>
        <v>Alg14</v>
      </c>
      <c r="C1470">
        <v>66789</v>
      </c>
      <c r="D1470" t="s">
        <v>2950</v>
      </c>
      <c r="E1470" s="3" t="str">
        <f>HYPERLINK("http://genome.ucsc.edu/cgi-bin/hgTracks?db=mm10&amp;lastVirtModeType=default&amp;lastVirtModeExtraState=&amp;virtModeType=default&amp;virtMode=0&amp;nonVirtPosition=&amp;position=chr3:121291816-121362011","chr3:121291816-121362011")</f>
        <v>chr3:121291816-121362011</v>
      </c>
      <c r="F1470" t="s">
        <v>30</v>
      </c>
      <c r="G1470">
        <v>-0.71478435157086795</v>
      </c>
      <c r="H1470">
        <v>0.193130228799863</v>
      </c>
      <c r="I1470">
        <v>-3.7010485412492602</v>
      </c>
      <c r="J1470">
        <v>2.1471039358758999E-4</v>
      </c>
      <c r="K1470">
        <v>1.9625849013866301E-3</v>
      </c>
      <c r="L1470" t="s">
        <v>26</v>
      </c>
      <c r="M1470" t="s">
        <v>27</v>
      </c>
      <c r="N1470">
        <v>74.163187080161407</v>
      </c>
      <c r="O1470">
        <v>98.064339666198805</v>
      </c>
      <c r="P1470">
        <v>56.237322640633202</v>
      </c>
      <c r="Q1470">
        <v>93.541147728961803</v>
      </c>
      <c r="R1470">
        <v>99.744042945699604</v>
      </c>
      <c r="S1470">
        <v>100.90782832393499</v>
      </c>
      <c r="T1470">
        <v>50.4125018713939</v>
      </c>
      <c r="U1470">
        <v>55.672675393023901</v>
      </c>
      <c r="V1470">
        <v>64.001865277928005</v>
      </c>
      <c r="W1470">
        <v>54.862248020187003</v>
      </c>
    </row>
    <row r="1471" spans="1:23" x14ac:dyDescent="0.2">
      <c r="A1471" t="s">
        <v>2951</v>
      </c>
      <c r="B1471" s="3" t="str">
        <f>HYPERLINK("http://www.ncbi.nlm.nih.gov/gene/225020","Fez2")</f>
        <v>Fez2</v>
      </c>
      <c r="C1471">
        <v>225020</v>
      </c>
      <c r="D1471" t="s">
        <v>2952</v>
      </c>
      <c r="E1471" s="3" t="str">
        <f>HYPERLINK("http://genome.ucsc.edu/cgi-bin/hgTracks?db=mm10&amp;lastVirtModeType=default&amp;lastVirtModeExtraState=&amp;virtModeType=default&amp;virtMode=0&amp;nonVirtPosition=&amp;position=chr17:78377877-78418152","chr17:78377877-78418152")</f>
        <v>chr17:78377877-78418152</v>
      </c>
      <c r="F1471" t="s">
        <v>25</v>
      </c>
      <c r="G1471">
        <v>-0.59857943702353</v>
      </c>
      <c r="H1471">
        <v>0.161751923151077</v>
      </c>
      <c r="I1471">
        <v>-3.7006016705251499</v>
      </c>
      <c r="J1471">
        <v>2.1508887998904401E-4</v>
      </c>
      <c r="K1471">
        <v>1.96368857992766E-3</v>
      </c>
      <c r="L1471" t="s">
        <v>26</v>
      </c>
      <c r="M1471" t="s">
        <v>27</v>
      </c>
      <c r="N1471">
        <v>141.90609167786999</v>
      </c>
      <c r="O1471">
        <v>179.34801017287299</v>
      </c>
      <c r="P1471">
        <v>113.824652806617</v>
      </c>
      <c r="Q1471">
        <v>203.78607183809501</v>
      </c>
      <c r="R1471">
        <v>167.63067293535801</v>
      </c>
      <c r="S1471">
        <v>166.62728574516501</v>
      </c>
      <c r="T1471">
        <v>96.242049027206505</v>
      </c>
      <c r="U1471">
        <v>124.192891261361</v>
      </c>
      <c r="V1471">
        <v>119.17588706924499</v>
      </c>
      <c r="W1471">
        <v>115.687783868655</v>
      </c>
    </row>
    <row r="1472" spans="1:23" x14ac:dyDescent="0.2">
      <c r="A1472" t="s">
        <v>2953</v>
      </c>
      <c r="B1472" s="3" t="str">
        <f>HYPERLINK("http://www.ncbi.nlm.nih.gov/gene/211255","Kbtbd7")</f>
        <v>Kbtbd7</v>
      </c>
      <c r="C1472">
        <v>211255</v>
      </c>
      <c r="D1472" t="s">
        <v>2954</v>
      </c>
      <c r="E1472" s="3" t="str">
        <f>HYPERLINK("http://genome.ucsc.edu/cgi-bin/hgTracks?db=mm10&amp;lastVirtModeType=default&amp;lastVirtModeExtraState=&amp;virtModeType=default&amp;virtMode=0&amp;nonVirtPosition=&amp;position=chr14:79426510-79431038","chr14:79426510-79431038")</f>
        <v>chr14:79426510-79431038</v>
      </c>
      <c r="F1472" t="s">
        <v>30</v>
      </c>
      <c r="G1472">
        <v>-0.68807526768272198</v>
      </c>
      <c r="H1472">
        <v>0.18593815944931499</v>
      </c>
      <c r="I1472">
        <v>-3.7005597437372</v>
      </c>
      <c r="J1472">
        <v>2.15124422877595E-4</v>
      </c>
      <c r="K1472">
        <v>1.96368857992766E-3</v>
      </c>
      <c r="L1472" t="s">
        <v>26</v>
      </c>
      <c r="M1472" t="s">
        <v>27</v>
      </c>
      <c r="N1472">
        <v>195.78918544092801</v>
      </c>
      <c r="O1472">
        <v>255.557203505936</v>
      </c>
      <c r="P1472">
        <v>150.96317189217299</v>
      </c>
      <c r="Q1472">
        <v>325.166846867343</v>
      </c>
      <c r="R1472">
        <v>239.689107002594</v>
      </c>
      <c r="S1472">
        <v>201.81565664787101</v>
      </c>
      <c r="T1472">
        <v>123.739777320694</v>
      </c>
      <c r="U1472">
        <v>158.45299919553</v>
      </c>
      <c r="V1472">
        <v>161.84379725453101</v>
      </c>
      <c r="W1472">
        <v>159.816113797936</v>
      </c>
    </row>
    <row r="1473" spans="1:23" x14ac:dyDescent="0.2">
      <c r="A1473" t="s">
        <v>2955</v>
      </c>
      <c r="B1473" s="3" t="str">
        <f>HYPERLINK("http://www.ncbi.nlm.nih.gov/gene/15519","Hsp90aa1")</f>
        <v>Hsp90aa1</v>
      </c>
      <c r="C1473">
        <v>15519</v>
      </c>
      <c r="D1473" t="s">
        <v>2956</v>
      </c>
      <c r="E1473" s="3" t="str">
        <f>HYPERLINK("http://genome.ucsc.edu/cgi-bin/hgTracks?db=mm10&amp;lastVirtModeType=default&amp;lastVirtModeExtraState=&amp;virtModeType=default&amp;virtMode=0&amp;nonVirtPosition=&amp;position=chr12:110691035-110696395","chr12:110691035-110696395")</f>
        <v>chr12:110691035-110696395</v>
      </c>
      <c r="F1473" t="s">
        <v>25</v>
      </c>
      <c r="G1473">
        <v>-0.57684651833932299</v>
      </c>
      <c r="H1473">
        <v>0.15592137247847301</v>
      </c>
      <c r="I1473">
        <v>-3.6995987732147699</v>
      </c>
      <c r="J1473">
        <v>2.1594058653042099E-4</v>
      </c>
      <c r="K1473">
        <v>1.9684549994750701E-3</v>
      </c>
      <c r="L1473" t="s">
        <v>26</v>
      </c>
      <c r="M1473" t="s">
        <v>27</v>
      </c>
      <c r="N1473">
        <v>383.73210949603299</v>
      </c>
      <c r="O1473">
        <v>471.57316440499699</v>
      </c>
      <c r="P1473">
        <v>317.85131831430999</v>
      </c>
      <c r="Q1473">
        <v>448.21799953460902</v>
      </c>
      <c r="R1473">
        <v>527.16433343924905</v>
      </c>
      <c r="S1473">
        <v>439.33716024113397</v>
      </c>
      <c r="T1473">
        <v>384.96819610882602</v>
      </c>
      <c r="U1473">
        <v>295.49343093220398</v>
      </c>
      <c r="V1473">
        <v>248.65092487287001</v>
      </c>
      <c r="W1473">
        <v>342.29272134334099</v>
      </c>
    </row>
    <row r="1474" spans="1:23" x14ac:dyDescent="0.2">
      <c r="A1474" t="s">
        <v>2957</v>
      </c>
      <c r="B1474" s="3" t="str">
        <f>HYPERLINK("http://www.ncbi.nlm.nih.gov/gene/330814","Adgrl1")</f>
        <v>Adgrl1</v>
      </c>
      <c r="C1474">
        <v>330814</v>
      </c>
      <c r="D1474" t="s">
        <v>2958</v>
      </c>
      <c r="E1474" s="3" t="str">
        <f>HYPERLINK("http://genome.ucsc.edu/cgi-bin/hgTracks?db=mm10&amp;lastVirtModeType=default&amp;lastVirtModeExtraState=&amp;virtModeType=default&amp;virtMode=0&amp;nonVirtPosition=&amp;position=chr8:83900097-83941954","chr8:83900097-83941954")</f>
        <v>chr8:83900097-83941954</v>
      </c>
      <c r="F1474" t="s">
        <v>30</v>
      </c>
      <c r="G1474">
        <v>0.48599058321027899</v>
      </c>
      <c r="H1474">
        <v>0.131431111859769</v>
      </c>
      <c r="I1474">
        <v>3.69768296359547</v>
      </c>
      <c r="J1474">
        <v>2.17576389897609E-4</v>
      </c>
      <c r="K1474">
        <v>1.9820173041625098E-3</v>
      </c>
      <c r="L1474" t="s">
        <v>26</v>
      </c>
      <c r="M1474" t="s">
        <v>27</v>
      </c>
      <c r="N1474">
        <v>1750.2045021490401</v>
      </c>
      <c r="O1474">
        <v>1416.9232835047301</v>
      </c>
      <c r="P1474">
        <v>2000.1654161322699</v>
      </c>
      <c r="Q1474">
        <v>1571.8253573741599</v>
      </c>
      <c r="R1474">
        <v>1198.4455350129699</v>
      </c>
      <c r="S1474">
        <v>1480.49895812707</v>
      </c>
      <c r="T1474">
        <v>1819.4330220857601</v>
      </c>
      <c r="U1474">
        <v>2214.05947524564</v>
      </c>
      <c r="V1474">
        <v>1903.8715786123901</v>
      </c>
      <c r="W1474">
        <v>2063.2975885852902</v>
      </c>
    </row>
    <row r="1475" spans="1:23" x14ac:dyDescent="0.2">
      <c r="A1475" t="s">
        <v>2959</v>
      </c>
      <c r="B1475" s="3" t="str">
        <f>HYPERLINK("http://www.ncbi.nlm.nih.gov/gene/237898","Usp32")</f>
        <v>Usp32</v>
      </c>
      <c r="C1475">
        <v>237898</v>
      </c>
      <c r="D1475" t="s">
        <v>2960</v>
      </c>
      <c r="E1475" s="3" t="str">
        <f>HYPERLINK("http://genome.ucsc.edu/cgi-bin/hgTracks?db=mm10&amp;lastVirtModeType=default&amp;lastVirtModeExtraState=&amp;virtModeType=default&amp;virtMode=0&amp;nonVirtPosition=&amp;position=chr11:84984487-85139955","chr11:84984487-85139955")</f>
        <v>chr11:84984487-85139955</v>
      </c>
      <c r="F1475" t="s">
        <v>25</v>
      </c>
      <c r="G1475">
        <v>-0.44631453982276398</v>
      </c>
      <c r="H1475">
        <v>0.1207128490648</v>
      </c>
      <c r="I1475">
        <v>-3.6973242142862301</v>
      </c>
      <c r="J1475">
        <v>2.1788399641977399E-4</v>
      </c>
      <c r="K1475">
        <v>1.98347015367586E-3</v>
      </c>
      <c r="L1475" t="s">
        <v>26</v>
      </c>
      <c r="M1475" t="s">
        <v>27</v>
      </c>
      <c r="N1475">
        <v>653.64153239946597</v>
      </c>
      <c r="O1475">
        <v>776.72075654154401</v>
      </c>
      <c r="P1475">
        <v>561.33211429290805</v>
      </c>
      <c r="Q1475">
        <v>818.48504262841595</v>
      </c>
      <c r="R1475">
        <v>703.89712436204798</v>
      </c>
      <c r="S1475">
        <v>807.780102634169</v>
      </c>
      <c r="T1475">
        <v>545.37161115416995</v>
      </c>
      <c r="U1475">
        <v>513.90161901252804</v>
      </c>
      <c r="V1475">
        <v>632.66211654043798</v>
      </c>
      <c r="W1475">
        <v>553.39311046449495</v>
      </c>
    </row>
    <row r="1476" spans="1:23" x14ac:dyDescent="0.2">
      <c r="A1476" t="s">
        <v>2961</v>
      </c>
      <c r="B1476" s="3" t="str">
        <f>HYPERLINK("http://www.ncbi.nlm.nih.gov/gene/69635","Dapk1")</f>
        <v>Dapk1</v>
      </c>
      <c r="C1476">
        <v>69635</v>
      </c>
      <c r="D1476" t="s">
        <v>2962</v>
      </c>
      <c r="E1476" s="3" t="str">
        <f>HYPERLINK("http://genome.ucsc.edu/cgi-bin/hgTracks?db=mm10&amp;lastVirtModeType=default&amp;lastVirtModeExtraState=&amp;virtModeType=default&amp;virtMode=0&amp;nonVirtPosition=&amp;position=chr13:60602210-60763191","chr13:60602210-60763191")</f>
        <v>chr13:60602210-60763191</v>
      </c>
      <c r="F1476" t="s">
        <v>30</v>
      </c>
      <c r="G1476">
        <v>0.83171856559616397</v>
      </c>
      <c r="H1476">
        <v>0.22497831826022899</v>
      </c>
      <c r="I1476">
        <v>3.6968832020253899</v>
      </c>
      <c r="J1476">
        <v>2.1826269810767E-4</v>
      </c>
      <c r="K1476">
        <v>1.9855677923640001E-3</v>
      </c>
      <c r="L1476" t="s">
        <v>26</v>
      </c>
      <c r="M1476" t="s">
        <v>27</v>
      </c>
      <c r="N1476">
        <v>92.820659161695204</v>
      </c>
      <c r="O1476">
        <v>60.439511770913597</v>
      </c>
      <c r="P1476">
        <v>117.10651970478099</v>
      </c>
      <c r="Q1476">
        <v>63.474350244652598</v>
      </c>
      <c r="R1476">
        <v>61.439296415221797</v>
      </c>
      <c r="S1476">
        <v>56.404888652866397</v>
      </c>
      <c r="T1476">
        <v>164.98636976092499</v>
      </c>
      <c r="U1476">
        <v>68.520215868337104</v>
      </c>
      <c r="V1476">
        <v>103.727160967676</v>
      </c>
      <c r="W1476">
        <v>131.192332222186</v>
      </c>
    </row>
    <row r="1477" spans="1:23" x14ac:dyDescent="0.2">
      <c r="A1477" t="s">
        <v>2963</v>
      </c>
      <c r="B1477" s="3" t="str">
        <f>HYPERLINK("http://www.ncbi.nlm.nih.gov/gene/12631","Cfl1")</f>
        <v>Cfl1</v>
      </c>
      <c r="C1477">
        <v>12631</v>
      </c>
      <c r="D1477" t="s">
        <v>2964</v>
      </c>
      <c r="E1477" s="3" t="str">
        <f>HYPERLINK("http://genome.ucsc.edu/cgi-bin/hgTracks?db=mm10&amp;lastVirtModeType=default&amp;lastVirtModeExtraState=&amp;virtModeType=default&amp;virtMode=0&amp;nonVirtPosition=&amp;position=chr19:5490454-5494031","chr19:5490454-5494031")</f>
        <v>chr19:5490454-5494031</v>
      </c>
      <c r="F1477" t="s">
        <v>30</v>
      </c>
      <c r="G1477">
        <v>-0.48591602220067498</v>
      </c>
      <c r="H1477">
        <v>0.131454634572472</v>
      </c>
      <c r="I1477">
        <v>-3.69645409445633</v>
      </c>
      <c r="J1477">
        <v>2.1863177024065701E-4</v>
      </c>
      <c r="K1477">
        <v>1.98757504093186E-3</v>
      </c>
      <c r="L1477" t="s">
        <v>26</v>
      </c>
      <c r="M1477" t="s">
        <v>27</v>
      </c>
      <c r="N1477">
        <v>1828.0814249856301</v>
      </c>
      <c r="O1477">
        <v>2195.1608488104998</v>
      </c>
      <c r="P1477">
        <v>1552.7718571169801</v>
      </c>
      <c r="Q1477">
        <v>2253.3394336851702</v>
      </c>
      <c r="R1477">
        <v>2462.5021705187401</v>
      </c>
      <c r="S1477">
        <v>1869.6409422275799</v>
      </c>
      <c r="T1477">
        <v>1544.4557391508899</v>
      </c>
      <c r="U1477">
        <v>1635.9201538565501</v>
      </c>
      <c r="V1477">
        <v>1650.8067319962099</v>
      </c>
      <c r="W1477">
        <v>1379.9048034642699</v>
      </c>
    </row>
    <row r="1478" spans="1:23" x14ac:dyDescent="0.2">
      <c r="A1478" t="s">
        <v>2965</v>
      </c>
      <c r="B1478" s="3" t="str">
        <f>HYPERLINK("http://www.ncbi.nlm.nih.gov/gene/17775","Laptm4a")</f>
        <v>Laptm4a</v>
      </c>
      <c r="C1478">
        <v>17775</v>
      </c>
      <c r="D1478" t="s">
        <v>2966</v>
      </c>
      <c r="E1478" s="3" t="str">
        <f>HYPERLINK("http://genome.ucsc.edu/cgi-bin/hgTracks?db=mm10&amp;lastVirtModeType=default&amp;lastVirtModeExtraState=&amp;virtModeType=default&amp;virtMode=0&amp;nonVirtPosition=&amp;position=chr12:8921306-8938741","chr12:8921306-8938741")</f>
        <v>chr12:8921306-8938741</v>
      </c>
      <c r="F1478" t="s">
        <v>30</v>
      </c>
      <c r="G1478">
        <v>-0.60432469847397996</v>
      </c>
      <c r="H1478">
        <v>0.16351595051472101</v>
      </c>
      <c r="I1478">
        <v>-3.6958149744515101</v>
      </c>
      <c r="J1478">
        <v>2.1918255887463299E-4</v>
      </c>
      <c r="K1478">
        <v>1.9912304246202201E-3</v>
      </c>
      <c r="L1478" t="s">
        <v>26</v>
      </c>
      <c r="M1478" t="s">
        <v>27</v>
      </c>
      <c r="N1478">
        <v>687.62252588858496</v>
      </c>
      <c r="O1478">
        <v>865.29346094347704</v>
      </c>
      <c r="P1478">
        <v>554.36932459741604</v>
      </c>
      <c r="Q1478">
        <v>1081.2911243431199</v>
      </c>
      <c r="R1478">
        <v>795.29755915259398</v>
      </c>
      <c r="S1478">
        <v>719.29169933471803</v>
      </c>
      <c r="T1478">
        <v>513.29092814510102</v>
      </c>
      <c r="U1478">
        <v>481.78276782424501</v>
      </c>
      <c r="V1478">
        <v>601.02901071341603</v>
      </c>
      <c r="W1478">
        <v>621.37459170690101</v>
      </c>
    </row>
    <row r="1479" spans="1:23" x14ac:dyDescent="0.2">
      <c r="A1479" t="s">
        <v>2967</v>
      </c>
      <c r="B1479" s="3" t="str">
        <f>HYPERLINK("http://www.ncbi.nlm.nih.gov/gene/228598","Ebf4")</f>
        <v>Ebf4</v>
      </c>
      <c r="C1479">
        <v>228598</v>
      </c>
      <c r="D1479" t="s">
        <v>2968</v>
      </c>
      <c r="E1479" s="3" t="str">
        <f>HYPERLINK("http://genome.ucsc.edu/cgi-bin/hgTracks?db=mm10&amp;lastVirtModeType=default&amp;lastVirtModeExtraState=&amp;virtModeType=default&amp;virtMode=0&amp;nonVirtPosition=&amp;position=chr2:130295938-130370481","chr2:130295938-130370481")</f>
        <v>chr2:130295938-130370481</v>
      </c>
      <c r="F1479" t="s">
        <v>30</v>
      </c>
      <c r="G1479">
        <v>0.99984662518983702</v>
      </c>
      <c r="H1479">
        <v>0.27059203935675802</v>
      </c>
      <c r="I1479">
        <v>3.6950334073634901</v>
      </c>
      <c r="J1479">
        <v>2.19857877937193E-4</v>
      </c>
      <c r="K1479">
        <v>1.9960114192928398E-3</v>
      </c>
      <c r="L1479" t="s">
        <v>26</v>
      </c>
      <c r="M1479" t="s">
        <v>27</v>
      </c>
      <c r="N1479">
        <v>71.3880317979946</v>
      </c>
      <c r="O1479">
        <v>41.105502683794498</v>
      </c>
      <c r="P1479">
        <v>94.099928633644595</v>
      </c>
      <c r="Q1479">
        <v>60.690387514624</v>
      </c>
      <c r="R1479">
        <v>38.3047465304778</v>
      </c>
      <c r="S1479">
        <v>24.3213740062818</v>
      </c>
      <c r="T1479">
        <v>123.739777320694</v>
      </c>
      <c r="U1479">
        <v>94.215296818963594</v>
      </c>
      <c r="V1479">
        <v>80.921898627265307</v>
      </c>
      <c r="W1479">
        <v>77.522741767655603</v>
      </c>
    </row>
    <row r="1480" spans="1:23" x14ac:dyDescent="0.2">
      <c r="A1480" t="s">
        <v>2969</v>
      </c>
      <c r="B1480" s="3" t="str">
        <f>HYPERLINK("http://www.ncbi.nlm.nih.gov/gene/78923","Chsy3")</f>
        <v>Chsy3</v>
      </c>
      <c r="C1480">
        <v>78923</v>
      </c>
      <c r="D1480" t="s">
        <v>2970</v>
      </c>
      <c r="E1480" s="3" t="str">
        <f>HYPERLINK("http://genome.ucsc.edu/cgi-bin/hgTracks?db=mm10&amp;lastVirtModeType=default&amp;lastVirtModeExtraState=&amp;virtModeType=default&amp;virtMode=0&amp;nonVirtPosition=&amp;position=chr18:59175339-59411336","chr18:59175339-59411336")</f>
        <v>chr18:59175339-59411336</v>
      </c>
      <c r="F1480" t="s">
        <v>30</v>
      </c>
      <c r="G1480">
        <v>0.99247981750796999</v>
      </c>
      <c r="H1480">
        <v>0.26864940296805501</v>
      </c>
      <c r="I1480">
        <v>3.6943309999687002</v>
      </c>
      <c r="J1480">
        <v>2.2046646468570899E-4</v>
      </c>
      <c r="K1480">
        <v>2.00018050718586E-3</v>
      </c>
      <c r="L1480" t="s">
        <v>26</v>
      </c>
      <c r="M1480" t="s">
        <v>27</v>
      </c>
      <c r="N1480">
        <v>33.206780548604101</v>
      </c>
      <c r="O1480">
        <v>19.463263354233298</v>
      </c>
      <c r="P1480">
        <v>43.514418444382102</v>
      </c>
      <c r="Q1480">
        <v>23.385286932240501</v>
      </c>
      <c r="R1480">
        <v>18.962745807167199</v>
      </c>
      <c r="S1480">
        <v>16.041757323292298</v>
      </c>
      <c r="T1480">
        <v>45.829547155812598</v>
      </c>
      <c r="U1480">
        <v>42.825134917710699</v>
      </c>
      <c r="V1480">
        <v>35.311373946442998</v>
      </c>
      <c r="W1480">
        <v>50.091617757562098</v>
      </c>
    </row>
    <row r="1481" spans="1:23" x14ac:dyDescent="0.2">
      <c r="A1481" t="s">
        <v>2971</v>
      </c>
      <c r="B1481" s="3" t="str">
        <f>HYPERLINK("http://www.ncbi.nlm.nih.gov/gene/22715","Zfp57")</f>
        <v>Zfp57</v>
      </c>
      <c r="C1481">
        <v>22715</v>
      </c>
      <c r="D1481" t="s">
        <v>2972</v>
      </c>
      <c r="E1481" s="3" t="str">
        <f>HYPERLINK("http://genome.ucsc.edu/cgi-bin/hgTracks?db=mm10&amp;lastVirtModeType=default&amp;lastVirtModeExtraState=&amp;virtModeType=default&amp;virtMode=0&amp;nonVirtPosition=&amp;position=chr17:37002524-37010729","chr17:37002524-37010729")</f>
        <v>chr17:37002524-37010729</v>
      </c>
      <c r="F1481" t="s">
        <v>30</v>
      </c>
      <c r="G1481">
        <v>0.92597924485066696</v>
      </c>
      <c r="H1481">
        <v>0.25074251075324899</v>
      </c>
      <c r="I1481">
        <v>3.6929487627325699</v>
      </c>
      <c r="J1481">
        <v>2.21668697514285E-4</v>
      </c>
      <c r="K1481">
        <v>2.0097261532930201E-3</v>
      </c>
      <c r="L1481" t="s">
        <v>26</v>
      </c>
      <c r="M1481" t="s">
        <v>27</v>
      </c>
      <c r="N1481">
        <v>66.620662113154793</v>
      </c>
      <c r="O1481">
        <v>43.362640009683602</v>
      </c>
      <c r="P1481">
        <v>84.064178690758098</v>
      </c>
      <c r="Q1481">
        <v>45.656988772469397</v>
      </c>
      <c r="R1481">
        <v>35.270707201331</v>
      </c>
      <c r="S1481">
        <v>49.160224055250502</v>
      </c>
      <c r="T1481">
        <v>41.246592440231403</v>
      </c>
      <c r="U1481">
        <v>83.509013089535898</v>
      </c>
      <c r="V1481">
        <v>93.428010233297201</v>
      </c>
      <c r="W1481">
        <v>118.073098999968</v>
      </c>
    </row>
    <row r="1482" spans="1:23" x14ac:dyDescent="0.2">
      <c r="A1482" t="s">
        <v>2973</v>
      </c>
      <c r="B1482" s="3" t="str">
        <f>HYPERLINK("http://www.ncbi.nlm.nih.gov/gene/22151","Tubb2a")</f>
        <v>Tubb2a</v>
      </c>
      <c r="C1482">
        <v>22151</v>
      </c>
      <c r="D1482" t="s">
        <v>2974</v>
      </c>
      <c r="E1482" s="3" t="str">
        <f>HYPERLINK("http://genome.ucsc.edu/cgi-bin/hgTracks?db=mm10&amp;lastVirtModeType=default&amp;lastVirtModeExtraState=&amp;virtModeType=default&amp;virtMode=0&amp;nonVirtPosition=&amp;position=chr13:34074279-34078008","chr13:34074279-34078008")</f>
        <v>chr13:34074279-34078008</v>
      </c>
      <c r="F1482" t="s">
        <v>25</v>
      </c>
      <c r="G1482">
        <v>-0.55426792389912205</v>
      </c>
      <c r="H1482">
        <v>0.150095494951658</v>
      </c>
      <c r="I1482">
        <v>-3.6927685542969702</v>
      </c>
      <c r="J1482">
        <v>2.2182589070516301E-4</v>
      </c>
      <c r="K1482">
        <v>2.0097905970452201E-3</v>
      </c>
      <c r="L1482" t="s">
        <v>26</v>
      </c>
      <c r="M1482" t="s">
        <v>27</v>
      </c>
      <c r="N1482">
        <v>729.58212000786398</v>
      </c>
      <c r="O1482">
        <v>899.55512152213601</v>
      </c>
      <c r="P1482">
        <v>602.10236887216001</v>
      </c>
      <c r="Q1482">
        <v>697.104267599168</v>
      </c>
      <c r="R1482">
        <v>1038.0207054843299</v>
      </c>
      <c r="S1482">
        <v>963.54039148290997</v>
      </c>
      <c r="T1482">
        <v>568.28638473207695</v>
      </c>
      <c r="U1482">
        <v>618.82319956091999</v>
      </c>
      <c r="V1482">
        <v>639.28299915539606</v>
      </c>
      <c r="W1482">
        <v>582.01689204024501</v>
      </c>
    </row>
    <row r="1483" spans="1:23" x14ac:dyDescent="0.2">
      <c r="A1483" t="s">
        <v>2975</v>
      </c>
      <c r="B1483" s="3" t="str">
        <f>HYPERLINK("http://www.ncbi.nlm.nih.gov/gene/194126","Mtmr11")</f>
        <v>Mtmr11</v>
      </c>
      <c r="C1483">
        <v>194126</v>
      </c>
      <c r="D1483" t="s">
        <v>2976</v>
      </c>
      <c r="E1483" s="3" t="str">
        <f>HYPERLINK("http://genome.ucsc.edu/cgi-bin/hgTracks?db=mm10&amp;lastVirtModeType=default&amp;lastVirtModeExtraState=&amp;virtModeType=default&amp;virtMode=0&amp;nonVirtPosition=&amp;position=chr3:96161969-96171718","chr3:96161969-96171718")</f>
        <v>chr3:96161969-96171718</v>
      </c>
      <c r="F1483" t="s">
        <v>30</v>
      </c>
      <c r="G1483">
        <v>-0.74921439094672904</v>
      </c>
      <c r="H1483">
        <v>0.20295901541582001</v>
      </c>
      <c r="I1483">
        <v>-3.6914565702427602</v>
      </c>
      <c r="J1483">
        <v>2.2297347346556299E-4</v>
      </c>
      <c r="K1483">
        <v>2.01745796160632E-3</v>
      </c>
      <c r="L1483" t="s">
        <v>26</v>
      </c>
      <c r="M1483" t="s">
        <v>27</v>
      </c>
      <c r="N1483">
        <v>84.029218972700903</v>
      </c>
      <c r="O1483">
        <v>112.004757892792</v>
      </c>
      <c r="P1483">
        <v>63.047564782632897</v>
      </c>
      <c r="Q1483">
        <v>114.142471931174</v>
      </c>
      <c r="R1483">
        <v>94.055219203549498</v>
      </c>
      <c r="S1483">
        <v>127.81658254365099</v>
      </c>
      <c r="T1483">
        <v>50.4125018713939</v>
      </c>
      <c r="U1483">
        <v>74.943986105993702</v>
      </c>
      <c r="V1483">
        <v>58.852289910738399</v>
      </c>
      <c r="W1483">
        <v>67.981481242405707</v>
      </c>
    </row>
    <row r="1484" spans="1:23" x14ac:dyDescent="0.2">
      <c r="A1484" t="s">
        <v>2977</v>
      </c>
      <c r="B1484" s="3" t="str">
        <f>HYPERLINK("http://www.ncbi.nlm.nih.gov/gene/53951","Gpatch11")</f>
        <v>Gpatch11</v>
      </c>
      <c r="C1484">
        <v>53951</v>
      </c>
      <c r="D1484" t="s">
        <v>2978</v>
      </c>
      <c r="E1484" s="3" t="str">
        <f>HYPERLINK("http://genome.ucsc.edu/cgi-bin/hgTracks?db=mm10&amp;lastVirtModeType=default&amp;lastVirtModeExtraState=&amp;virtModeType=default&amp;virtMode=0&amp;nonVirtPosition=&amp;position=chr17:78835515-78848308","chr17:78835515-78848308")</f>
        <v>chr17:78835515-78848308</v>
      </c>
      <c r="F1484" t="s">
        <v>30</v>
      </c>
      <c r="G1484">
        <v>-0.73673424442475399</v>
      </c>
      <c r="H1484">
        <v>0.19961348290687</v>
      </c>
      <c r="I1484">
        <v>-3.6908040163222799</v>
      </c>
      <c r="J1484">
        <v>2.2354633068324601E-4</v>
      </c>
      <c r="K1484">
        <v>2.0212754315863299E-3</v>
      </c>
      <c r="L1484" t="s">
        <v>26</v>
      </c>
      <c r="M1484" t="s">
        <v>27</v>
      </c>
      <c r="N1484">
        <v>86.4316901720521</v>
      </c>
      <c r="O1484">
        <v>114.952919398153</v>
      </c>
      <c r="P1484">
        <v>65.040768252476695</v>
      </c>
      <c r="Q1484">
        <v>121.380775029248</v>
      </c>
      <c r="R1484">
        <v>119.465298585154</v>
      </c>
      <c r="S1484">
        <v>104.012684580056</v>
      </c>
      <c r="T1484">
        <v>68.744320733718993</v>
      </c>
      <c r="U1484">
        <v>47.107648409481797</v>
      </c>
      <c r="V1484">
        <v>78.714937755612596</v>
      </c>
      <c r="W1484">
        <v>65.596166111093197</v>
      </c>
    </row>
    <row r="1485" spans="1:23" x14ac:dyDescent="0.2">
      <c r="A1485" t="s">
        <v>2979</v>
      </c>
      <c r="B1485" s="3" t="str">
        <f>HYPERLINK("http://www.ncbi.nlm.nih.gov/gene/240752","Pik3c2b")</f>
        <v>Pik3c2b</v>
      </c>
      <c r="C1485">
        <v>240752</v>
      </c>
      <c r="D1485" t="s">
        <v>2980</v>
      </c>
      <c r="E1485" s="3" t="str">
        <f>HYPERLINK("http://genome.ucsc.edu/cgi-bin/hgTracks?db=mm10&amp;lastVirtModeType=default&amp;lastVirtModeExtraState=&amp;virtModeType=default&amp;virtMode=0&amp;nonVirtPosition=&amp;position=chr1:133046011-133108688","chr1:133046011-133108688")</f>
        <v>chr1:133046011-133108688</v>
      </c>
      <c r="F1485" t="s">
        <v>30</v>
      </c>
      <c r="G1485">
        <v>0.58724234720142798</v>
      </c>
      <c r="H1485">
        <v>0.15913634287053</v>
      </c>
      <c r="I1485">
        <v>3.69018375443751</v>
      </c>
      <c r="J1485">
        <v>2.2409212017397001E-4</v>
      </c>
      <c r="K1485">
        <v>2.02484317223322E-3</v>
      </c>
      <c r="L1485" t="s">
        <v>26</v>
      </c>
      <c r="M1485" t="s">
        <v>27</v>
      </c>
      <c r="N1485">
        <v>137.02489086144499</v>
      </c>
      <c r="O1485">
        <v>105.100440617952</v>
      </c>
      <c r="P1485">
        <v>160.968228544065</v>
      </c>
      <c r="Q1485">
        <v>108.57454647111599</v>
      </c>
      <c r="R1485">
        <v>94.434474119692794</v>
      </c>
      <c r="S1485">
        <v>112.292301263046</v>
      </c>
      <c r="T1485">
        <v>151.237505614182</v>
      </c>
      <c r="U1485">
        <v>188.43059363792699</v>
      </c>
      <c r="V1485">
        <v>151.54464652015099</v>
      </c>
      <c r="W1485">
        <v>152.66016840399899</v>
      </c>
    </row>
    <row r="1486" spans="1:23" x14ac:dyDescent="0.2">
      <c r="A1486" t="s">
        <v>2981</v>
      </c>
      <c r="B1486" s="3" t="str">
        <f>HYPERLINK("http://www.ncbi.nlm.nih.gov/gene/68865","Arv1")</f>
        <v>Arv1</v>
      </c>
      <c r="C1486">
        <v>68865</v>
      </c>
      <c r="D1486" t="s">
        <v>2982</v>
      </c>
      <c r="E1486" s="3" t="str">
        <f>HYPERLINK("http://genome.ucsc.edu/cgi-bin/hgTracks?db=mm10&amp;lastVirtModeType=default&amp;lastVirtModeExtraState=&amp;virtModeType=default&amp;virtMode=0&amp;nonVirtPosition=&amp;position=chr8:124722138-124734123","chr8:124722138-124734123")</f>
        <v>chr8:124722138-124734123</v>
      </c>
      <c r="F1486" t="s">
        <v>30</v>
      </c>
      <c r="G1486">
        <v>1.1093317162824501</v>
      </c>
      <c r="H1486">
        <v>0.300768563623313</v>
      </c>
      <c r="I1486">
        <v>3.68832335041435</v>
      </c>
      <c r="J1486">
        <v>2.2573666482627E-4</v>
      </c>
      <c r="K1486">
        <v>2.0383274974299201E-3</v>
      </c>
      <c r="L1486" t="s">
        <v>26</v>
      </c>
      <c r="M1486" t="s">
        <v>27</v>
      </c>
      <c r="N1486">
        <v>35.103747753228099</v>
      </c>
      <c r="O1486">
        <v>19.318209072071799</v>
      </c>
      <c r="P1486">
        <v>46.942901764095303</v>
      </c>
      <c r="Q1486">
        <v>12.8062285581317</v>
      </c>
      <c r="R1486">
        <v>16.6872163103072</v>
      </c>
      <c r="S1486">
        <v>28.461182347776599</v>
      </c>
      <c r="T1486">
        <v>36.663637724650101</v>
      </c>
      <c r="U1486">
        <v>36.401364680054101</v>
      </c>
      <c r="V1486">
        <v>51.495753671896097</v>
      </c>
      <c r="W1486">
        <v>63.210850979780702</v>
      </c>
    </row>
    <row r="1487" spans="1:23" x14ac:dyDescent="0.2">
      <c r="A1487" t="s">
        <v>2983</v>
      </c>
      <c r="B1487" s="3" t="str">
        <f>HYPERLINK("http://www.ncbi.nlm.nih.gov/gene/26358","Aldh1a7")</f>
        <v>Aldh1a7</v>
      </c>
      <c r="C1487">
        <v>26358</v>
      </c>
      <c r="D1487" t="s">
        <v>2984</v>
      </c>
      <c r="E1487" s="3" t="str">
        <f>HYPERLINK("http://genome.ucsc.edu/cgi-bin/hgTracks?db=mm10&amp;lastVirtModeType=default&amp;lastVirtModeExtraState=&amp;virtModeType=default&amp;virtMode=0&amp;nonVirtPosition=&amp;position=chr19:20692952-20727556","chr19:20692952-20727556")</f>
        <v>chr19:20692952-20727556</v>
      </c>
      <c r="F1487" t="s">
        <v>25</v>
      </c>
      <c r="G1487">
        <v>1.2818268303157001</v>
      </c>
      <c r="H1487">
        <v>0.34755324002045501</v>
      </c>
      <c r="I1487">
        <v>3.6881452471577001</v>
      </c>
      <c r="J1487">
        <v>2.2589469583905801E-4</v>
      </c>
      <c r="K1487">
        <v>2.0383799676420701E-3</v>
      </c>
      <c r="L1487" t="s">
        <v>26</v>
      </c>
      <c r="M1487" t="s">
        <v>27</v>
      </c>
      <c r="N1487">
        <v>13.693299537639099</v>
      </c>
      <c r="O1487">
        <v>5.9747832124102302</v>
      </c>
      <c r="P1487">
        <v>19.482186781560699</v>
      </c>
      <c r="Q1487">
        <v>6.6815105520687004</v>
      </c>
      <c r="R1487">
        <v>6.0680786582935102</v>
      </c>
      <c r="S1487">
        <v>5.1747604268684801</v>
      </c>
      <c r="T1487">
        <v>22.914773577906299</v>
      </c>
      <c r="U1487">
        <v>12.847540475313201</v>
      </c>
      <c r="V1487">
        <v>24.276569588179601</v>
      </c>
      <c r="W1487">
        <v>17.889863484843598</v>
      </c>
    </row>
    <row r="1488" spans="1:23" x14ac:dyDescent="0.2">
      <c r="A1488" t="s">
        <v>2985</v>
      </c>
      <c r="B1488" s="3" t="str">
        <f>HYPERLINK("http://www.ncbi.nlm.nih.gov/gene/68238","1700123O21Rik")</f>
        <v>1700123O21Rik</v>
      </c>
      <c r="C1488">
        <v>68238</v>
      </c>
      <c r="D1488" t="s">
        <v>2986</v>
      </c>
      <c r="E1488" s="3" t="str">
        <f>HYPERLINK("http://genome.ucsc.edu/cgi-bin/hgTracks?db=mm10&amp;lastVirtModeType=default&amp;lastVirtModeExtraState=&amp;virtModeType=default&amp;virtMode=0&amp;nonVirtPosition=&amp;position=chr16:5975586-5998496","chr16:5975586-5998496")</f>
        <v>chr16:5975586-5998496</v>
      </c>
      <c r="F1488" t="s">
        <v>30</v>
      </c>
      <c r="G1488">
        <v>1.41665605837342</v>
      </c>
      <c r="H1488">
        <v>0.38431296538998699</v>
      </c>
      <c r="I1488">
        <v>3.6862041772019101</v>
      </c>
      <c r="J1488">
        <v>2.2762375352385501E-4</v>
      </c>
      <c r="K1488">
        <v>2.0525991134262198E-3</v>
      </c>
      <c r="L1488" t="s">
        <v>26</v>
      </c>
      <c r="M1488" t="s">
        <v>27</v>
      </c>
      <c r="N1488">
        <v>15.5454425463305</v>
      </c>
      <c r="O1488">
        <v>4.8087761159736102</v>
      </c>
      <c r="P1488">
        <v>23.597942369098099</v>
      </c>
      <c r="Q1488">
        <v>1.1135850920114501</v>
      </c>
      <c r="R1488">
        <v>6.0680786582935102</v>
      </c>
      <c r="S1488">
        <v>7.2446645976158699</v>
      </c>
      <c r="T1488">
        <v>18.3318188623251</v>
      </c>
      <c r="U1488">
        <v>36.401364680054101</v>
      </c>
      <c r="V1488">
        <v>11.0348043582635</v>
      </c>
      <c r="W1488">
        <v>28.623781575749799</v>
      </c>
    </row>
    <row r="1489" spans="1:23" x14ac:dyDescent="0.2">
      <c r="A1489" t="s">
        <v>2987</v>
      </c>
      <c r="B1489" s="3" t="str">
        <f>HYPERLINK("http://www.ncbi.nlm.nih.gov/gene/18640","Pfkfb2")</f>
        <v>Pfkfb2</v>
      </c>
      <c r="C1489">
        <v>18640</v>
      </c>
      <c r="D1489" t="s">
        <v>2988</v>
      </c>
      <c r="E1489" s="3" t="str">
        <f>HYPERLINK("http://genome.ucsc.edu/cgi-bin/hgTracks?db=mm10&amp;lastVirtModeType=default&amp;lastVirtModeExtraState=&amp;virtModeType=default&amp;virtMode=0&amp;nonVirtPosition=&amp;position=chr1:130692254-130715821","chr1:130692254-130715821")</f>
        <v>chr1:130692254-130715821</v>
      </c>
      <c r="F1489" t="s">
        <v>25</v>
      </c>
      <c r="G1489">
        <v>0.49069185416557798</v>
      </c>
      <c r="H1489">
        <v>0.13314963280502601</v>
      </c>
      <c r="I1489">
        <v>3.68526629648398</v>
      </c>
      <c r="J1489">
        <v>2.28463638579584E-4</v>
      </c>
      <c r="K1489">
        <v>2.0587863958406501E-3</v>
      </c>
      <c r="L1489" t="s">
        <v>26</v>
      </c>
      <c r="M1489" t="s">
        <v>27</v>
      </c>
      <c r="N1489">
        <v>184.65201636630499</v>
      </c>
      <c r="O1489">
        <v>148.153195759152</v>
      </c>
      <c r="P1489">
        <v>212.02613182167099</v>
      </c>
      <c r="Q1489">
        <v>139.754929047437</v>
      </c>
      <c r="R1489">
        <v>147.90941729590401</v>
      </c>
      <c r="S1489">
        <v>156.79524093411499</v>
      </c>
      <c r="T1489">
        <v>219.98182634790101</v>
      </c>
      <c r="U1489">
        <v>216.26693133443899</v>
      </c>
      <c r="V1489">
        <v>206.718668311469</v>
      </c>
      <c r="W1489">
        <v>205.13710129287301</v>
      </c>
    </row>
    <row r="1490" spans="1:23" x14ac:dyDescent="0.2">
      <c r="A1490" t="s">
        <v>2989</v>
      </c>
      <c r="B1490" s="3" t="str">
        <f>HYPERLINK("http://www.ncbi.nlm.nih.gov/gene/14113","Fbl")</f>
        <v>Fbl</v>
      </c>
      <c r="C1490">
        <v>14113</v>
      </c>
      <c r="D1490" t="s">
        <v>2990</v>
      </c>
      <c r="E1490" s="3" t="str">
        <f>HYPERLINK("http://genome.ucsc.edu/cgi-bin/hgTracks?db=mm10&amp;lastVirtModeType=default&amp;lastVirtModeExtraState=&amp;virtModeType=default&amp;virtMode=0&amp;nonVirtPosition=&amp;position=chr7:28169747-28179269","chr7:28169747-28179269")</f>
        <v>chr7:28169747-28179269</v>
      </c>
      <c r="F1490" t="s">
        <v>30</v>
      </c>
      <c r="G1490">
        <v>1.02213710834827</v>
      </c>
      <c r="H1490">
        <v>0.27748107751231399</v>
      </c>
      <c r="I1490">
        <v>3.6836281504741799</v>
      </c>
      <c r="J1490">
        <v>2.29937601712156E-4</v>
      </c>
      <c r="K1490">
        <v>2.0706754704287E-3</v>
      </c>
      <c r="L1490" t="s">
        <v>26</v>
      </c>
      <c r="M1490" t="s">
        <v>27</v>
      </c>
      <c r="N1490">
        <v>29.813893087580599</v>
      </c>
      <c r="O1490">
        <v>16.572745025458801</v>
      </c>
      <c r="P1490">
        <v>39.744754134171899</v>
      </c>
      <c r="Q1490">
        <v>13.9198136501431</v>
      </c>
      <c r="R1490">
        <v>18.2042359748805</v>
      </c>
      <c r="S1490">
        <v>17.5941854513528</v>
      </c>
      <c r="T1490">
        <v>45.829547155812598</v>
      </c>
      <c r="U1490">
        <v>47.107648409481797</v>
      </c>
      <c r="V1490">
        <v>33.840066698674597</v>
      </c>
      <c r="W1490">
        <v>32.201754272718503</v>
      </c>
    </row>
    <row r="1491" spans="1:23" x14ac:dyDescent="0.2">
      <c r="A1491" t="s">
        <v>2991</v>
      </c>
      <c r="B1491" s="3" t="str">
        <f>HYPERLINK("http://www.ncbi.nlm.nih.gov/gene/75744","Svip")</f>
        <v>Svip</v>
      </c>
      <c r="C1491">
        <v>75744</v>
      </c>
      <c r="D1491" t="s">
        <v>2992</v>
      </c>
      <c r="E1491" s="3" t="str">
        <f>HYPERLINK("http://genome.ucsc.edu/cgi-bin/hgTracks?db=mm10&amp;lastVirtModeType=default&amp;lastVirtModeExtraState=&amp;virtModeType=default&amp;virtMode=0&amp;nonVirtPosition=&amp;position=chr7:51997160-52006018","chr7:51997160-52006018")</f>
        <v>chr7:51997160-52006018</v>
      </c>
      <c r="F1491" t="s">
        <v>25</v>
      </c>
      <c r="G1491">
        <v>-0.60083059949345996</v>
      </c>
      <c r="H1491">
        <v>0.16315275230147999</v>
      </c>
      <c r="I1491">
        <v>-3.6826261955006498</v>
      </c>
      <c r="J1491">
        <v>2.30843529782006E-4</v>
      </c>
      <c r="K1491">
        <v>2.0774366312572901E-3</v>
      </c>
      <c r="L1491" t="s">
        <v>26</v>
      </c>
      <c r="M1491" t="s">
        <v>27</v>
      </c>
      <c r="N1491">
        <v>236.49519102655299</v>
      </c>
      <c r="O1491">
        <v>298.65360530420202</v>
      </c>
      <c r="P1491">
        <v>189.876380318316</v>
      </c>
      <c r="Q1491">
        <v>331.84835741941203</v>
      </c>
      <c r="R1491">
        <v>296.57734442409497</v>
      </c>
      <c r="S1491">
        <v>267.53511406910002</v>
      </c>
      <c r="T1491">
        <v>151.237505614182</v>
      </c>
      <c r="U1491">
        <v>231.255728555638</v>
      </c>
      <c r="V1491">
        <v>214.810858174195</v>
      </c>
      <c r="W1491">
        <v>162.201428929249</v>
      </c>
    </row>
    <row r="1492" spans="1:23" x14ac:dyDescent="0.2">
      <c r="A1492" t="s">
        <v>2993</v>
      </c>
      <c r="B1492" s="3" t="str">
        <f>HYPERLINK("http://www.ncbi.nlm.nih.gov/gene/216987","Utp6")</f>
        <v>Utp6</v>
      </c>
      <c r="C1492">
        <v>216987</v>
      </c>
      <c r="D1492" t="s">
        <v>2994</v>
      </c>
      <c r="E1492" s="3" t="str">
        <f>HYPERLINK("http://genome.ucsc.edu/cgi-bin/hgTracks?db=mm10&amp;lastVirtModeType=default&amp;lastVirtModeExtraState=&amp;virtModeType=default&amp;virtMode=0&amp;nonVirtPosition=&amp;position=chr11:79933955-79962387","chr11:79933955-79962387")</f>
        <v>chr11:79933955-79962387</v>
      </c>
      <c r="F1492" t="s">
        <v>25</v>
      </c>
      <c r="G1492">
        <v>-0.48271890786131899</v>
      </c>
      <c r="H1492">
        <v>0.13111337499266601</v>
      </c>
      <c r="I1492">
        <v>-3.68169081063105</v>
      </c>
      <c r="J1492">
        <v>2.3169229009800999E-4</v>
      </c>
      <c r="K1492">
        <v>2.0825592464168898E-3</v>
      </c>
      <c r="L1492" t="s">
        <v>26</v>
      </c>
      <c r="M1492" t="s">
        <v>27</v>
      </c>
      <c r="N1492">
        <v>405.39760182534599</v>
      </c>
      <c r="O1492">
        <v>484.88963739263198</v>
      </c>
      <c r="P1492">
        <v>345.77857514988199</v>
      </c>
      <c r="Q1492">
        <v>473.27366410486599</v>
      </c>
      <c r="R1492">
        <v>543.09303991726904</v>
      </c>
      <c r="S1492">
        <v>438.30220815576001</v>
      </c>
      <c r="T1492">
        <v>362.05342253091999</v>
      </c>
      <c r="U1492">
        <v>355.44861981699898</v>
      </c>
      <c r="V1492">
        <v>362.67723657492502</v>
      </c>
      <c r="W1492">
        <v>302.93502167668498</v>
      </c>
    </row>
    <row r="1493" spans="1:23" x14ac:dyDescent="0.2">
      <c r="A1493" t="s">
        <v>2995</v>
      </c>
      <c r="B1493" s="3" t="str">
        <f>HYPERLINK("http://www.ncbi.nlm.nih.gov/gene/330914","Arhgap32")</f>
        <v>Arhgap32</v>
      </c>
      <c r="C1493">
        <v>330914</v>
      </c>
      <c r="D1493" t="s">
        <v>2996</v>
      </c>
      <c r="E1493" s="3" t="str">
        <f>HYPERLINK("http://genome.ucsc.edu/cgi-bin/hgTracks?db=mm10&amp;lastVirtModeType=default&amp;lastVirtModeExtraState=&amp;virtModeType=default&amp;virtMode=0&amp;nonVirtPosition=&amp;position=chr9:32224248-32265511","chr9:32224248-32265511")</f>
        <v>chr9:32224248-32265511</v>
      </c>
      <c r="F1493" t="s">
        <v>30</v>
      </c>
      <c r="G1493">
        <v>0.40809323480447601</v>
      </c>
      <c r="H1493">
        <v>0.11084501576589401</v>
      </c>
      <c r="I1493">
        <v>3.6816561573356998</v>
      </c>
      <c r="J1493">
        <v>2.3172379039363501E-4</v>
      </c>
      <c r="K1493">
        <v>2.0825592464168898E-3</v>
      </c>
      <c r="L1493" t="s">
        <v>26</v>
      </c>
      <c r="M1493" t="s">
        <v>27</v>
      </c>
      <c r="N1493">
        <v>646.12715627351395</v>
      </c>
      <c r="O1493">
        <v>540.44852368620104</v>
      </c>
      <c r="P1493">
        <v>725.386130713998</v>
      </c>
      <c r="Q1493">
        <v>559.01971618974801</v>
      </c>
      <c r="R1493">
        <v>489.99735165720102</v>
      </c>
      <c r="S1493">
        <v>572.32850321165301</v>
      </c>
      <c r="T1493">
        <v>765.35343750207096</v>
      </c>
      <c r="U1493">
        <v>740.87483407639502</v>
      </c>
      <c r="V1493">
        <v>670.18045135853401</v>
      </c>
      <c r="W1493">
        <v>725.13579991899405</v>
      </c>
    </row>
    <row r="1494" spans="1:23" x14ac:dyDescent="0.2">
      <c r="A1494" t="s">
        <v>2997</v>
      </c>
      <c r="B1494" s="3" t="str">
        <f>HYPERLINK("http://www.ncbi.nlm.nih.gov/gene/69232","Qrich1")</f>
        <v>Qrich1</v>
      </c>
      <c r="C1494">
        <v>69232</v>
      </c>
      <c r="D1494" t="s">
        <v>2998</v>
      </c>
      <c r="E1494" s="3" t="str">
        <f>HYPERLINK("http://genome.ucsc.edu/cgi-bin/hgTracks?db=mm10&amp;lastVirtModeType=default&amp;lastVirtModeExtraState=&amp;virtModeType=default&amp;virtMode=0&amp;nonVirtPosition=&amp;position=chr9:108517086-108560167","chr9:108517086-108560167")</f>
        <v>chr9:108517086-108560167</v>
      </c>
      <c r="F1494" t="s">
        <v>30</v>
      </c>
      <c r="G1494">
        <v>-0.36762430004834301</v>
      </c>
      <c r="H1494">
        <v>9.9880376670983595E-2</v>
      </c>
      <c r="I1494">
        <v>-3.6806459116522601</v>
      </c>
      <c r="J1494">
        <v>2.3264388529820799E-4</v>
      </c>
      <c r="K1494">
        <v>2.0881320703820799E-3</v>
      </c>
      <c r="L1494" t="s">
        <v>26</v>
      </c>
      <c r="M1494" t="s">
        <v>27</v>
      </c>
      <c r="N1494">
        <v>620.14481475942</v>
      </c>
      <c r="O1494">
        <v>715.508213915081</v>
      </c>
      <c r="P1494">
        <v>548.62226539267397</v>
      </c>
      <c r="Q1494">
        <v>719.93276198540195</v>
      </c>
      <c r="R1494">
        <v>724.37688983378803</v>
      </c>
      <c r="S1494">
        <v>702.214989926052</v>
      </c>
      <c r="T1494">
        <v>527.03979229184495</v>
      </c>
      <c r="U1494">
        <v>524.60790274195597</v>
      </c>
      <c r="V1494">
        <v>552.47587153705695</v>
      </c>
      <c r="W1494">
        <v>590.36549499983903</v>
      </c>
    </row>
    <row r="1495" spans="1:23" x14ac:dyDescent="0.2">
      <c r="A1495" t="s">
        <v>2999</v>
      </c>
      <c r="B1495" s="3" t="str">
        <f>HYPERLINK("http://www.ncbi.nlm.nih.gov/gene/68352","Aspdh")</f>
        <v>Aspdh</v>
      </c>
      <c r="C1495">
        <v>68352</v>
      </c>
      <c r="D1495" t="s">
        <v>3000</v>
      </c>
      <c r="E1495" s="3" t="str">
        <f>HYPERLINK("http://genome.ucsc.edu/cgi-bin/hgTracks?db=mm10&amp;lastVirtModeType=default&amp;lastVirtModeExtraState=&amp;virtModeType=default&amp;virtMode=0&amp;nonVirtPosition=&amp;position=chr7:44465434-44467751","chr7:44465434-44467751")</f>
        <v>chr7:44465434-44467751</v>
      </c>
      <c r="F1495" t="s">
        <v>30</v>
      </c>
      <c r="G1495">
        <v>1.1626847924805399</v>
      </c>
      <c r="H1495">
        <v>0.315892624631811</v>
      </c>
      <c r="I1495">
        <v>3.68063291707336</v>
      </c>
      <c r="J1495">
        <v>2.3265574258905699E-4</v>
      </c>
      <c r="K1495">
        <v>2.0881320703820799E-3</v>
      </c>
      <c r="L1495" t="s">
        <v>26</v>
      </c>
      <c r="M1495" t="s">
        <v>27</v>
      </c>
      <c r="N1495">
        <v>19.267582058063599</v>
      </c>
      <c r="O1495">
        <v>9.3730952625563297</v>
      </c>
      <c r="P1495">
        <v>26.688447154694099</v>
      </c>
      <c r="Q1495">
        <v>8.9086807360916005</v>
      </c>
      <c r="R1495">
        <v>8.3436081551535803</v>
      </c>
      <c r="S1495">
        <v>10.8669968964238</v>
      </c>
      <c r="T1495">
        <v>32.0806830090688</v>
      </c>
      <c r="U1495">
        <v>27.836337696512</v>
      </c>
      <c r="V1495">
        <v>20.5983014687584</v>
      </c>
      <c r="W1495">
        <v>26.2384664444373</v>
      </c>
    </row>
    <row r="1496" spans="1:23" x14ac:dyDescent="0.2">
      <c r="A1496" t="s">
        <v>3001</v>
      </c>
      <c r="B1496" s="3" t="str">
        <f>HYPERLINK("http://www.ncbi.nlm.nih.gov/gene/235130","Adamts15")</f>
        <v>Adamts15</v>
      </c>
      <c r="C1496">
        <v>235130</v>
      </c>
      <c r="D1496" t="s">
        <v>3002</v>
      </c>
      <c r="E1496" s="3" t="str">
        <f>HYPERLINK("http://genome.ucsc.edu/cgi-bin/hgTracks?db=mm10&amp;lastVirtModeType=default&amp;lastVirtModeExtraState=&amp;virtModeType=default&amp;virtMode=0&amp;nonVirtPosition=&amp;position=chr9:30899154-30922452","chr9:30899154-30922452")</f>
        <v>chr9:30899154-30922452</v>
      </c>
      <c r="F1496" t="s">
        <v>25</v>
      </c>
      <c r="G1496">
        <v>-1.1599404833231599</v>
      </c>
      <c r="H1496">
        <v>0.31518928057624201</v>
      </c>
      <c r="I1496">
        <v>-3.6801393791137298</v>
      </c>
      <c r="J1496">
        <v>2.3310650605187799E-4</v>
      </c>
      <c r="K1496">
        <v>2.08983164877678E-3</v>
      </c>
      <c r="L1496" t="s">
        <v>26</v>
      </c>
      <c r="M1496" t="s">
        <v>27</v>
      </c>
      <c r="N1496">
        <v>39.4064469858195</v>
      </c>
      <c r="O1496">
        <v>62.868831807519101</v>
      </c>
      <c r="P1496">
        <v>21.809658369544799</v>
      </c>
      <c r="Q1496">
        <v>33.964345306349202</v>
      </c>
      <c r="R1496">
        <v>81.160552054675705</v>
      </c>
      <c r="S1496">
        <v>73.481598061532395</v>
      </c>
      <c r="T1496">
        <v>9.1659094311625307</v>
      </c>
      <c r="U1496">
        <v>27.836337696512</v>
      </c>
      <c r="V1496">
        <v>22.805262340411101</v>
      </c>
      <c r="W1496">
        <v>27.431124010093502</v>
      </c>
    </row>
    <row r="1497" spans="1:23" x14ac:dyDescent="0.2">
      <c r="A1497" t="s">
        <v>3003</v>
      </c>
      <c r="B1497" s="3" t="str">
        <f>HYPERLINK("http://www.ncbi.nlm.nih.gov/gene/17134","Mafg")</f>
        <v>Mafg</v>
      </c>
      <c r="C1497">
        <v>17134</v>
      </c>
      <c r="D1497" t="s">
        <v>3004</v>
      </c>
      <c r="E1497" s="3" t="str">
        <f>HYPERLINK("http://genome.ucsc.edu/cgi-bin/hgTracks?db=mm10&amp;lastVirtModeType=default&amp;lastVirtModeExtraState=&amp;virtModeType=default&amp;virtMode=0&amp;nonVirtPosition=&amp;position=chr11:120628350-120633547","chr11:120628350-120633547")</f>
        <v>chr11:120628350-120633547</v>
      </c>
      <c r="F1497" t="s">
        <v>25</v>
      </c>
      <c r="G1497">
        <v>0.751053442385203</v>
      </c>
      <c r="H1497">
        <v>0.20408595659810899</v>
      </c>
      <c r="I1497">
        <v>3.6800838965328402</v>
      </c>
      <c r="J1497">
        <v>2.3315723122041001E-4</v>
      </c>
      <c r="K1497">
        <v>2.08983164877678E-3</v>
      </c>
      <c r="L1497" t="s">
        <v>26</v>
      </c>
      <c r="M1497" t="s">
        <v>27</v>
      </c>
      <c r="N1497">
        <v>460.54052809449598</v>
      </c>
      <c r="O1497">
        <v>322.35592558933098</v>
      </c>
      <c r="P1497">
        <v>564.178979973369</v>
      </c>
      <c r="Q1497">
        <v>268.37400717475902</v>
      </c>
      <c r="R1497">
        <v>234.00028326044401</v>
      </c>
      <c r="S1497">
        <v>464.69348633278901</v>
      </c>
      <c r="T1497">
        <v>563.70343001649496</v>
      </c>
      <c r="U1497">
        <v>573.85680789732396</v>
      </c>
      <c r="V1497">
        <v>506.12969323235001</v>
      </c>
      <c r="W1497">
        <v>613.025988747307</v>
      </c>
    </row>
    <row r="1498" spans="1:23" x14ac:dyDescent="0.2">
      <c r="A1498" t="s">
        <v>3005</v>
      </c>
      <c r="B1498" s="3" t="str">
        <f>HYPERLINK("http://www.ncbi.nlm.nih.gov/gene/114601","Ehbp1l1")</f>
        <v>Ehbp1l1</v>
      </c>
      <c r="C1498">
        <v>114601</v>
      </c>
      <c r="D1498" t="s">
        <v>3006</v>
      </c>
      <c r="E1498" s="3" t="str">
        <f>HYPERLINK("http://genome.ucsc.edu/cgi-bin/hgTracks?db=mm10&amp;lastVirtModeType=default&amp;lastVirtModeExtraState=&amp;virtModeType=default&amp;virtMode=0&amp;nonVirtPosition=&amp;position=chr19:5707373-5726317","chr19:5707373-5726317")</f>
        <v>chr19:5707373-5726317</v>
      </c>
      <c r="F1498" t="s">
        <v>25</v>
      </c>
      <c r="G1498">
        <v>0.75336057880624496</v>
      </c>
      <c r="H1498">
        <v>0.204747381692543</v>
      </c>
      <c r="I1498">
        <v>3.6794637986507799</v>
      </c>
      <c r="J1498">
        <v>2.3372486342532E-4</v>
      </c>
      <c r="K1498">
        <v>2.09351815794546E-3</v>
      </c>
      <c r="L1498" t="s">
        <v>26</v>
      </c>
      <c r="M1498" t="s">
        <v>27</v>
      </c>
      <c r="N1498">
        <v>102.462925739076</v>
      </c>
      <c r="O1498">
        <v>72.846546756177702</v>
      </c>
      <c r="P1498">
        <v>124.67520997624899</v>
      </c>
      <c r="Q1498">
        <v>90.757184998933198</v>
      </c>
      <c r="R1498">
        <v>56.888237421501699</v>
      </c>
      <c r="S1498">
        <v>70.894217848098094</v>
      </c>
      <c r="T1498">
        <v>109.99091317395001</v>
      </c>
      <c r="U1498">
        <v>111.345350786048</v>
      </c>
      <c r="V1498">
        <v>129.47503780362501</v>
      </c>
      <c r="W1498">
        <v>147.889538141374</v>
      </c>
    </row>
    <row r="1499" spans="1:23" x14ac:dyDescent="0.2">
      <c r="A1499" t="s">
        <v>3007</v>
      </c>
      <c r="B1499" s="3" t="str">
        <f>HYPERLINK("http://www.ncbi.nlm.nih.gov/gene/72519","Tmem55a")</f>
        <v>Tmem55a</v>
      </c>
      <c r="C1499">
        <v>72519</v>
      </c>
      <c r="D1499" t="s">
        <v>3008</v>
      </c>
      <c r="E1499" s="3" t="str">
        <f>HYPERLINK("http://genome.ucsc.edu/cgi-bin/hgTracks?db=mm10&amp;lastVirtModeType=default&amp;lastVirtModeExtraState=&amp;virtModeType=default&amp;virtMode=0&amp;nonVirtPosition=&amp;position=chr4:14864218-14915260","chr4:14864218-14915260")</f>
        <v>chr4:14864218-14915260</v>
      </c>
      <c r="F1499" t="s">
        <v>30</v>
      </c>
      <c r="G1499">
        <v>-0.49528727174123499</v>
      </c>
      <c r="H1499">
        <v>0.13471160383834899</v>
      </c>
      <c r="I1499">
        <v>-3.6766489124097199</v>
      </c>
      <c r="J1499">
        <v>2.36317928582434E-4</v>
      </c>
      <c r="K1499">
        <v>2.11532980056643E-3</v>
      </c>
      <c r="L1499" t="s">
        <v>26</v>
      </c>
      <c r="M1499" t="s">
        <v>27</v>
      </c>
      <c r="N1499">
        <v>273.633230350129</v>
      </c>
      <c r="O1499">
        <v>333.84355404981898</v>
      </c>
      <c r="P1499">
        <v>228.47548757536001</v>
      </c>
      <c r="Q1499">
        <v>307.90627794116602</v>
      </c>
      <c r="R1499">
        <v>345.88048352273</v>
      </c>
      <c r="S1499">
        <v>347.74390068556198</v>
      </c>
      <c r="T1499">
        <v>197.06705276999401</v>
      </c>
      <c r="U1499">
        <v>214.12567458855401</v>
      </c>
      <c r="V1499">
        <v>258.21442198336501</v>
      </c>
      <c r="W1499">
        <v>244.49480095952899</v>
      </c>
    </row>
    <row r="1500" spans="1:23" x14ac:dyDescent="0.2">
      <c r="A1500" t="s">
        <v>3009</v>
      </c>
      <c r="B1500" s="3" t="str">
        <f>HYPERLINK("http://www.ncbi.nlm.nih.gov/gene/29817","Igfbp7")</f>
        <v>Igfbp7</v>
      </c>
      <c r="C1500">
        <v>29817</v>
      </c>
      <c r="D1500" t="s">
        <v>3010</v>
      </c>
      <c r="E1500" s="3" t="str">
        <f>HYPERLINK("http://genome.ucsc.edu/cgi-bin/hgTracks?db=mm10&amp;lastVirtModeType=default&amp;lastVirtModeExtraState=&amp;virtModeType=default&amp;virtMode=0&amp;nonVirtPosition=&amp;position=chr5:77349239-77408045","chr5:77349239-77408045")</f>
        <v>chr5:77349239-77408045</v>
      </c>
      <c r="F1500" t="s">
        <v>25</v>
      </c>
      <c r="G1500">
        <v>-0.70977115743978103</v>
      </c>
      <c r="H1500">
        <v>0.19307862378733701</v>
      </c>
      <c r="I1500">
        <v>-3.67607321575663</v>
      </c>
      <c r="J1500">
        <v>2.36851572950901E-4</v>
      </c>
      <c r="K1500">
        <v>2.1186903229028099E-3</v>
      </c>
      <c r="L1500" t="s">
        <v>26</v>
      </c>
      <c r="M1500" t="s">
        <v>27</v>
      </c>
      <c r="N1500">
        <v>307.60683090087502</v>
      </c>
      <c r="O1500">
        <v>404.31923629453502</v>
      </c>
      <c r="P1500">
        <v>235.072526855631</v>
      </c>
      <c r="Q1500">
        <v>528.95291870543895</v>
      </c>
      <c r="R1500">
        <v>336.77836553528999</v>
      </c>
      <c r="S1500">
        <v>347.22642464287497</v>
      </c>
      <c r="T1500">
        <v>187.90114333883199</v>
      </c>
      <c r="U1500">
        <v>250.52703926860801</v>
      </c>
      <c r="V1500">
        <v>288.37622056261802</v>
      </c>
      <c r="W1500">
        <v>213.485704252467</v>
      </c>
    </row>
    <row r="1501" spans="1:23" x14ac:dyDescent="0.2">
      <c r="A1501" t="s">
        <v>3011</v>
      </c>
      <c r="B1501" s="3" t="str">
        <f>HYPERLINK("http://www.ncbi.nlm.nih.gov/gene/24127","Xrn1")</f>
        <v>Xrn1</v>
      </c>
      <c r="C1501">
        <v>24127</v>
      </c>
      <c r="D1501" t="s">
        <v>3012</v>
      </c>
      <c r="E1501" s="3" t="str">
        <f>HYPERLINK("http://genome.ucsc.edu/cgi-bin/hgTracks?db=mm10&amp;lastVirtModeType=default&amp;lastVirtModeExtraState=&amp;virtModeType=default&amp;virtMode=0&amp;nonVirtPosition=&amp;position=chr9:95954759-96057806","chr9:95954759-96057806")</f>
        <v>chr9:95954759-96057806</v>
      </c>
      <c r="F1501" t="s">
        <v>30</v>
      </c>
      <c r="G1501">
        <v>0.55010266231303495</v>
      </c>
      <c r="H1501">
        <v>0.149656210138604</v>
      </c>
      <c r="I1501">
        <v>3.6757757115695799</v>
      </c>
      <c r="J1501">
        <v>2.3712778861167201E-4</v>
      </c>
      <c r="K1501">
        <v>2.1197451383837798E-3</v>
      </c>
      <c r="L1501" t="s">
        <v>26</v>
      </c>
      <c r="M1501" t="s">
        <v>27</v>
      </c>
      <c r="N1501">
        <v>471.59991543399502</v>
      </c>
      <c r="O1501">
        <v>368.69461008459098</v>
      </c>
      <c r="P1501">
        <v>548.77889444604705</v>
      </c>
      <c r="Q1501">
        <v>390.86836729601902</v>
      </c>
      <c r="R1501">
        <v>296.57734442409497</v>
      </c>
      <c r="S1501">
        <v>418.63811853366002</v>
      </c>
      <c r="T1501">
        <v>609.53297717230805</v>
      </c>
      <c r="U1501">
        <v>468.93522734893202</v>
      </c>
      <c r="V1501">
        <v>571.60286575804696</v>
      </c>
      <c r="W1501">
        <v>545.04450750490196</v>
      </c>
    </row>
    <row r="1502" spans="1:23" x14ac:dyDescent="0.2">
      <c r="A1502" t="s">
        <v>3013</v>
      </c>
      <c r="B1502" s="3" t="str">
        <f>HYPERLINK("http://www.ncbi.nlm.nih.gov/gene/104458","Rars")</f>
        <v>Rars</v>
      </c>
      <c r="C1502">
        <v>104458</v>
      </c>
      <c r="D1502" t="s">
        <v>3014</v>
      </c>
      <c r="E1502" s="3" t="str">
        <f>HYPERLINK("http://genome.ucsc.edu/cgi-bin/hgTracks?db=mm10&amp;lastVirtModeType=default&amp;lastVirtModeExtraState=&amp;virtModeType=default&amp;virtMode=0&amp;nonVirtPosition=&amp;position=chr11:35808380-35834528","chr11:35808380-35834528")</f>
        <v>chr11:35808380-35834528</v>
      </c>
      <c r="F1502" t="s">
        <v>25</v>
      </c>
      <c r="G1502">
        <v>-0.50272275040072401</v>
      </c>
      <c r="H1502">
        <v>0.13678162660205201</v>
      </c>
      <c r="I1502">
        <v>-3.6753675394088399</v>
      </c>
      <c r="J1502">
        <v>2.3750724500101801E-4</v>
      </c>
      <c r="K1502">
        <v>2.1217208257562599E-3</v>
      </c>
      <c r="L1502" t="s">
        <v>26</v>
      </c>
      <c r="M1502" t="s">
        <v>27</v>
      </c>
      <c r="N1502">
        <v>442.20987241623698</v>
      </c>
      <c r="O1502">
        <v>531.36385177419095</v>
      </c>
      <c r="P1502">
        <v>375.34438789777198</v>
      </c>
      <c r="Q1502">
        <v>450.44516971863197</v>
      </c>
      <c r="R1502">
        <v>592.01692409976101</v>
      </c>
      <c r="S1502">
        <v>551.62946150417997</v>
      </c>
      <c r="T1502">
        <v>426.21478854905803</v>
      </c>
      <c r="U1502">
        <v>351.16610632522799</v>
      </c>
      <c r="V1502">
        <v>378.125962676494</v>
      </c>
      <c r="W1502">
        <v>345.87069404031001</v>
      </c>
    </row>
    <row r="1503" spans="1:23" x14ac:dyDescent="0.2">
      <c r="A1503" t="s">
        <v>3015</v>
      </c>
      <c r="B1503" s="3" t="str">
        <f>HYPERLINK("http://www.ncbi.nlm.nih.gov/gene/235072","Sept7")</f>
        <v>Sept7</v>
      </c>
      <c r="C1503">
        <v>235072</v>
      </c>
      <c r="D1503" t="s">
        <v>3016</v>
      </c>
      <c r="E1503" s="3" t="str">
        <f>HYPERLINK("http://genome.ucsc.edu/cgi-bin/hgTracks?db=mm10&amp;lastVirtModeType=default&amp;lastVirtModeExtraState=&amp;virtModeType=default&amp;virtMode=0&amp;nonVirtPosition=&amp;position=chr9:25252438-25308571","chr9:25252438-25308571")</f>
        <v>chr9:25252438-25308571</v>
      </c>
      <c r="F1503" t="s">
        <v>30</v>
      </c>
      <c r="G1503">
        <v>-0.61449883979806297</v>
      </c>
      <c r="H1503">
        <v>0.16721304739190199</v>
      </c>
      <c r="I1503">
        <v>-3.67494552239003</v>
      </c>
      <c r="J1503">
        <v>2.37900171236387E-4</v>
      </c>
      <c r="K1503">
        <v>2.1230047928839598E-3</v>
      </c>
      <c r="L1503" t="s">
        <v>26</v>
      </c>
      <c r="M1503" t="s">
        <v>27</v>
      </c>
      <c r="N1503">
        <v>2751.4483181579399</v>
      </c>
      <c r="O1503">
        <v>3466.0527736169001</v>
      </c>
      <c r="P1503">
        <v>2215.4949765637198</v>
      </c>
      <c r="Q1503">
        <v>4265.0309024038497</v>
      </c>
      <c r="R1503">
        <v>3275.6247107300701</v>
      </c>
      <c r="S1503">
        <v>2857.5027077167701</v>
      </c>
      <c r="T1503">
        <v>2199.8182634790101</v>
      </c>
      <c r="U1503">
        <v>1813.64446376505</v>
      </c>
      <c r="V1503">
        <v>2524.0275835467901</v>
      </c>
      <c r="W1503">
        <v>2324.4895954640101</v>
      </c>
    </row>
    <row r="1504" spans="1:23" x14ac:dyDescent="0.2">
      <c r="A1504" t="s">
        <v>3017</v>
      </c>
      <c r="B1504" s="3" t="str">
        <f>HYPERLINK("http://www.ncbi.nlm.nih.gov/gene/16531","Kcnma1")</f>
        <v>Kcnma1</v>
      </c>
      <c r="C1504">
        <v>16531</v>
      </c>
      <c r="D1504" t="s">
        <v>3018</v>
      </c>
      <c r="E1504" s="3" t="str">
        <f>HYPERLINK("http://genome.ucsc.edu/cgi-bin/hgTracks?db=mm10&amp;lastVirtModeType=default&amp;lastVirtModeExtraState=&amp;virtModeType=default&amp;virtMode=0&amp;nonVirtPosition=&amp;position=chr14:23298693-24004205","chr14:23298693-24004205")</f>
        <v>chr14:23298693-24004205</v>
      </c>
      <c r="F1504" t="s">
        <v>25</v>
      </c>
      <c r="G1504">
        <v>-0.61689788352312402</v>
      </c>
      <c r="H1504">
        <v>0.16786918541012499</v>
      </c>
      <c r="I1504">
        <v>-3.6748726814630501</v>
      </c>
      <c r="J1504">
        <v>2.3796805273085101E-4</v>
      </c>
      <c r="K1504">
        <v>2.1230047928839598E-3</v>
      </c>
      <c r="L1504" t="s">
        <v>26</v>
      </c>
      <c r="M1504" t="s">
        <v>27</v>
      </c>
      <c r="N1504">
        <v>466.23010475197498</v>
      </c>
      <c r="O1504">
        <v>584.95360643742299</v>
      </c>
      <c r="P1504">
        <v>377.18747848789002</v>
      </c>
      <c r="Q1504">
        <v>722.15993216942502</v>
      </c>
      <c r="R1504">
        <v>589.74139460290098</v>
      </c>
      <c r="S1504">
        <v>442.959492539942</v>
      </c>
      <c r="T1504">
        <v>421.63183383347598</v>
      </c>
      <c r="U1504">
        <v>383.28495751351102</v>
      </c>
      <c r="V1504">
        <v>347.22851047335701</v>
      </c>
      <c r="W1504">
        <v>356.60461213121602</v>
      </c>
    </row>
    <row r="1505" spans="1:23" x14ac:dyDescent="0.2">
      <c r="A1505" t="s">
        <v>3019</v>
      </c>
      <c r="B1505" s="3" t="str">
        <f>HYPERLINK("http://www.ncbi.nlm.nih.gov/gene/22083","Ctr9")</f>
        <v>Ctr9</v>
      </c>
      <c r="C1505">
        <v>22083</v>
      </c>
      <c r="D1505" t="s">
        <v>3020</v>
      </c>
      <c r="E1505" s="3" t="str">
        <f>HYPERLINK("http://genome.ucsc.edu/cgi-bin/hgTracks?db=mm10&amp;lastVirtModeType=default&amp;lastVirtModeExtraState=&amp;virtModeType=default&amp;virtMode=0&amp;nonVirtPosition=&amp;position=chr7:111028950-111056377","chr7:111028950-111056377")</f>
        <v>chr7:111028950-111056377</v>
      </c>
      <c r="F1505" t="s">
        <v>30</v>
      </c>
      <c r="G1505">
        <v>-0.53252099921221197</v>
      </c>
      <c r="H1505">
        <v>0.14491635960247601</v>
      </c>
      <c r="I1505">
        <v>-3.67467828113393</v>
      </c>
      <c r="J1505">
        <v>2.3814930614170899E-4</v>
      </c>
      <c r="K1505">
        <v>2.1232072959678E-3</v>
      </c>
      <c r="L1505" t="s">
        <v>26</v>
      </c>
      <c r="M1505" t="s">
        <v>27</v>
      </c>
      <c r="N1505">
        <v>420.83504002228699</v>
      </c>
      <c r="O1505">
        <v>516.61335314921803</v>
      </c>
      <c r="P1505">
        <v>349.00130517708902</v>
      </c>
      <c r="Q1505">
        <v>597.43840186414297</v>
      </c>
      <c r="R1505">
        <v>510.47711712894198</v>
      </c>
      <c r="S1505">
        <v>441.92454045456799</v>
      </c>
      <c r="T1505">
        <v>334.55569423743202</v>
      </c>
      <c r="U1505">
        <v>304.05845791574598</v>
      </c>
      <c r="V1505">
        <v>378.125962676494</v>
      </c>
      <c r="W1505">
        <v>379.26510587868398</v>
      </c>
    </row>
    <row r="1506" spans="1:23" x14ac:dyDescent="0.2">
      <c r="A1506" t="s">
        <v>3021</v>
      </c>
      <c r="B1506" s="3" t="str">
        <f>HYPERLINK("http://www.ncbi.nlm.nih.gov/gene/70564","Fam213a")</f>
        <v>Fam213a</v>
      </c>
      <c r="C1506">
        <v>70564</v>
      </c>
      <c r="D1506" t="s">
        <v>3022</v>
      </c>
      <c r="E1506" s="3" t="str">
        <f>HYPERLINK("http://genome.ucsc.edu/cgi-bin/hgTracks?db=mm10&amp;lastVirtModeType=default&amp;lastVirtModeExtraState=&amp;virtModeType=default&amp;virtMode=0&amp;nonVirtPosition=&amp;position=chr14:40993734-41008266","chr14:40993734-41008266")</f>
        <v>chr14:40993734-41008266</v>
      </c>
      <c r="F1506" t="s">
        <v>25</v>
      </c>
      <c r="G1506">
        <v>-0.719323987564784</v>
      </c>
      <c r="H1506">
        <v>0.195768727539225</v>
      </c>
      <c r="I1506">
        <v>-3.6743559433957902</v>
      </c>
      <c r="J1506">
        <v>2.3845013028377099E-4</v>
      </c>
      <c r="K1506">
        <v>2.1244748467265299E-3</v>
      </c>
      <c r="L1506" t="s">
        <v>26</v>
      </c>
      <c r="M1506" t="s">
        <v>27</v>
      </c>
      <c r="N1506">
        <v>195.61702351059699</v>
      </c>
      <c r="O1506">
        <v>257.155760356352</v>
      </c>
      <c r="P1506">
        <v>149.46297087628199</v>
      </c>
      <c r="Q1506">
        <v>274.49872518082202</v>
      </c>
      <c r="R1506">
        <v>313.26456073440301</v>
      </c>
      <c r="S1506">
        <v>183.70399515383099</v>
      </c>
      <c r="T1506">
        <v>123.739777320694</v>
      </c>
      <c r="U1506">
        <v>171.30053967084299</v>
      </c>
      <c r="V1506">
        <v>144.18811028130901</v>
      </c>
      <c r="W1506">
        <v>158.62345623228001</v>
      </c>
    </row>
    <row r="1507" spans="1:23" x14ac:dyDescent="0.2">
      <c r="A1507" t="s">
        <v>3023</v>
      </c>
      <c r="B1507" s="3" t="str">
        <f>HYPERLINK("http://www.ncbi.nlm.nih.gov/gene/234258","Neil3")</f>
        <v>Neil3</v>
      </c>
      <c r="C1507">
        <v>234258</v>
      </c>
      <c r="D1507" t="s">
        <v>3024</v>
      </c>
      <c r="E1507" s="3" t="str">
        <f>HYPERLINK("http://genome.ucsc.edu/cgi-bin/hgTracks?db=mm10&amp;lastVirtModeType=default&amp;lastVirtModeExtraState=&amp;virtModeType=default&amp;virtMode=0&amp;nonVirtPosition=&amp;position=chr8:53586866-53639065","chr8:53586866-53639065")</f>
        <v>chr8:53586866-53639065</v>
      </c>
      <c r="F1507" t="s">
        <v>25</v>
      </c>
      <c r="G1507">
        <v>1.11033045509749</v>
      </c>
      <c r="H1507">
        <v>0.30223709248820702</v>
      </c>
      <c r="I1507">
        <v>3.6737067775385999</v>
      </c>
      <c r="J1507">
        <v>2.3905705160832499E-4</v>
      </c>
      <c r="K1507">
        <v>2.1284660758557799E-3</v>
      </c>
      <c r="L1507" t="s">
        <v>26</v>
      </c>
      <c r="M1507" t="s">
        <v>27</v>
      </c>
      <c r="N1507">
        <v>115.271839939871</v>
      </c>
      <c r="O1507">
        <v>60.331192288533202</v>
      </c>
      <c r="P1507">
        <v>156.477325678374</v>
      </c>
      <c r="Q1507">
        <v>22.828494386234699</v>
      </c>
      <c r="R1507">
        <v>74.333963564095498</v>
      </c>
      <c r="S1507">
        <v>83.8311189152693</v>
      </c>
      <c r="T1507">
        <v>224.564781063482</v>
      </c>
      <c r="U1507">
        <v>122.051634515476</v>
      </c>
      <c r="V1507">
        <v>130.210691427509</v>
      </c>
      <c r="W1507">
        <v>149.08219570703</v>
      </c>
    </row>
    <row r="1508" spans="1:23" x14ac:dyDescent="0.2">
      <c r="A1508" t="s">
        <v>3025</v>
      </c>
      <c r="B1508" s="3" t="str">
        <f>HYPERLINK("http://www.ncbi.nlm.nih.gov/gene/75965","Zdhhc20")</f>
        <v>Zdhhc20</v>
      </c>
      <c r="C1508">
        <v>75965</v>
      </c>
      <c r="D1508" t="s">
        <v>3026</v>
      </c>
      <c r="E1508" s="3" t="str">
        <f>HYPERLINK("http://genome.ucsc.edu/cgi-bin/hgTracks?db=mm10&amp;lastVirtModeType=default&amp;lastVirtModeExtraState=&amp;virtModeType=default&amp;virtMode=0&amp;nonVirtPosition=&amp;position=chr14:57832701-57890262","chr14:57832701-57890262")</f>
        <v>chr14:57832701-57890262</v>
      </c>
      <c r="F1508" t="s">
        <v>25</v>
      </c>
      <c r="G1508">
        <v>-0.51266310905831902</v>
      </c>
      <c r="H1508">
        <v>0.13956618022346401</v>
      </c>
      <c r="I1508">
        <v>-3.6732617331611199</v>
      </c>
      <c r="J1508">
        <v>2.3947397176979601E-4</v>
      </c>
      <c r="K1508">
        <v>2.1307614325377601E-3</v>
      </c>
      <c r="L1508" t="s">
        <v>26</v>
      </c>
      <c r="M1508" t="s">
        <v>27</v>
      </c>
      <c r="N1508">
        <v>483.64089782622102</v>
      </c>
      <c r="O1508">
        <v>592.20423459913195</v>
      </c>
      <c r="P1508">
        <v>402.21839524653802</v>
      </c>
      <c r="Q1508">
        <v>559.01971618974801</v>
      </c>
      <c r="R1508">
        <v>621.97806247508504</v>
      </c>
      <c r="S1508">
        <v>595.61492513256201</v>
      </c>
      <c r="T1508">
        <v>325.38978480626997</v>
      </c>
      <c r="U1508">
        <v>406.83878171825199</v>
      </c>
      <c r="V1508">
        <v>491.41662075466598</v>
      </c>
      <c r="W1508">
        <v>385.22839370696499</v>
      </c>
    </row>
    <row r="1509" spans="1:23" x14ac:dyDescent="0.2">
      <c r="A1509" t="s">
        <v>3027</v>
      </c>
      <c r="B1509" s="3" t="str">
        <f>HYPERLINK("http://www.ncbi.nlm.nih.gov/gene/67451","Pkp2")</f>
        <v>Pkp2</v>
      </c>
      <c r="C1509">
        <v>67451</v>
      </c>
      <c r="D1509" t="s">
        <v>3028</v>
      </c>
      <c r="E1509" s="3" t="str">
        <f>HYPERLINK("http://genome.ucsc.edu/cgi-bin/hgTracks?db=mm10&amp;lastVirtModeType=default&amp;lastVirtModeExtraState=&amp;virtModeType=default&amp;virtMode=0&amp;nonVirtPosition=&amp;position=chr16:16213344-16272712","chr16:16213344-16272712")</f>
        <v>chr16:16213344-16272712</v>
      </c>
      <c r="F1509" t="s">
        <v>30</v>
      </c>
      <c r="G1509">
        <v>1.31020111620443</v>
      </c>
      <c r="H1509">
        <v>0.35682998726168602</v>
      </c>
      <c r="I1509">
        <v>3.67177973538299</v>
      </c>
      <c r="J1509">
        <v>2.40867239432754E-4</v>
      </c>
      <c r="K1509">
        <v>2.1417351947171401E-3</v>
      </c>
      <c r="L1509" t="s">
        <v>26</v>
      </c>
      <c r="M1509" t="s">
        <v>27</v>
      </c>
      <c r="N1509">
        <v>14.1212538825931</v>
      </c>
      <c r="O1509">
        <v>6.3117073553952698</v>
      </c>
      <c r="P1509">
        <v>19.978413777991499</v>
      </c>
      <c r="Q1509">
        <v>7.79509564408015</v>
      </c>
      <c r="R1509">
        <v>4.9303139098634796</v>
      </c>
      <c r="S1509">
        <v>6.2097125122421701</v>
      </c>
      <c r="T1509">
        <v>4.58295471558126</v>
      </c>
      <c r="U1509">
        <v>27.836337696512</v>
      </c>
      <c r="V1509">
        <v>27.219184083716499</v>
      </c>
      <c r="W1509">
        <v>20.275178616156101</v>
      </c>
    </row>
    <row r="1510" spans="1:23" x14ac:dyDescent="0.2">
      <c r="A1510" t="s">
        <v>3029</v>
      </c>
      <c r="B1510" s="3" t="str">
        <f>HYPERLINK("http://www.ncbi.nlm.nih.gov/gene/59024","Med12")</f>
        <v>Med12</v>
      </c>
      <c r="C1510">
        <v>59024</v>
      </c>
      <c r="D1510" t="s">
        <v>3030</v>
      </c>
      <c r="E1510" s="3" t="str">
        <f>HYPERLINK("http://genome.ucsc.edu/cgi-bin/hgTracks?db=mm10&amp;lastVirtModeType=default&amp;lastVirtModeExtraState=&amp;virtModeType=default&amp;virtMode=0&amp;nonVirtPosition=&amp;position=chrX:101274090-101298934","chrX:101274090-101298934")</f>
        <v>chrX:101274090-101298934</v>
      </c>
      <c r="F1510" t="s">
        <v>30</v>
      </c>
      <c r="G1510">
        <v>0.51004339773336504</v>
      </c>
      <c r="H1510">
        <v>0.13892023180956301</v>
      </c>
      <c r="I1510">
        <v>3.6714839234687702</v>
      </c>
      <c r="J1510">
        <v>2.41146249441225E-4</v>
      </c>
      <c r="K1510">
        <v>2.14279324901622E-3</v>
      </c>
      <c r="L1510" t="s">
        <v>26</v>
      </c>
      <c r="M1510" t="s">
        <v>27</v>
      </c>
      <c r="N1510">
        <v>515.433964287251</v>
      </c>
      <c r="O1510">
        <v>413.45302033189</v>
      </c>
      <c r="P1510">
        <v>591.91967225377198</v>
      </c>
      <c r="Q1510">
        <v>389.19798965800197</v>
      </c>
      <c r="R1510">
        <v>375.08311206576798</v>
      </c>
      <c r="S1510">
        <v>476.0779592719</v>
      </c>
      <c r="T1510">
        <v>586.61820359440196</v>
      </c>
      <c r="U1510">
        <v>498.91282179132997</v>
      </c>
      <c r="V1510">
        <v>648.84649626589101</v>
      </c>
      <c r="W1510">
        <v>633.30116736346304</v>
      </c>
    </row>
    <row r="1511" spans="1:23" x14ac:dyDescent="0.2">
      <c r="A1511" t="s">
        <v>3031</v>
      </c>
      <c r="B1511" s="3" t="str">
        <f>HYPERLINK("http://www.ncbi.nlm.nih.gov/gene/110920","Hspa13")</f>
        <v>Hspa13</v>
      </c>
      <c r="C1511">
        <v>110920</v>
      </c>
      <c r="D1511" t="s">
        <v>3032</v>
      </c>
      <c r="E1511" s="3" t="str">
        <f>HYPERLINK("http://genome.ucsc.edu/cgi-bin/hgTracks?db=mm10&amp;lastVirtModeType=default&amp;lastVirtModeExtraState=&amp;virtModeType=default&amp;virtMode=0&amp;nonVirtPosition=&amp;position=chr16:75755190-75766818","chr16:75755190-75766818")</f>
        <v>chr16:75755190-75766818</v>
      </c>
      <c r="F1511" t="s">
        <v>25</v>
      </c>
      <c r="G1511">
        <v>-0.48271482025182999</v>
      </c>
      <c r="H1511">
        <v>0.13148566482188201</v>
      </c>
      <c r="I1511">
        <v>-3.6712353464976202</v>
      </c>
      <c r="J1511">
        <v>2.41380941839783E-4</v>
      </c>
      <c r="K1511">
        <v>2.1434563608597702E-3</v>
      </c>
      <c r="L1511" t="s">
        <v>26</v>
      </c>
      <c r="M1511" t="s">
        <v>27</v>
      </c>
      <c r="N1511">
        <v>462.02808029229402</v>
      </c>
      <c r="O1511">
        <v>559.53805211577003</v>
      </c>
      <c r="P1511">
        <v>388.89560142468702</v>
      </c>
      <c r="Q1511">
        <v>522.828200699376</v>
      </c>
      <c r="R1511">
        <v>598.46425767419805</v>
      </c>
      <c r="S1511">
        <v>557.32169797373501</v>
      </c>
      <c r="T1511">
        <v>334.55569423743202</v>
      </c>
      <c r="U1511">
        <v>357.589876562884</v>
      </c>
      <c r="V1511">
        <v>453.16263231268601</v>
      </c>
      <c r="W1511">
        <v>410.27420258574602</v>
      </c>
    </row>
    <row r="1512" spans="1:23" x14ac:dyDescent="0.2">
      <c r="A1512" t="s">
        <v>3033</v>
      </c>
      <c r="B1512" s="3" t="str">
        <f>HYPERLINK("http://www.ncbi.nlm.nih.gov/gene/216198","Tcp11l2")</f>
        <v>Tcp11l2</v>
      </c>
      <c r="C1512">
        <v>216198</v>
      </c>
      <c r="D1512" t="s">
        <v>3034</v>
      </c>
      <c r="E1512" s="3" t="str">
        <f>HYPERLINK("http://genome.ucsc.edu/cgi-bin/hgTracks?db=mm10&amp;lastVirtModeType=default&amp;lastVirtModeExtraState=&amp;virtModeType=default&amp;virtMode=0&amp;nonVirtPosition=&amp;position=chr10:84576946-84614355","chr10:84576946-84614355")</f>
        <v>chr10:84576946-84614355</v>
      </c>
      <c r="F1512" t="s">
        <v>30</v>
      </c>
      <c r="G1512">
        <v>-0.63481007553961299</v>
      </c>
      <c r="H1512">
        <v>0.172927807614837</v>
      </c>
      <c r="I1512">
        <v>-3.6709542802597102</v>
      </c>
      <c r="J1512">
        <v>2.4164656690007301E-4</v>
      </c>
      <c r="K1512">
        <v>2.1443930930144998E-3</v>
      </c>
      <c r="L1512" t="s">
        <v>26</v>
      </c>
      <c r="M1512" t="s">
        <v>27</v>
      </c>
      <c r="N1512">
        <v>196.94964609905301</v>
      </c>
      <c r="O1512">
        <v>251.09571297795199</v>
      </c>
      <c r="P1512">
        <v>156.34009593987801</v>
      </c>
      <c r="Q1512">
        <v>276.16910281883997</v>
      </c>
      <c r="R1512">
        <v>221.48487102771301</v>
      </c>
      <c r="S1512">
        <v>255.63316508730301</v>
      </c>
      <c r="T1512">
        <v>142.07159618301901</v>
      </c>
      <c r="U1512">
        <v>177.72430990849901</v>
      </c>
      <c r="V1512">
        <v>183.91340597105801</v>
      </c>
      <c r="W1512">
        <v>121.651071696936</v>
      </c>
    </row>
    <row r="1513" spans="1:23" x14ac:dyDescent="0.2">
      <c r="A1513" t="s">
        <v>3035</v>
      </c>
      <c r="B1513" s="3" t="str">
        <f>HYPERLINK("http://www.ncbi.nlm.nih.gov/gene/57754","Cend1")</f>
        <v>Cend1</v>
      </c>
      <c r="C1513">
        <v>57754</v>
      </c>
      <c r="D1513" t="s">
        <v>3036</v>
      </c>
      <c r="E1513" s="3" t="str">
        <f>HYPERLINK("http://genome.ucsc.edu/cgi-bin/hgTracks?db=mm10&amp;lastVirtModeType=default&amp;lastVirtModeExtraState=&amp;virtModeType=default&amp;virtMode=0&amp;nonVirtPosition=&amp;position=chr7:141426450-141429420","chr7:141426450-141429420")</f>
        <v>chr7:141426450-141429420</v>
      </c>
      <c r="F1513" t="s">
        <v>25</v>
      </c>
      <c r="G1513">
        <v>-0.91297440267848695</v>
      </c>
      <c r="H1513">
        <v>0.24871664528418999</v>
      </c>
      <c r="I1513">
        <v>-3.6707410621243302</v>
      </c>
      <c r="J1513">
        <v>2.41848254182053E-4</v>
      </c>
      <c r="K1513">
        <v>2.14476157069661E-3</v>
      </c>
      <c r="L1513" t="s">
        <v>26</v>
      </c>
      <c r="M1513" t="s">
        <v>27</v>
      </c>
      <c r="N1513">
        <v>133.10602623636899</v>
      </c>
      <c r="O1513">
        <v>187.730096074861</v>
      </c>
      <c r="P1513">
        <v>92.137973857500896</v>
      </c>
      <c r="Q1513">
        <v>150.333987421546</v>
      </c>
      <c r="R1513">
        <v>264.34067655191097</v>
      </c>
      <c r="S1513">
        <v>148.51562425112499</v>
      </c>
      <c r="T1513">
        <v>68.744320733718993</v>
      </c>
      <c r="U1513">
        <v>132.75791824490301</v>
      </c>
      <c r="V1513">
        <v>72.829708764538793</v>
      </c>
      <c r="W1513">
        <v>94.2199476868429</v>
      </c>
    </row>
    <row r="1514" spans="1:23" x14ac:dyDescent="0.2">
      <c r="A1514" t="s">
        <v>3037</v>
      </c>
      <c r="B1514" s="3" t="str">
        <f>HYPERLINK("http://www.ncbi.nlm.nih.gov/gene/18987","Pou2f2")</f>
        <v>Pou2f2</v>
      </c>
      <c r="C1514">
        <v>18987</v>
      </c>
      <c r="D1514" t="s">
        <v>3038</v>
      </c>
      <c r="E1514" s="3" t="str">
        <f>HYPERLINK("http://genome.ucsc.edu/cgi-bin/hgTracks?db=mm10&amp;lastVirtModeType=default&amp;lastVirtModeExtraState=&amp;virtModeType=default&amp;virtMode=0&amp;nonVirtPosition=&amp;position=chr7:25091114-25132460","chr7:25091114-25132460")</f>
        <v>chr7:25091114-25132460</v>
      </c>
      <c r="F1514" t="s">
        <v>25</v>
      </c>
      <c r="G1514">
        <v>1.04035719018688</v>
      </c>
      <c r="H1514">
        <v>0.28348535323790203</v>
      </c>
      <c r="I1514">
        <v>3.6698798661171201</v>
      </c>
      <c r="J1514">
        <v>2.4266448484432901E-4</v>
      </c>
      <c r="K1514">
        <v>2.1505758547653302E-3</v>
      </c>
      <c r="L1514" t="s">
        <v>26</v>
      </c>
      <c r="M1514" t="s">
        <v>27</v>
      </c>
      <c r="N1514">
        <v>46.835008523650899</v>
      </c>
      <c r="O1514">
        <v>26.400624786903698</v>
      </c>
      <c r="P1514">
        <v>62.160796326211397</v>
      </c>
      <c r="Q1514">
        <v>40.645855858417903</v>
      </c>
      <c r="R1514">
        <v>21.996785136313999</v>
      </c>
      <c r="S1514">
        <v>16.5592333659791</v>
      </c>
      <c r="T1514">
        <v>73.327275449300203</v>
      </c>
      <c r="U1514">
        <v>53.531418647138402</v>
      </c>
      <c r="V1514">
        <v>57.380982662969998</v>
      </c>
      <c r="W1514">
        <v>64.403508545436907</v>
      </c>
    </row>
    <row r="1515" spans="1:23" x14ac:dyDescent="0.2">
      <c r="A1515" t="s">
        <v>3039</v>
      </c>
      <c r="B1515" s="3" t="str">
        <f>HYPERLINK("http://www.ncbi.nlm.nih.gov/gene/57423","Atp5j2")</f>
        <v>Atp5j2</v>
      </c>
      <c r="C1515">
        <v>57423</v>
      </c>
      <c r="D1515" t="s">
        <v>3040</v>
      </c>
      <c r="E1515" s="3" t="str">
        <f>HYPERLINK("http://genome.ucsc.edu/cgi-bin/hgTracks?db=mm10&amp;lastVirtModeType=default&amp;lastVirtModeExtraState=&amp;virtModeType=default&amp;virtMode=0&amp;nonVirtPosition=&amp;position=chr5:145183705-145191592","chr5:145183705-145191592")</f>
        <v>chr5:145183705-145191592</v>
      </c>
      <c r="F1515" t="s">
        <v>25</v>
      </c>
      <c r="G1515">
        <v>-0.54167626393016299</v>
      </c>
      <c r="H1515">
        <v>0.14761413945565799</v>
      </c>
      <c r="I1515">
        <v>-3.6695418604725001</v>
      </c>
      <c r="J1515">
        <v>2.4298554794239499E-4</v>
      </c>
      <c r="K1515">
        <v>2.1519970056194499E-3</v>
      </c>
      <c r="L1515" t="s">
        <v>26</v>
      </c>
      <c r="M1515" t="s">
        <v>27</v>
      </c>
      <c r="N1515">
        <v>186.350311057379</v>
      </c>
      <c r="O1515">
        <v>228.83141555585601</v>
      </c>
      <c r="P1515">
        <v>154.48948268352001</v>
      </c>
      <c r="Q1515">
        <v>233.85286932240501</v>
      </c>
      <c r="R1515">
        <v>250.30824465460699</v>
      </c>
      <c r="S1515">
        <v>202.33313269055699</v>
      </c>
      <c r="T1515">
        <v>151.237505614182</v>
      </c>
      <c r="U1515">
        <v>147.74671546610199</v>
      </c>
      <c r="V1515">
        <v>150.808992896267</v>
      </c>
      <c r="W1515">
        <v>168.16471675752999</v>
      </c>
    </row>
    <row r="1516" spans="1:23" x14ac:dyDescent="0.2">
      <c r="A1516" t="s">
        <v>3041</v>
      </c>
      <c r="B1516" s="3" t="str">
        <f>HYPERLINK("http://www.ncbi.nlm.nih.gov/gene/69882","Vwa9")</f>
        <v>Vwa9</v>
      </c>
      <c r="C1516">
        <v>69882</v>
      </c>
      <c r="D1516" t="s">
        <v>3042</v>
      </c>
      <c r="E1516" s="3" t="str">
        <f>HYPERLINK("http://genome.ucsc.edu/cgi-bin/hgTracks?db=mm10&amp;lastVirtModeType=default&amp;lastVirtModeExtraState=&amp;virtModeType=default&amp;virtMode=0&amp;nonVirtPosition=&amp;position=chr9:64960929-64986981","chr9:64960929-64986981")</f>
        <v>chr9:64960929-64986981</v>
      </c>
      <c r="F1516" t="s">
        <v>30</v>
      </c>
      <c r="G1516">
        <v>-0.56540010200959101</v>
      </c>
      <c r="H1516">
        <v>0.15416634782528299</v>
      </c>
      <c r="I1516">
        <v>-3.6674677060545</v>
      </c>
      <c r="J1516">
        <v>2.4496447745499201E-4</v>
      </c>
      <c r="K1516">
        <v>2.16808943661586E-3</v>
      </c>
      <c r="L1516" t="s">
        <v>26</v>
      </c>
      <c r="M1516" t="s">
        <v>27</v>
      </c>
      <c r="N1516">
        <v>218.576624168835</v>
      </c>
      <c r="O1516">
        <v>274.213912489905</v>
      </c>
      <c r="P1516">
        <v>176.848657928032</v>
      </c>
      <c r="Q1516">
        <v>258.90853389266198</v>
      </c>
      <c r="R1516">
        <v>296.19808950795198</v>
      </c>
      <c r="S1516">
        <v>267.53511406910002</v>
      </c>
      <c r="T1516">
        <v>119.15682260511301</v>
      </c>
      <c r="U1516">
        <v>209.84316109678201</v>
      </c>
      <c r="V1516">
        <v>178.02817697998401</v>
      </c>
      <c r="W1516">
        <v>200.36647103024799</v>
      </c>
    </row>
    <row r="1517" spans="1:23" x14ac:dyDescent="0.2">
      <c r="A1517" t="s">
        <v>3043</v>
      </c>
      <c r="B1517" s="3" t="str">
        <f>HYPERLINK("http://www.ncbi.nlm.nih.gov/gene/216874","Camta2")</f>
        <v>Camta2</v>
      </c>
      <c r="C1517">
        <v>216874</v>
      </c>
      <c r="D1517" t="s">
        <v>3044</v>
      </c>
      <c r="E1517" s="3" t="str">
        <f>HYPERLINK("http://genome.ucsc.edu/cgi-bin/hgTracks?db=mm10&amp;lastVirtModeType=default&amp;lastVirtModeExtraState=&amp;virtModeType=default&amp;virtMode=0&amp;nonVirtPosition=&amp;position=chr11:70669462-70688105","chr11:70669462-70688105")</f>
        <v>chr11:70669462-70688105</v>
      </c>
      <c r="F1517" t="s">
        <v>25</v>
      </c>
      <c r="G1517">
        <v>0.50100796176107498</v>
      </c>
      <c r="H1517">
        <v>0.136662145588096</v>
      </c>
      <c r="I1517">
        <v>3.6660331915988502</v>
      </c>
      <c r="J1517">
        <v>2.4634196607400402E-4</v>
      </c>
      <c r="K1517">
        <v>2.1788409958368501E-3</v>
      </c>
      <c r="L1517" t="s">
        <v>26</v>
      </c>
      <c r="M1517" t="s">
        <v>27</v>
      </c>
      <c r="N1517">
        <v>210.922112217126</v>
      </c>
      <c r="O1517">
        <v>168.09306171461401</v>
      </c>
      <c r="P1517">
        <v>243.04390009401001</v>
      </c>
      <c r="Q1517">
        <v>172.04889671576899</v>
      </c>
      <c r="R1517">
        <v>154.73600578648501</v>
      </c>
      <c r="S1517">
        <v>177.494282641589</v>
      </c>
      <c r="T1517">
        <v>252.062509356969</v>
      </c>
      <c r="U1517">
        <v>256.95080950626402</v>
      </c>
      <c r="V1517">
        <v>216.28216542196401</v>
      </c>
      <c r="W1517">
        <v>246.88011609084199</v>
      </c>
    </row>
    <row r="1518" spans="1:23" x14ac:dyDescent="0.2">
      <c r="A1518" t="s">
        <v>3045</v>
      </c>
      <c r="B1518" s="3" t="str">
        <f>HYPERLINK("http://www.ncbi.nlm.nih.gov/gene/54364","Rpp30")</f>
        <v>Rpp30</v>
      </c>
      <c r="C1518">
        <v>54364</v>
      </c>
      <c r="D1518" t="s">
        <v>3046</v>
      </c>
      <c r="E1518" s="3" t="str">
        <f>HYPERLINK("http://genome.ucsc.edu/cgi-bin/hgTracks?db=mm10&amp;lastVirtModeType=default&amp;lastVirtModeExtraState=&amp;virtModeType=default&amp;virtMode=0&amp;nonVirtPosition=&amp;position=chr19:36083715-36104773","chr19:36083715-36104773")</f>
        <v>chr19:36083715-36104773</v>
      </c>
      <c r="F1518" t="s">
        <v>30</v>
      </c>
      <c r="G1518">
        <v>-0.82402484099904205</v>
      </c>
      <c r="H1518">
        <v>0.22483188833246101</v>
      </c>
      <c r="I1518">
        <v>-3.6650710320083602</v>
      </c>
      <c r="J1518">
        <v>2.4726994460262398E-4</v>
      </c>
      <c r="K1518">
        <v>2.18560516711138E-3</v>
      </c>
      <c r="L1518" t="s">
        <v>26</v>
      </c>
      <c r="M1518" t="s">
        <v>27</v>
      </c>
      <c r="N1518">
        <v>81.590395545205496</v>
      </c>
      <c r="O1518">
        <v>111.905963328392</v>
      </c>
      <c r="P1518">
        <v>58.853719707815799</v>
      </c>
      <c r="Q1518">
        <v>90.757184998933198</v>
      </c>
      <c r="R1518">
        <v>135.773259979317</v>
      </c>
      <c r="S1518">
        <v>109.187445006925</v>
      </c>
      <c r="T1518">
        <v>41.246592440231403</v>
      </c>
      <c r="U1518">
        <v>81.367756343650299</v>
      </c>
      <c r="V1518">
        <v>60.3235971585069</v>
      </c>
      <c r="W1518">
        <v>52.4769328888746</v>
      </c>
    </row>
    <row r="1519" spans="1:23" x14ac:dyDescent="0.2">
      <c r="A1519" t="s">
        <v>3047</v>
      </c>
      <c r="B1519" s="3" t="str">
        <f>HYPERLINK("http://www.ncbi.nlm.nih.gov/gene/20741","Sptb")</f>
        <v>Sptb</v>
      </c>
      <c r="C1519">
        <v>20741</v>
      </c>
      <c r="D1519" t="s">
        <v>3048</v>
      </c>
      <c r="E1519" s="3" t="str">
        <f>HYPERLINK("http://genome.ucsc.edu/cgi-bin/hgTracks?db=mm10&amp;lastVirtModeType=default&amp;lastVirtModeExtraState=&amp;virtModeType=default&amp;virtMode=0&amp;nonVirtPosition=&amp;position=chr12:76580487-76710547","chr12:76580487-76710547")</f>
        <v>chr12:76580487-76710547</v>
      </c>
      <c r="F1519" t="s">
        <v>25</v>
      </c>
      <c r="G1519">
        <v>0.54088969225220596</v>
      </c>
      <c r="H1519">
        <v>0.14762302939015801</v>
      </c>
      <c r="I1519">
        <v>3.6639926337148299</v>
      </c>
      <c r="J1519">
        <v>2.4831392908980098E-4</v>
      </c>
      <c r="K1519">
        <v>2.1925486631374602E-3</v>
      </c>
      <c r="L1519" t="s">
        <v>26</v>
      </c>
      <c r="M1519" t="s">
        <v>27</v>
      </c>
      <c r="N1519">
        <v>813.25099589129002</v>
      </c>
      <c r="O1519">
        <v>638.07443689529998</v>
      </c>
      <c r="P1519">
        <v>944.63341513828095</v>
      </c>
      <c r="Q1519">
        <v>586.30255094402798</v>
      </c>
      <c r="R1519">
        <v>733.858262737372</v>
      </c>
      <c r="S1519">
        <v>594.06249700450098</v>
      </c>
      <c r="T1519">
        <v>994.50117328113402</v>
      </c>
      <c r="U1519">
        <v>916.45788723900898</v>
      </c>
      <c r="V1519">
        <v>773.90761232621003</v>
      </c>
      <c r="W1519">
        <v>1093.66698770677</v>
      </c>
    </row>
    <row r="1520" spans="1:23" x14ac:dyDescent="0.2">
      <c r="A1520" t="s">
        <v>3049</v>
      </c>
      <c r="B1520" s="3" t="str">
        <f>HYPERLINK("http://www.ncbi.nlm.nih.gov/gene/67217","L3hypdh")</f>
        <v>L3hypdh</v>
      </c>
      <c r="C1520">
        <v>67217</v>
      </c>
      <c r="D1520" t="s">
        <v>3050</v>
      </c>
      <c r="E1520" s="3" t="str">
        <f>HYPERLINK("http://genome.ucsc.edu/cgi-bin/hgTracks?db=mm10&amp;lastVirtModeType=default&amp;lastVirtModeExtraState=&amp;virtModeType=default&amp;virtMode=0&amp;nonVirtPosition=&amp;position=chr12:72073427-72085313","chr12:72073427-72085313")</f>
        <v>chr12:72073427-72085313</v>
      </c>
      <c r="F1520" t="s">
        <v>25</v>
      </c>
      <c r="G1520">
        <v>0.97213775715504702</v>
      </c>
      <c r="H1520">
        <v>0.26532712704848499</v>
      </c>
      <c r="I1520">
        <v>3.66392146920357</v>
      </c>
      <c r="J1520">
        <v>2.4838296781267501E-4</v>
      </c>
      <c r="K1520">
        <v>2.1925486631374602E-3</v>
      </c>
      <c r="L1520" t="s">
        <v>26</v>
      </c>
      <c r="M1520" t="s">
        <v>27</v>
      </c>
      <c r="N1520">
        <v>39.356387727405099</v>
      </c>
      <c r="O1520">
        <v>23.6508569944715</v>
      </c>
      <c r="P1520">
        <v>51.135535777105403</v>
      </c>
      <c r="Q1520">
        <v>20.0445316562061</v>
      </c>
      <c r="R1520">
        <v>19.342000723310601</v>
      </c>
      <c r="S1520">
        <v>31.566038603897699</v>
      </c>
      <c r="T1520">
        <v>45.829547155812598</v>
      </c>
      <c r="U1520">
        <v>62.096445630680499</v>
      </c>
      <c r="V1520">
        <v>44.139217433053801</v>
      </c>
      <c r="W1520">
        <v>52.4769328888746</v>
      </c>
    </row>
    <row r="1521" spans="1:23" x14ac:dyDescent="0.2">
      <c r="A1521" t="s">
        <v>3051</v>
      </c>
      <c r="B1521" s="3" t="str">
        <f>HYPERLINK("http://www.ncbi.nlm.nih.gov/gene/13024","Ctla2a")</f>
        <v>Ctla2a</v>
      </c>
      <c r="C1521">
        <v>13024</v>
      </c>
      <c r="D1521" t="s">
        <v>3052</v>
      </c>
      <c r="E1521" s="3" t="str">
        <f>HYPERLINK("http://genome.ucsc.edu/cgi-bin/hgTracks?db=mm10&amp;lastVirtModeType=default&amp;lastVirtModeExtraState=&amp;virtModeType=default&amp;virtMode=0&amp;nonVirtPosition=&amp;position=chr13:60934154-60936566","chr13:60934154-60936566")</f>
        <v>chr13:60934154-60936566</v>
      </c>
      <c r="F1521" t="s">
        <v>25</v>
      </c>
      <c r="G1521">
        <v>-0.82228846062666605</v>
      </c>
      <c r="H1521">
        <v>0.224510752243922</v>
      </c>
      <c r="I1521">
        <v>-3.6625794195072001</v>
      </c>
      <c r="J1521">
        <v>2.4968830451738302E-4</v>
      </c>
      <c r="K1521">
        <v>2.2022704448492899E-3</v>
      </c>
      <c r="L1521" t="s">
        <v>26</v>
      </c>
      <c r="M1521" t="s">
        <v>27</v>
      </c>
      <c r="N1521">
        <v>125.17979684551401</v>
      </c>
      <c r="O1521">
        <v>171.964065574579</v>
      </c>
      <c r="P1521">
        <v>90.091595298715802</v>
      </c>
      <c r="Q1521">
        <v>198.77493892404399</v>
      </c>
      <c r="R1521">
        <v>159.28706478020499</v>
      </c>
      <c r="S1521">
        <v>157.830193019489</v>
      </c>
      <c r="T1521">
        <v>77.910230164881497</v>
      </c>
      <c r="U1521">
        <v>98.497810310734593</v>
      </c>
      <c r="V1521">
        <v>124.325462436435</v>
      </c>
      <c r="W1521">
        <v>59.632878282812001</v>
      </c>
    </row>
    <row r="1522" spans="1:23" x14ac:dyDescent="0.2">
      <c r="A1522" t="s">
        <v>3053</v>
      </c>
      <c r="B1522" s="3" t="str">
        <f>HYPERLINK("http://www.ncbi.nlm.nih.gov/gene/71778","Klhl5")</f>
        <v>Klhl5</v>
      </c>
      <c r="C1522">
        <v>71778</v>
      </c>
      <c r="D1522" t="s">
        <v>3054</v>
      </c>
      <c r="E1522" s="3" t="str">
        <f>HYPERLINK("http://genome.ucsc.edu/cgi-bin/hgTracks?db=mm10&amp;lastVirtModeType=default&amp;lastVirtModeExtraState=&amp;virtModeType=default&amp;virtMode=0&amp;nonVirtPosition=&amp;position=chr5:65131230-65168142","chr5:65131230-65168142")</f>
        <v>chr5:65131230-65168142</v>
      </c>
      <c r="F1522" t="s">
        <v>30</v>
      </c>
      <c r="G1522">
        <v>-0.69010980660201104</v>
      </c>
      <c r="H1522">
        <v>0.188433936853527</v>
      </c>
      <c r="I1522">
        <v>-3.6623435147907801</v>
      </c>
      <c r="J1522">
        <v>2.4991841969030499E-4</v>
      </c>
      <c r="K1522">
        <v>2.2022704448492899E-3</v>
      </c>
      <c r="L1522" t="s">
        <v>26</v>
      </c>
      <c r="M1522" t="s">
        <v>27</v>
      </c>
      <c r="N1522">
        <v>975.27190227706001</v>
      </c>
      <c r="O1522">
        <v>1263.0162175621299</v>
      </c>
      <c r="P1522">
        <v>759.46366581325901</v>
      </c>
      <c r="Q1522">
        <v>1732.18161062381</v>
      </c>
      <c r="R1522">
        <v>1029.67709732918</v>
      </c>
      <c r="S1522">
        <v>1027.1899447333899</v>
      </c>
      <c r="T1522">
        <v>802.01707522672098</v>
      </c>
      <c r="U1522">
        <v>657.36582098685903</v>
      </c>
      <c r="V1522">
        <v>843.79470659521201</v>
      </c>
      <c r="W1522">
        <v>734.67706044424403</v>
      </c>
    </row>
    <row r="1523" spans="1:23" x14ac:dyDescent="0.2">
      <c r="A1523" t="s">
        <v>3055</v>
      </c>
      <c r="B1523" s="3" t="str">
        <f>HYPERLINK("http://www.ncbi.nlm.nih.gov/gene/74159","Acbd5")</f>
        <v>Acbd5</v>
      </c>
      <c r="C1523">
        <v>74159</v>
      </c>
      <c r="D1523" t="s">
        <v>3056</v>
      </c>
      <c r="E1523" s="3" t="str">
        <f>HYPERLINK("http://genome.ucsc.edu/cgi-bin/hgTracks?db=mm10&amp;lastVirtModeType=default&amp;lastVirtModeExtraState=&amp;virtModeType=default&amp;virtMode=0&amp;nonVirtPosition=&amp;position=chr2:23068200-23114512","chr2:23068200-23114512")</f>
        <v>chr2:23068200-23114512</v>
      </c>
      <c r="F1523" t="s">
        <v>30</v>
      </c>
      <c r="G1523">
        <v>-0.74056437754953897</v>
      </c>
      <c r="H1523">
        <v>0.20221386990798901</v>
      </c>
      <c r="I1523">
        <v>-3.6622827993278002</v>
      </c>
      <c r="J1523">
        <v>2.49977677258675E-4</v>
      </c>
      <c r="K1523">
        <v>2.2022704448492899E-3</v>
      </c>
      <c r="L1523" t="s">
        <v>26</v>
      </c>
      <c r="M1523" t="s">
        <v>27</v>
      </c>
      <c r="N1523">
        <v>389.30523821446099</v>
      </c>
      <c r="O1523">
        <v>511.37184621957999</v>
      </c>
      <c r="P1523">
        <v>297.75528221062098</v>
      </c>
      <c r="Q1523">
        <v>693.206719777128</v>
      </c>
      <c r="R1523">
        <v>442.96974205542699</v>
      </c>
      <c r="S1523">
        <v>397.93907682618601</v>
      </c>
      <c r="T1523">
        <v>371.21933196208198</v>
      </c>
      <c r="U1523">
        <v>250.52703926860801</v>
      </c>
      <c r="V1523">
        <v>320.00932638964002</v>
      </c>
      <c r="W1523">
        <v>249.26543122215401</v>
      </c>
    </row>
    <row r="1524" spans="1:23" x14ac:dyDescent="0.2">
      <c r="A1524" t="s">
        <v>3057</v>
      </c>
      <c r="B1524" s="3" t="str">
        <f>HYPERLINK("http://www.ncbi.nlm.nih.gov/gene/218442","Serinc5")</f>
        <v>Serinc5</v>
      </c>
      <c r="C1524">
        <v>218442</v>
      </c>
      <c r="D1524" t="s">
        <v>3058</v>
      </c>
      <c r="E1524" s="3" t="str">
        <f>HYPERLINK("http://genome.ucsc.edu/cgi-bin/hgTracks?db=mm10&amp;lastVirtModeType=default&amp;lastVirtModeExtraState=&amp;virtModeType=default&amp;virtMode=0&amp;nonVirtPosition=&amp;position=chr13:92611137-92711946","chr13:92611137-92711946")</f>
        <v>chr13:92611137-92711946</v>
      </c>
      <c r="F1524" t="s">
        <v>30</v>
      </c>
      <c r="G1524">
        <v>-0.63480208808307004</v>
      </c>
      <c r="H1524">
        <v>0.17336203402980199</v>
      </c>
      <c r="I1524">
        <v>-3.66171342898495</v>
      </c>
      <c r="J1524">
        <v>2.5053401752035697E-4</v>
      </c>
      <c r="K1524">
        <v>2.2057205973800799E-3</v>
      </c>
      <c r="L1524" t="s">
        <v>26</v>
      </c>
      <c r="M1524" t="s">
        <v>27</v>
      </c>
      <c r="N1524">
        <v>1616.7826820944799</v>
      </c>
      <c r="O1524">
        <v>2053.9088335383399</v>
      </c>
      <c r="P1524">
        <v>1288.93806851158</v>
      </c>
      <c r="Q1524">
        <v>2566.2568445403899</v>
      </c>
      <c r="R1524">
        <v>1533.3276259675399</v>
      </c>
      <c r="S1524">
        <v>2062.1420301070898</v>
      </c>
      <c r="T1524">
        <v>1113.6579958862501</v>
      </c>
      <c r="U1524">
        <v>1391.8168848256</v>
      </c>
      <c r="V1524">
        <v>1424.22541583987</v>
      </c>
      <c r="W1524">
        <v>1226.0519774946099</v>
      </c>
    </row>
    <row r="1525" spans="1:23" x14ac:dyDescent="0.2">
      <c r="A1525" t="s">
        <v>3059</v>
      </c>
      <c r="B1525" s="3" t="str">
        <f>HYPERLINK("http://www.ncbi.nlm.nih.gov/gene/75316","Taf1d")</f>
        <v>Taf1d</v>
      </c>
      <c r="C1525">
        <v>75316</v>
      </c>
      <c r="D1525" t="s">
        <v>3060</v>
      </c>
      <c r="E1525" s="3" t="str">
        <f>HYPERLINK("http://genome.ucsc.edu/cgi-bin/hgTracks?db=mm10&amp;lastVirtModeType=default&amp;lastVirtModeExtraState=&amp;virtModeType=default&amp;virtMode=0&amp;nonVirtPosition=&amp;position=chr9:15306213-15316997","chr9:15306213-15316997")</f>
        <v>chr9:15306213-15316997</v>
      </c>
      <c r="F1525" t="s">
        <v>30</v>
      </c>
      <c r="G1525">
        <v>0.73203764167593099</v>
      </c>
      <c r="H1525">
        <v>0.19993118209916899</v>
      </c>
      <c r="I1525">
        <v>3.6614480742320001</v>
      </c>
      <c r="J1525">
        <v>2.50793696138809E-4</v>
      </c>
      <c r="K1525">
        <v>2.20577039644321E-3</v>
      </c>
      <c r="L1525" t="s">
        <v>26</v>
      </c>
      <c r="M1525" t="s">
        <v>27</v>
      </c>
      <c r="N1525">
        <v>330.60316145964799</v>
      </c>
      <c r="O1525">
        <v>231.54803460298001</v>
      </c>
      <c r="P1525">
        <v>404.89450660214902</v>
      </c>
      <c r="Q1525">
        <v>157.015497973614</v>
      </c>
      <c r="R1525">
        <v>278.37310844921501</v>
      </c>
      <c r="S1525">
        <v>259.25549738611102</v>
      </c>
      <c r="T1525">
        <v>522.45683757626398</v>
      </c>
      <c r="U1525">
        <v>351.16610632522799</v>
      </c>
      <c r="V1525">
        <v>352.37808584054602</v>
      </c>
      <c r="W1525">
        <v>393.57699666655901</v>
      </c>
    </row>
    <row r="1526" spans="1:23" x14ac:dyDescent="0.2">
      <c r="A1526" t="s">
        <v>3061</v>
      </c>
      <c r="B1526" s="3" t="str">
        <f>HYPERLINK("http://www.ncbi.nlm.nih.gov/gene/100169","Phactr4")</f>
        <v>Phactr4</v>
      </c>
      <c r="C1526">
        <v>100169</v>
      </c>
      <c r="D1526" t="s">
        <v>3062</v>
      </c>
      <c r="E1526" s="3" t="str">
        <f>HYPERLINK("http://genome.ucsc.edu/cgi-bin/hgTracks?db=mm10&amp;lastVirtModeType=default&amp;lastVirtModeExtraState=&amp;virtModeType=default&amp;virtMode=0&amp;nonVirtPosition=&amp;position=chr4:132355924-132422446","chr4:132355924-132422446")</f>
        <v>chr4:132355924-132422446</v>
      </c>
      <c r="F1526" t="s">
        <v>25</v>
      </c>
      <c r="G1526">
        <v>0.82513199311065899</v>
      </c>
      <c r="H1526">
        <v>0.225361478145025</v>
      </c>
      <c r="I1526">
        <v>3.6613710555256</v>
      </c>
      <c r="J1526">
        <v>2.5086911461302499E-4</v>
      </c>
      <c r="K1526">
        <v>2.20577039644321E-3</v>
      </c>
      <c r="L1526" t="s">
        <v>26</v>
      </c>
      <c r="M1526" t="s">
        <v>27</v>
      </c>
      <c r="N1526">
        <v>130.181605821494</v>
      </c>
      <c r="O1526">
        <v>86.210257436390094</v>
      </c>
      <c r="P1526">
        <v>163.16011711032101</v>
      </c>
      <c r="Q1526">
        <v>67.928690612698404</v>
      </c>
      <c r="R1526">
        <v>65.990355408941994</v>
      </c>
      <c r="S1526">
        <v>124.71172628753</v>
      </c>
      <c r="T1526">
        <v>192.48409805441301</v>
      </c>
      <c r="U1526">
        <v>149.88797221198701</v>
      </c>
      <c r="V1526">
        <v>155.22291463957299</v>
      </c>
      <c r="W1526">
        <v>155.04548353531101</v>
      </c>
    </row>
    <row r="1527" spans="1:23" x14ac:dyDescent="0.2">
      <c r="A1527" t="s">
        <v>3063</v>
      </c>
      <c r="B1527" s="3" t="str">
        <f>HYPERLINK("http://www.ncbi.nlm.nih.gov/gene/338365","Slc41a2")</f>
        <v>Slc41a2</v>
      </c>
      <c r="C1527">
        <v>338365</v>
      </c>
      <c r="D1527" t="s">
        <v>3064</v>
      </c>
      <c r="E1527" s="3" t="str">
        <f>HYPERLINK("http://genome.ucsc.edu/cgi-bin/hgTracks?db=mm10&amp;lastVirtModeType=default&amp;lastVirtModeExtraState=&amp;virtModeType=default&amp;virtMode=0&amp;nonVirtPosition=&amp;position=chr10:83231138-83337817","chr10:83231138-83337817")</f>
        <v>chr10:83231138-83337817</v>
      </c>
      <c r="F1527" t="s">
        <v>25</v>
      </c>
      <c r="G1527">
        <v>-0.55902138952622105</v>
      </c>
      <c r="H1527">
        <v>0.15271876328846901</v>
      </c>
      <c r="I1527">
        <v>-3.6604630465104799</v>
      </c>
      <c r="J1527">
        <v>2.5175986285628301E-4</v>
      </c>
      <c r="K1527">
        <v>2.21175847194529E-3</v>
      </c>
      <c r="L1527" t="s">
        <v>26</v>
      </c>
      <c r="M1527" t="s">
        <v>27</v>
      </c>
      <c r="N1527">
        <v>247.755652544393</v>
      </c>
      <c r="O1527">
        <v>307.15903527899502</v>
      </c>
      <c r="P1527">
        <v>203.203115493442</v>
      </c>
      <c r="Q1527">
        <v>304.00873011912603</v>
      </c>
      <c r="R1527">
        <v>260.92738230662098</v>
      </c>
      <c r="S1527">
        <v>356.54099341123799</v>
      </c>
      <c r="T1527">
        <v>187.90114333883199</v>
      </c>
      <c r="U1527">
        <v>214.12567458855401</v>
      </c>
      <c r="V1527">
        <v>219.96043354138499</v>
      </c>
      <c r="W1527">
        <v>190.82521050499801</v>
      </c>
    </row>
    <row r="1528" spans="1:23" x14ac:dyDescent="0.2">
      <c r="A1528" t="s">
        <v>3065</v>
      </c>
      <c r="B1528" s="3" t="str">
        <f>HYPERLINK("http://www.ncbi.nlm.nih.gov/gene/76976","Arxes2")</f>
        <v>Arxes2</v>
      </c>
      <c r="C1528">
        <v>76976</v>
      </c>
      <c r="D1528" t="s">
        <v>3066</v>
      </c>
      <c r="E1528" s="3" t="str">
        <f>HYPERLINK("http://genome.ucsc.edu/cgi-bin/hgTracks?db=mm10&amp;lastVirtModeType=default&amp;lastVirtModeExtraState=&amp;virtModeType=default&amp;virtMode=0&amp;nonVirtPosition=&amp;position=chrX:135993819-135995359","chrX:135993819-135995359")</f>
        <v>chrX:135993819-135995359</v>
      </c>
      <c r="F1528" t="s">
        <v>30</v>
      </c>
      <c r="G1528">
        <v>-0.51946798019797702</v>
      </c>
      <c r="H1528">
        <v>0.141917946419549</v>
      </c>
      <c r="I1528">
        <v>-3.6603403114521198</v>
      </c>
      <c r="J1528">
        <v>2.5188049210040801E-4</v>
      </c>
      <c r="K1528">
        <v>2.21175847194529E-3</v>
      </c>
      <c r="L1528" t="s">
        <v>26</v>
      </c>
      <c r="M1528" t="s">
        <v>27</v>
      </c>
      <c r="N1528">
        <v>193.511019759867</v>
      </c>
      <c r="O1528">
        <v>234.68830430362701</v>
      </c>
      <c r="P1528">
        <v>162.628056352046</v>
      </c>
      <c r="Q1528">
        <v>261.13570407668499</v>
      </c>
      <c r="R1528">
        <v>223.00189069228699</v>
      </c>
      <c r="S1528">
        <v>219.92731814191001</v>
      </c>
      <c r="T1528">
        <v>164.98636976092499</v>
      </c>
      <c r="U1528">
        <v>171.30053967084299</v>
      </c>
      <c r="V1528">
        <v>160.37249000676201</v>
      </c>
      <c r="W1528">
        <v>153.85282596965499</v>
      </c>
    </row>
    <row r="1529" spans="1:23" x14ac:dyDescent="0.2">
      <c r="A1529" t="s">
        <v>3067</v>
      </c>
      <c r="B1529" s="3" t="str">
        <f>HYPERLINK("http://www.ncbi.nlm.nih.gov/gene/320977","A330023F24Rik")</f>
        <v>A330023F24Rik</v>
      </c>
      <c r="C1529">
        <v>320977</v>
      </c>
      <c r="D1529" t="s">
        <v>3068</v>
      </c>
      <c r="E1529" s="3" t="str">
        <f>HYPERLINK("http://genome.ucsc.edu/cgi-bin/hgTracks?db=mm10&amp;lastVirtModeType=default&amp;lastVirtModeExtraState=&amp;virtModeType=default&amp;virtMode=0&amp;nonVirtPosition=&amp;position=chr1:195017398-195037908","chr1:195017398-195037908")</f>
        <v>chr1:195017398-195037908</v>
      </c>
      <c r="F1529" t="s">
        <v>30</v>
      </c>
      <c r="G1529">
        <v>0.84710499409024997</v>
      </c>
      <c r="H1529">
        <v>0.23153720767056599</v>
      </c>
      <c r="I1529">
        <v>3.6586128104970501</v>
      </c>
      <c r="J1529">
        <v>2.5358411473710301E-4</v>
      </c>
      <c r="K1529">
        <v>2.22525876831229E-3</v>
      </c>
      <c r="L1529" t="s">
        <v>26</v>
      </c>
      <c r="M1529" t="s">
        <v>27</v>
      </c>
      <c r="N1529">
        <v>89.754240271875801</v>
      </c>
      <c r="O1529">
        <v>58.923320378629398</v>
      </c>
      <c r="P1529">
        <v>112.877430191811</v>
      </c>
      <c r="Q1529">
        <v>48.997744048503797</v>
      </c>
      <c r="R1529">
        <v>73.954708647952202</v>
      </c>
      <c r="S1529">
        <v>53.817508439432203</v>
      </c>
      <c r="T1529">
        <v>100.825003742788</v>
      </c>
      <c r="U1529">
        <v>122.051634515476</v>
      </c>
      <c r="V1529">
        <v>83.128859498918004</v>
      </c>
      <c r="W1529">
        <v>145.504223010061</v>
      </c>
    </row>
    <row r="1530" spans="1:23" x14ac:dyDescent="0.2">
      <c r="A1530" t="s">
        <v>3069</v>
      </c>
      <c r="B1530" s="3" t="str">
        <f>HYPERLINK("http://www.ncbi.nlm.nih.gov/gene/67534","Ttll4")</f>
        <v>Ttll4</v>
      </c>
      <c r="C1530">
        <v>67534</v>
      </c>
      <c r="D1530" t="s">
        <v>3070</v>
      </c>
      <c r="E1530" s="3" t="str">
        <f>HYPERLINK("http://genome.ucsc.edu/cgi-bin/hgTracks?db=mm10&amp;lastVirtModeType=default&amp;lastVirtModeExtraState=&amp;virtModeType=default&amp;virtMode=0&amp;nonVirtPosition=&amp;position=chr1:74661753-74697973","chr1:74661753-74697973")</f>
        <v>chr1:74661753-74697973</v>
      </c>
      <c r="F1530" t="s">
        <v>30</v>
      </c>
      <c r="G1530">
        <v>0.63651347337271202</v>
      </c>
      <c r="H1530">
        <v>0.17398877026899001</v>
      </c>
      <c r="I1530">
        <v>3.6583595158966302</v>
      </c>
      <c r="J1530">
        <v>2.5383481465962999E-4</v>
      </c>
      <c r="K1530">
        <v>2.2254337327120301E-3</v>
      </c>
      <c r="L1530" t="s">
        <v>26</v>
      </c>
      <c r="M1530" t="s">
        <v>27</v>
      </c>
      <c r="N1530">
        <v>401.67554452737102</v>
      </c>
      <c r="O1530">
        <v>300.82070027881798</v>
      </c>
      <c r="P1530">
        <v>477.31667771378602</v>
      </c>
      <c r="Q1530">
        <v>212.137960028181</v>
      </c>
      <c r="R1530">
        <v>326.53848279942002</v>
      </c>
      <c r="S1530">
        <v>363.785658008854</v>
      </c>
      <c r="T1530">
        <v>453.71251684254503</v>
      </c>
      <c r="U1530">
        <v>456.08768687361902</v>
      </c>
      <c r="V1530">
        <v>481.85312364417098</v>
      </c>
      <c r="W1530">
        <v>517.61338349480798</v>
      </c>
    </row>
    <row r="1531" spans="1:23" x14ac:dyDescent="0.2">
      <c r="A1531" t="s">
        <v>3071</v>
      </c>
      <c r="B1531" s="3" t="str">
        <f>HYPERLINK("http://www.ncbi.nlm.nih.gov/gene/19344","Rab5b")</f>
        <v>Rab5b</v>
      </c>
      <c r="C1531">
        <v>19344</v>
      </c>
      <c r="D1531" t="s">
        <v>3072</v>
      </c>
      <c r="E1531" s="3" t="str">
        <f>HYPERLINK("http://genome.ucsc.edu/cgi-bin/hgTracks?db=mm10&amp;lastVirtModeType=default&amp;lastVirtModeExtraState=&amp;virtModeType=default&amp;virtMode=0&amp;nonVirtPosition=&amp;position=chr10:128677182-128696268","chr10:128677182-128696268")</f>
        <v>chr10:128677182-128696268</v>
      </c>
      <c r="F1531" t="s">
        <v>25</v>
      </c>
      <c r="G1531">
        <v>-0.60126939734880702</v>
      </c>
      <c r="H1531">
        <v>0.164359532784427</v>
      </c>
      <c r="I1531">
        <v>-3.6582569149635402</v>
      </c>
      <c r="J1531">
        <v>2.53936430705996E-4</v>
      </c>
      <c r="K1531">
        <v>2.2254337327120301E-3</v>
      </c>
      <c r="L1531" t="s">
        <v>26</v>
      </c>
      <c r="M1531" t="s">
        <v>27</v>
      </c>
      <c r="N1531">
        <v>186.25797923103099</v>
      </c>
      <c r="O1531">
        <v>233.498922166711</v>
      </c>
      <c r="P1531">
        <v>150.82727202927001</v>
      </c>
      <c r="Q1531">
        <v>275.05551772682799</v>
      </c>
      <c r="R1531">
        <v>218.45083169856699</v>
      </c>
      <c r="S1531">
        <v>206.99041707473901</v>
      </c>
      <c r="T1531">
        <v>146.65455089860001</v>
      </c>
      <c r="U1531">
        <v>167.018026179072</v>
      </c>
      <c r="V1531">
        <v>159.63683638287799</v>
      </c>
      <c r="W1531">
        <v>129.99967465653</v>
      </c>
    </row>
    <row r="1532" spans="1:23" x14ac:dyDescent="0.2">
      <c r="A1532" t="s">
        <v>3073</v>
      </c>
      <c r="B1532" s="3" t="str">
        <f>HYPERLINK("http://www.ncbi.nlm.nih.gov/gene/217732","Cipc")</f>
        <v>Cipc</v>
      </c>
      <c r="C1532">
        <v>217732</v>
      </c>
      <c r="D1532" t="s">
        <v>3074</v>
      </c>
      <c r="E1532" s="3" t="str">
        <f>HYPERLINK("http://genome.ucsc.edu/cgi-bin/hgTracks?db=mm10&amp;lastVirtModeType=default&amp;lastVirtModeExtraState=&amp;virtModeType=default&amp;virtMode=0&amp;nonVirtPosition=&amp;position=chr12:86947040-86965366","chr12:86947040-86965366")</f>
        <v>chr12:86947040-86965366</v>
      </c>
      <c r="F1532" t="s">
        <v>30</v>
      </c>
      <c r="G1532">
        <v>-0.52776628191184605</v>
      </c>
      <c r="H1532">
        <v>0.14435101964708599</v>
      </c>
      <c r="I1532">
        <v>-3.6561313054950699</v>
      </c>
      <c r="J1532">
        <v>2.5605023740772398E-4</v>
      </c>
      <c r="K1532">
        <v>2.2424909935427301E-3</v>
      </c>
      <c r="L1532" t="s">
        <v>26</v>
      </c>
      <c r="M1532" t="s">
        <v>27</v>
      </c>
      <c r="N1532">
        <v>725.94685687848801</v>
      </c>
      <c r="O1532">
        <v>887.92540747577902</v>
      </c>
      <c r="P1532">
        <v>604.46294393051903</v>
      </c>
      <c r="Q1532">
        <v>1041.75885357671</v>
      </c>
      <c r="R1532">
        <v>737.65081189880505</v>
      </c>
      <c r="S1532">
        <v>884.36655695182299</v>
      </c>
      <c r="T1532">
        <v>554.53752058533303</v>
      </c>
      <c r="U1532">
        <v>631.67074003623304</v>
      </c>
      <c r="V1532">
        <v>668.70914411076501</v>
      </c>
      <c r="W1532">
        <v>562.93437098974505</v>
      </c>
    </row>
    <row r="1533" spans="1:23" x14ac:dyDescent="0.2">
      <c r="A1533" t="s">
        <v>3075</v>
      </c>
      <c r="B1533" s="3" t="str">
        <f>HYPERLINK("http://www.ncbi.nlm.nih.gov/gene/26554","Cul3")</f>
        <v>Cul3</v>
      </c>
      <c r="C1533">
        <v>26554</v>
      </c>
      <c r="D1533" t="s">
        <v>3076</v>
      </c>
      <c r="E1533" s="3" t="str">
        <f>HYPERLINK("http://genome.ucsc.edu/cgi-bin/hgTracks?db=mm10&amp;lastVirtModeType=default&amp;lastVirtModeExtraState=&amp;virtModeType=default&amp;virtMode=0&amp;nonVirtPosition=&amp;position=chr1:80264922-80340690","chr1:80264922-80340690")</f>
        <v>chr1:80264922-80340690</v>
      </c>
      <c r="F1533" t="s">
        <v>25</v>
      </c>
      <c r="G1533">
        <v>-0.373589783005284</v>
      </c>
      <c r="H1533">
        <v>0.102192511769282</v>
      </c>
      <c r="I1533">
        <v>-3.6557451865820698</v>
      </c>
      <c r="J1533">
        <v>2.5643597879374598E-4</v>
      </c>
      <c r="K1533">
        <v>2.24440143269742E-3</v>
      </c>
      <c r="L1533" t="s">
        <v>26</v>
      </c>
      <c r="M1533" t="s">
        <v>27</v>
      </c>
      <c r="N1533">
        <v>724.83340908389903</v>
      </c>
      <c r="O1533">
        <v>832.36298568232496</v>
      </c>
      <c r="P1533">
        <v>644.18622663507995</v>
      </c>
      <c r="Q1533">
        <v>790.08862278212405</v>
      </c>
      <c r="R1533">
        <v>887.83575869157005</v>
      </c>
      <c r="S1533">
        <v>819.16457557327999</v>
      </c>
      <c r="T1533">
        <v>682.86025262160797</v>
      </c>
      <c r="U1533">
        <v>644.51828051154598</v>
      </c>
      <c r="V1533">
        <v>636.34038465985896</v>
      </c>
      <c r="W1533">
        <v>613.025988747307</v>
      </c>
    </row>
    <row r="1534" spans="1:23" x14ac:dyDescent="0.2">
      <c r="A1534" t="s">
        <v>3077</v>
      </c>
      <c r="B1534" s="3" t="str">
        <f>HYPERLINK("http://www.ncbi.nlm.nih.gov/gene/215085","Slc35f1")</f>
        <v>Slc35f1</v>
      </c>
      <c r="C1534">
        <v>215085</v>
      </c>
      <c r="D1534" t="s">
        <v>3078</v>
      </c>
      <c r="E1534" s="3" t="str">
        <f>HYPERLINK("http://genome.ucsc.edu/cgi-bin/hgTracks?db=mm10&amp;lastVirtModeType=default&amp;lastVirtModeExtraState=&amp;virtModeType=default&amp;virtMode=0&amp;nonVirtPosition=&amp;position=chr10:52690500-53111622","chr10:52690500-53111622")</f>
        <v>chr10:52690500-53111622</v>
      </c>
      <c r="F1534" t="s">
        <v>30</v>
      </c>
      <c r="G1534">
        <v>-0.76097169842154999</v>
      </c>
      <c r="H1534">
        <v>0.20818954567544601</v>
      </c>
      <c r="I1534">
        <v>-3.6551868920827402</v>
      </c>
      <c r="J1534">
        <v>2.5699469111198998E-4</v>
      </c>
      <c r="K1534">
        <v>2.2478222786940999E-3</v>
      </c>
      <c r="L1534" t="s">
        <v>26</v>
      </c>
      <c r="M1534" t="s">
        <v>27</v>
      </c>
      <c r="N1534">
        <v>826.80190641717797</v>
      </c>
      <c r="O1534">
        <v>1098.9769289618901</v>
      </c>
      <c r="P1534">
        <v>622.67063950864497</v>
      </c>
      <c r="Q1534">
        <v>1577.3932828342199</v>
      </c>
      <c r="R1534">
        <v>921.58944622832701</v>
      </c>
      <c r="S1534">
        <v>797.94805782311903</v>
      </c>
      <c r="T1534">
        <v>682.86025262160797</v>
      </c>
      <c r="U1534">
        <v>539.59669996315495</v>
      </c>
      <c r="V1534">
        <v>698.13528906613396</v>
      </c>
      <c r="W1534">
        <v>570.09031638368299</v>
      </c>
    </row>
    <row r="1535" spans="1:23" x14ac:dyDescent="0.2">
      <c r="A1535" t="s">
        <v>3079</v>
      </c>
      <c r="B1535" s="3" t="str">
        <f>HYPERLINK("http://www.ncbi.nlm.nih.gov/gene/245857","Ssh3")</f>
        <v>Ssh3</v>
      </c>
      <c r="C1535">
        <v>245857</v>
      </c>
      <c r="D1535" t="s">
        <v>3080</v>
      </c>
      <c r="E1535" s="3" t="str">
        <f>HYPERLINK("http://genome.ucsc.edu/cgi-bin/hgTracks?db=mm10&amp;lastVirtModeType=default&amp;lastVirtModeExtraState=&amp;virtModeType=default&amp;virtMode=0&amp;nonVirtPosition=&amp;position=chr19:4261668-4269172","chr19:4261668-4269172")</f>
        <v>chr19:4261668-4269172</v>
      </c>
      <c r="F1535" t="s">
        <v>25</v>
      </c>
      <c r="G1535">
        <v>0.93001044885901396</v>
      </c>
      <c r="H1535">
        <v>0.25451689993858101</v>
      </c>
      <c r="I1535">
        <v>3.6540223815528199</v>
      </c>
      <c r="J1535">
        <v>2.5816374870889501E-4</v>
      </c>
      <c r="K1535">
        <v>2.2565736024548399E-3</v>
      </c>
      <c r="L1535" t="s">
        <v>26</v>
      </c>
      <c r="M1535" t="s">
        <v>27</v>
      </c>
      <c r="N1535">
        <v>54.542430532148998</v>
      </c>
      <c r="O1535">
        <v>33.498279706653101</v>
      </c>
      <c r="P1535">
        <v>70.325543651270905</v>
      </c>
      <c r="Q1535">
        <v>37.861893128389298</v>
      </c>
      <c r="R1535">
        <v>26.927099046177499</v>
      </c>
      <c r="S1535">
        <v>35.705846945392501</v>
      </c>
      <c r="T1535">
        <v>91.659094311625296</v>
      </c>
      <c r="U1535">
        <v>40.683878171825199</v>
      </c>
      <c r="V1535">
        <v>65.473172525696498</v>
      </c>
      <c r="W1535">
        <v>83.486029595936799</v>
      </c>
    </row>
    <row r="1536" spans="1:23" x14ac:dyDescent="0.2">
      <c r="A1536" t="s">
        <v>3081</v>
      </c>
      <c r="B1536" s="3" t="str">
        <f>HYPERLINK("http://www.ncbi.nlm.nih.gov/gene/319740","Zfyve27")</f>
        <v>Zfyve27</v>
      </c>
      <c r="C1536">
        <v>319740</v>
      </c>
      <c r="D1536" t="s">
        <v>3082</v>
      </c>
      <c r="E1536" s="3" t="str">
        <f>HYPERLINK("http://genome.ucsc.edu/cgi-bin/hgTracks?db=mm10&amp;lastVirtModeType=default&amp;lastVirtModeExtraState=&amp;virtModeType=default&amp;virtMode=0&amp;nonVirtPosition=&amp;position=chr19:42170566-42194592","chr19:42170566-42194592")</f>
        <v>chr19:42170566-42194592</v>
      </c>
      <c r="F1536" t="s">
        <v>30</v>
      </c>
      <c r="G1536">
        <v>0.55553173788721499</v>
      </c>
      <c r="H1536">
        <v>0.152044738558682</v>
      </c>
      <c r="I1536">
        <v>3.6537386505670302</v>
      </c>
      <c r="J1536">
        <v>2.5844934210607497E-4</v>
      </c>
      <c r="K1536">
        <v>2.2575963079859399E-3</v>
      </c>
      <c r="L1536" t="s">
        <v>26</v>
      </c>
      <c r="M1536" t="s">
        <v>27</v>
      </c>
      <c r="N1536">
        <v>196.27462324864899</v>
      </c>
      <c r="O1536">
        <v>153.97924725141399</v>
      </c>
      <c r="P1536">
        <v>227.996155246575</v>
      </c>
      <c r="Q1536">
        <v>153.67474269758</v>
      </c>
      <c r="R1536">
        <v>139.56580914075101</v>
      </c>
      <c r="S1536">
        <v>168.69718991591199</v>
      </c>
      <c r="T1536">
        <v>192.48409805441301</v>
      </c>
      <c r="U1536">
        <v>278.36337696511998</v>
      </c>
      <c r="V1536">
        <v>213.33955092642699</v>
      </c>
      <c r="W1536">
        <v>227.797595040342</v>
      </c>
    </row>
    <row r="1537" spans="1:23" x14ac:dyDescent="0.2">
      <c r="A1537" t="s">
        <v>3083</v>
      </c>
      <c r="B1537" s="3" t="str">
        <f>HYPERLINK("http://www.ncbi.nlm.nih.gov/gene/66882","Bzw1")</f>
        <v>Bzw1</v>
      </c>
      <c r="C1537">
        <v>66882</v>
      </c>
      <c r="D1537" t="s">
        <v>3084</v>
      </c>
      <c r="E1537" s="3" t="str">
        <f>HYPERLINK("http://genome.ucsc.edu/cgi-bin/hgTracks?db=mm10&amp;lastVirtModeType=default&amp;lastVirtModeExtraState=&amp;virtModeType=default&amp;virtMode=0&amp;nonVirtPosition=&amp;position=chr1:58393135-58406548","chr1:58393135-58406548")</f>
        <v>chr1:58393135-58406548</v>
      </c>
      <c r="F1537" t="s">
        <v>30</v>
      </c>
      <c r="G1537">
        <v>-0.457901466983137</v>
      </c>
      <c r="H1537">
        <v>0.125386487122882</v>
      </c>
      <c r="I1537">
        <v>-3.6519203742775201</v>
      </c>
      <c r="J1537">
        <v>2.6028659756909499E-4</v>
      </c>
      <c r="K1537">
        <v>2.27216286052657E-3</v>
      </c>
      <c r="L1537" t="s">
        <v>26</v>
      </c>
      <c r="M1537" t="s">
        <v>27</v>
      </c>
      <c r="N1537">
        <v>1370.8044272614</v>
      </c>
      <c r="O1537">
        <v>1629.6119643536199</v>
      </c>
      <c r="P1537">
        <v>1176.6987744422399</v>
      </c>
      <c r="Q1537">
        <v>1385.8566470082501</v>
      </c>
      <c r="R1537">
        <v>1821.18210732034</v>
      </c>
      <c r="S1537">
        <v>1681.79713873226</v>
      </c>
      <c r="T1537">
        <v>1200.73413548229</v>
      </c>
      <c r="U1537">
        <v>1111.31225111459</v>
      </c>
      <c r="V1537">
        <v>1255.76073597038</v>
      </c>
      <c r="W1537">
        <v>1138.98797520171</v>
      </c>
    </row>
    <row r="1538" spans="1:23" x14ac:dyDescent="0.2">
      <c r="A1538" t="s">
        <v>3085</v>
      </c>
      <c r="B1538" s="3" t="str">
        <f>HYPERLINK("http://www.ncbi.nlm.nih.gov/gene/58182","Prokr1")</f>
        <v>Prokr1</v>
      </c>
      <c r="C1538">
        <v>58182</v>
      </c>
      <c r="D1538" t="s">
        <v>3086</v>
      </c>
      <c r="E1538" s="3" t="str">
        <f>HYPERLINK("http://genome.ucsc.edu/cgi-bin/hgTracks?db=mm10&amp;lastVirtModeType=default&amp;lastVirtModeExtraState=&amp;virtModeType=default&amp;virtMode=0&amp;nonVirtPosition=&amp;position=chr6:87578591-87590701","chr6:87578591-87590701")</f>
        <v>chr6:87578591-87590701</v>
      </c>
      <c r="F1538" t="s">
        <v>25</v>
      </c>
      <c r="G1538">
        <v>-1.0688852625415</v>
      </c>
      <c r="H1538">
        <v>0.29271341311266003</v>
      </c>
      <c r="I1538">
        <v>-3.6516442863863698</v>
      </c>
      <c r="J1538">
        <v>2.6056663579995901E-4</v>
      </c>
      <c r="K1538">
        <v>2.2731256156333902E-3</v>
      </c>
      <c r="L1538" t="s">
        <v>26</v>
      </c>
      <c r="M1538" t="s">
        <v>27</v>
      </c>
      <c r="N1538">
        <v>71.473309546305501</v>
      </c>
      <c r="O1538">
        <v>109.28798196445101</v>
      </c>
      <c r="P1538">
        <v>43.112305232696599</v>
      </c>
      <c r="Q1538">
        <v>62.3607651526412</v>
      </c>
      <c r="R1538">
        <v>109.225415849283</v>
      </c>
      <c r="S1538">
        <v>156.27776489142801</v>
      </c>
      <c r="T1538">
        <v>22.914773577906299</v>
      </c>
      <c r="U1538">
        <v>53.531418647138402</v>
      </c>
      <c r="V1538">
        <v>56.645329039085702</v>
      </c>
      <c r="W1538">
        <v>39.357699666655897</v>
      </c>
    </row>
    <row r="1539" spans="1:23" x14ac:dyDescent="0.2">
      <c r="A1539" t="s">
        <v>3087</v>
      </c>
      <c r="B1539" s="3" t="str">
        <f>HYPERLINK("http://www.ncbi.nlm.nih.gov/gene/223435","Trio")</f>
        <v>Trio</v>
      </c>
      <c r="C1539">
        <v>223435</v>
      </c>
      <c r="D1539" t="s">
        <v>3088</v>
      </c>
      <c r="E1539" s="3" t="str">
        <f>HYPERLINK("http://genome.ucsc.edu/cgi-bin/hgTracks?db=mm10&amp;lastVirtModeType=default&amp;lastVirtModeExtraState=&amp;virtModeType=default&amp;virtMode=0&amp;nonVirtPosition=&amp;position=chr15:27730648-28025848","chr15:27730648-28025848")</f>
        <v>chr15:27730648-28025848</v>
      </c>
      <c r="F1539" t="s">
        <v>25</v>
      </c>
      <c r="G1539">
        <v>0.58417926193499103</v>
      </c>
      <c r="H1539">
        <v>0.16000974875451099</v>
      </c>
      <c r="I1539">
        <v>3.6508979389202398</v>
      </c>
      <c r="J1539">
        <v>2.61325076873457E-4</v>
      </c>
      <c r="K1539">
        <v>2.2782578804768599E-3</v>
      </c>
      <c r="L1539" t="s">
        <v>26</v>
      </c>
      <c r="M1539" t="s">
        <v>27</v>
      </c>
      <c r="N1539">
        <v>3133.9932462844199</v>
      </c>
      <c r="O1539">
        <v>2410.79390882607</v>
      </c>
      <c r="P1539">
        <v>3676.3927493781798</v>
      </c>
      <c r="Q1539">
        <v>2308.4618957397402</v>
      </c>
      <c r="R1539">
        <v>2017.2568989664501</v>
      </c>
      <c r="S1539">
        <v>2906.6629317720199</v>
      </c>
      <c r="T1539">
        <v>3304.31034993409</v>
      </c>
      <c r="U1539">
        <v>4147.6143167802802</v>
      </c>
      <c r="V1539">
        <v>3233.19767697119</v>
      </c>
      <c r="W1539">
        <v>4020.4486538271799</v>
      </c>
    </row>
    <row r="1540" spans="1:23" x14ac:dyDescent="0.2">
      <c r="A1540" t="s">
        <v>3089</v>
      </c>
      <c r="B1540" s="3" t="str">
        <f>HYPERLINK("http://www.ncbi.nlm.nih.gov/gene/78286","Nav2")</f>
        <v>Nav2</v>
      </c>
      <c r="C1540">
        <v>78286</v>
      </c>
      <c r="D1540" t="s">
        <v>3090</v>
      </c>
      <c r="E1540" s="3" t="str">
        <f>HYPERLINK("http://genome.ucsc.edu/cgi-bin/hgTracks?db=mm10&amp;lastVirtModeType=default&amp;lastVirtModeExtraState=&amp;virtModeType=default&amp;virtMode=0&amp;nonVirtPosition=&amp;position=chr7:49246188-49610088","chr7:49246188-49610088")</f>
        <v>chr7:49246188-49610088</v>
      </c>
      <c r="F1540" t="s">
        <v>30</v>
      </c>
      <c r="G1540">
        <v>0.78309379109339095</v>
      </c>
      <c r="H1540">
        <v>0.21471910167871999</v>
      </c>
      <c r="I1540">
        <v>3.64706160267529</v>
      </c>
      <c r="J1540">
        <v>2.6525634716356299E-4</v>
      </c>
      <c r="K1540">
        <v>2.31102650934761E-3</v>
      </c>
      <c r="L1540" t="s">
        <v>26</v>
      </c>
      <c r="M1540" t="s">
        <v>27</v>
      </c>
      <c r="N1540">
        <v>1202.8197030620599</v>
      </c>
      <c r="O1540">
        <v>824.83595654120199</v>
      </c>
      <c r="P1540">
        <v>1486.3075129527001</v>
      </c>
      <c r="Q1540">
        <v>694.32030486913902</v>
      </c>
      <c r="R1540">
        <v>573.43343320873703</v>
      </c>
      <c r="S1540">
        <v>1206.7541315457299</v>
      </c>
      <c r="T1540">
        <v>1489.4602825639099</v>
      </c>
      <c r="U1540">
        <v>1475.3258979151301</v>
      </c>
      <c r="V1540">
        <v>1259.4390040897999</v>
      </c>
      <c r="W1540">
        <v>1721.00486724195</v>
      </c>
    </row>
    <row r="1541" spans="1:23" x14ac:dyDescent="0.2">
      <c r="A1541" t="s">
        <v>3091</v>
      </c>
      <c r="B1541" s="3" t="str">
        <f>HYPERLINK("http://www.ncbi.nlm.nih.gov/gene/213262","Fstl5")</f>
        <v>Fstl5</v>
      </c>
      <c r="C1541">
        <v>213262</v>
      </c>
      <c r="D1541" t="s">
        <v>3092</v>
      </c>
      <c r="E1541" s="3" t="str">
        <f>HYPERLINK("http://genome.ucsc.edu/cgi-bin/hgTracks?db=mm10&amp;lastVirtModeType=default&amp;lastVirtModeExtraState=&amp;virtModeType=default&amp;virtMode=0&amp;nonVirtPosition=&amp;position=chr3:76074560-76710005","chr3:76074560-76710005")</f>
        <v>chr3:76074560-76710005</v>
      </c>
      <c r="F1541" t="s">
        <v>30</v>
      </c>
      <c r="G1541">
        <v>-1.4556423850483</v>
      </c>
      <c r="H1541">
        <v>0.39957964751268998</v>
      </c>
      <c r="I1541">
        <v>-3.64293425380749</v>
      </c>
      <c r="J1541">
        <v>2.6954770407202402E-4</v>
      </c>
      <c r="K1541">
        <v>2.3453117925326698E-3</v>
      </c>
      <c r="L1541" t="s">
        <v>26</v>
      </c>
      <c r="M1541" t="s">
        <v>27</v>
      </c>
      <c r="N1541">
        <v>186.14311613472</v>
      </c>
      <c r="O1541">
        <v>363.80661768072599</v>
      </c>
      <c r="P1541">
        <v>52.895489975215703</v>
      </c>
      <c r="Q1541">
        <v>795.09975569617495</v>
      </c>
      <c r="R1541">
        <v>207.831694046553</v>
      </c>
      <c r="S1541">
        <v>88.488403299450994</v>
      </c>
      <c r="T1541">
        <v>45.829547155812598</v>
      </c>
      <c r="U1541">
        <v>53.531418647138402</v>
      </c>
      <c r="V1541">
        <v>47.817485552474999</v>
      </c>
      <c r="W1541">
        <v>64.403508545436907</v>
      </c>
    </row>
    <row r="1542" spans="1:23" x14ac:dyDescent="0.2">
      <c r="A1542" t="s">
        <v>3093</v>
      </c>
      <c r="B1542" s="3" t="str">
        <f>HYPERLINK("http://www.ncbi.nlm.nih.gov/gene/230936","Phf13")</f>
        <v>Phf13</v>
      </c>
      <c r="C1542">
        <v>230936</v>
      </c>
      <c r="D1542" t="s">
        <v>3094</v>
      </c>
      <c r="E1542" s="3" t="str">
        <f>HYPERLINK("http://genome.ucsc.edu/cgi-bin/hgTracks?db=mm10&amp;lastVirtModeType=default&amp;lastVirtModeExtraState=&amp;virtModeType=default&amp;virtMode=0&amp;nonVirtPosition=&amp;position=chr4:151989630-151996179","chr4:151989630-151996179")</f>
        <v>chr4:151989630-151996179</v>
      </c>
      <c r="F1542" t="s">
        <v>25</v>
      </c>
      <c r="G1542">
        <v>0.74993229099573699</v>
      </c>
      <c r="H1542">
        <v>0.20586862997939201</v>
      </c>
      <c r="I1542">
        <v>3.6427710772195199</v>
      </c>
      <c r="J1542">
        <v>2.6971869476788201E-4</v>
      </c>
      <c r="K1542">
        <v>2.3453117925326698E-3</v>
      </c>
      <c r="L1542" t="s">
        <v>26</v>
      </c>
      <c r="M1542" t="s">
        <v>27</v>
      </c>
      <c r="N1542">
        <v>105.36804610199</v>
      </c>
      <c r="O1542">
        <v>75.061274607241202</v>
      </c>
      <c r="P1542">
        <v>128.098124723051</v>
      </c>
      <c r="Q1542">
        <v>81.848504262841601</v>
      </c>
      <c r="R1542">
        <v>66.7488652412287</v>
      </c>
      <c r="S1542">
        <v>76.586454317653406</v>
      </c>
      <c r="T1542">
        <v>82.493184880462707</v>
      </c>
      <c r="U1542">
        <v>179.86556665438499</v>
      </c>
      <c r="V1542">
        <v>133.15330592304599</v>
      </c>
      <c r="W1542">
        <v>116.880441434312</v>
      </c>
    </row>
    <row r="1543" spans="1:23" x14ac:dyDescent="0.2">
      <c r="A1543" t="s">
        <v>3095</v>
      </c>
      <c r="B1543" s="3" t="str">
        <f>HYPERLINK("http://www.ncbi.nlm.nih.gov/gene/83946","Phip")</f>
        <v>Phip</v>
      </c>
      <c r="C1543">
        <v>83946</v>
      </c>
      <c r="D1543" t="s">
        <v>3096</v>
      </c>
      <c r="E1543" s="3" t="str">
        <f>HYPERLINK("http://genome.ucsc.edu/cgi-bin/hgTracks?db=mm10&amp;lastVirtModeType=default&amp;lastVirtModeExtraState=&amp;virtModeType=default&amp;virtMode=0&amp;nonVirtPosition=&amp;position=chr9:82866158-82975489","chr9:82866158-82975489")</f>
        <v>chr9:82866158-82975489</v>
      </c>
      <c r="F1543" t="s">
        <v>25</v>
      </c>
      <c r="G1543">
        <v>0.44113875569001898</v>
      </c>
      <c r="H1543">
        <v>0.12110160992500101</v>
      </c>
      <c r="I1543">
        <v>3.64271586449774</v>
      </c>
      <c r="J1543">
        <v>2.6977657450294001E-4</v>
      </c>
      <c r="K1543">
        <v>2.3453117925326698E-3</v>
      </c>
      <c r="L1543" t="s">
        <v>26</v>
      </c>
      <c r="M1543" t="s">
        <v>27</v>
      </c>
      <c r="N1543">
        <v>1129.31887892742</v>
      </c>
      <c r="O1543">
        <v>932.32248106055897</v>
      </c>
      <c r="P1543">
        <v>1277.0661773275699</v>
      </c>
      <c r="Q1543">
        <v>825.16655318048402</v>
      </c>
      <c r="R1543">
        <v>960.65270259109195</v>
      </c>
      <c r="S1543">
        <v>1011.1481874101</v>
      </c>
      <c r="T1543">
        <v>1370.3034599588</v>
      </c>
      <c r="U1543">
        <v>1113.4535078604799</v>
      </c>
      <c r="V1543">
        <v>1310.1991041378101</v>
      </c>
      <c r="W1543">
        <v>1314.3086373531801</v>
      </c>
    </row>
    <row r="1544" spans="1:23" x14ac:dyDescent="0.2">
      <c r="A1544" t="s">
        <v>3097</v>
      </c>
      <c r="B1544" s="3" t="str">
        <f>HYPERLINK("http://www.ncbi.nlm.nih.gov/gene/217664","Mgat2")</f>
        <v>Mgat2</v>
      </c>
      <c r="C1544">
        <v>217664</v>
      </c>
      <c r="D1544" t="s">
        <v>3098</v>
      </c>
      <c r="E1544" s="3" t="str">
        <f>HYPERLINK("http://genome.ucsc.edu/cgi-bin/hgTracks?db=mm10&amp;lastVirtModeType=default&amp;lastVirtModeExtraState=&amp;virtModeType=default&amp;virtMode=0&amp;nonVirtPosition=&amp;position=chr12:69184157-69186773","chr12:69184157-69186773")</f>
        <v>chr12:69184157-69186773</v>
      </c>
      <c r="F1544" t="s">
        <v>30</v>
      </c>
      <c r="G1544">
        <v>-0.53169081781547001</v>
      </c>
      <c r="H1544">
        <v>0.14596441833804299</v>
      </c>
      <c r="I1544">
        <v>-3.6426056697195301</v>
      </c>
      <c r="J1544">
        <v>2.6989212697280498E-4</v>
      </c>
      <c r="K1544">
        <v>2.3453117925326698E-3</v>
      </c>
      <c r="L1544" t="s">
        <v>26</v>
      </c>
      <c r="M1544" t="s">
        <v>27</v>
      </c>
      <c r="N1544">
        <v>191.66587300102299</v>
      </c>
      <c r="O1544">
        <v>233.49966403652601</v>
      </c>
      <c r="P1544">
        <v>160.29052972439499</v>
      </c>
      <c r="Q1544">
        <v>255.01098607062201</v>
      </c>
      <c r="R1544">
        <v>213.14126287255999</v>
      </c>
      <c r="S1544">
        <v>232.34674316639499</v>
      </c>
      <c r="T1544">
        <v>160.40341504534399</v>
      </c>
      <c r="U1544">
        <v>177.72430990849901</v>
      </c>
      <c r="V1544">
        <v>161.108143630646</v>
      </c>
      <c r="W1544">
        <v>141.92625031309299</v>
      </c>
    </row>
    <row r="1545" spans="1:23" x14ac:dyDescent="0.2">
      <c r="A1545" t="s">
        <v>3099</v>
      </c>
      <c r="B1545" s="3" t="str">
        <f>HYPERLINK("http://www.ncbi.nlm.nih.gov/gene/238266","Syt16")</f>
        <v>Syt16</v>
      </c>
      <c r="C1545">
        <v>238266</v>
      </c>
      <c r="D1545" t="s">
        <v>3100</v>
      </c>
      <c r="E1545" s="3" t="str">
        <f>HYPERLINK("http://genome.ucsc.edu/cgi-bin/hgTracks?db=mm10&amp;lastVirtModeType=default&amp;lastVirtModeExtraState=&amp;virtModeType=default&amp;virtMode=0&amp;nonVirtPosition=&amp;position=chr12:73997760-74267916","chr12:73997760-74267916")</f>
        <v>chr12:73997760-74267916</v>
      </c>
      <c r="F1545" t="s">
        <v>30</v>
      </c>
      <c r="G1545">
        <v>-0.65824067047360102</v>
      </c>
      <c r="H1545">
        <v>0.18071455654051499</v>
      </c>
      <c r="I1545">
        <v>-3.6424330340319102</v>
      </c>
      <c r="J1545">
        <v>2.7007324951834502E-4</v>
      </c>
      <c r="K1545">
        <v>2.3453637381972499E-3</v>
      </c>
      <c r="L1545" t="s">
        <v>26</v>
      </c>
      <c r="M1545" t="s">
        <v>27</v>
      </c>
      <c r="N1545">
        <v>271.07126606694402</v>
      </c>
      <c r="O1545">
        <v>343.288385895153</v>
      </c>
      <c r="P1545">
        <v>216.908426195788</v>
      </c>
      <c r="Q1545">
        <v>412.02648404423599</v>
      </c>
      <c r="R1545">
        <v>333.744326206143</v>
      </c>
      <c r="S1545">
        <v>284.09434743507899</v>
      </c>
      <c r="T1545">
        <v>247.47955464138801</v>
      </c>
      <c r="U1545">
        <v>259.09206625215</v>
      </c>
      <c r="V1545">
        <v>180.970791475521</v>
      </c>
      <c r="W1545">
        <v>180.09129241409201</v>
      </c>
    </row>
    <row r="1546" spans="1:23" x14ac:dyDescent="0.2">
      <c r="A1546" t="s">
        <v>3101</v>
      </c>
      <c r="B1546" s="3" t="str">
        <f>HYPERLINK("http://www.ncbi.nlm.nih.gov/gene/52123","Agpat5")</f>
        <v>Agpat5</v>
      </c>
      <c r="C1546">
        <v>52123</v>
      </c>
      <c r="D1546" t="s">
        <v>3102</v>
      </c>
      <c r="E1546" s="3" t="str">
        <f>HYPERLINK("http://genome.ucsc.edu/cgi-bin/hgTracks?db=mm10&amp;lastVirtModeType=default&amp;lastVirtModeExtraState=&amp;virtModeType=default&amp;virtMode=0&amp;nonVirtPosition=&amp;position=chr8:18846278-18884413","chr8:18846278-18884413")</f>
        <v>chr8:18846278-18884413</v>
      </c>
      <c r="F1546" t="s">
        <v>30</v>
      </c>
      <c r="G1546">
        <v>-0.404445044332019</v>
      </c>
      <c r="H1546">
        <v>0.111047611852843</v>
      </c>
      <c r="I1546">
        <v>-3.64208682729691</v>
      </c>
      <c r="J1546">
        <v>2.7043681934831498E-4</v>
      </c>
      <c r="K1546">
        <v>2.3464405515618999E-3</v>
      </c>
      <c r="L1546" t="s">
        <v>26</v>
      </c>
      <c r="M1546" t="s">
        <v>27</v>
      </c>
      <c r="N1546">
        <v>462.15822696539198</v>
      </c>
      <c r="O1546">
        <v>536.40852419030898</v>
      </c>
      <c r="P1546">
        <v>406.47050404670398</v>
      </c>
      <c r="Q1546">
        <v>555.12216836770801</v>
      </c>
      <c r="R1546">
        <v>509.71860729665502</v>
      </c>
      <c r="S1546">
        <v>544.38479690656402</v>
      </c>
      <c r="T1546">
        <v>421.63183383347598</v>
      </c>
      <c r="U1546">
        <v>436.81637616064899</v>
      </c>
      <c r="V1546">
        <v>396.51730327360002</v>
      </c>
      <c r="W1546">
        <v>370.91650291909099</v>
      </c>
    </row>
    <row r="1547" spans="1:23" x14ac:dyDescent="0.2">
      <c r="A1547" t="s">
        <v>3103</v>
      </c>
      <c r="B1547" s="3" t="str">
        <f>HYPERLINK("http://www.ncbi.nlm.nih.gov/gene/69225","Naxd")</f>
        <v>Naxd</v>
      </c>
      <c r="C1547">
        <v>69225</v>
      </c>
      <c r="D1547" t="s">
        <v>3104</v>
      </c>
      <c r="E1547" s="3" t="str">
        <f>HYPERLINK("http://genome.ucsc.edu/cgi-bin/hgTracks?db=mm10&amp;lastVirtModeType=default&amp;lastVirtModeExtraState=&amp;virtModeType=default&amp;virtMode=0&amp;nonVirtPosition=&amp;position=chr8:11497567-11513286","chr8:11497567-11513286")</f>
        <v>chr8:11497567-11513286</v>
      </c>
      <c r="F1547" t="s">
        <v>30</v>
      </c>
      <c r="G1547">
        <v>-0.54413478231033796</v>
      </c>
      <c r="H1547">
        <v>0.14940625246780001</v>
      </c>
      <c r="I1547">
        <v>-3.6419813315885801</v>
      </c>
      <c r="J1547">
        <v>2.7054769708099302E-4</v>
      </c>
      <c r="K1547">
        <v>2.3464405515618999E-3</v>
      </c>
      <c r="L1547" t="s">
        <v>26</v>
      </c>
      <c r="M1547" t="s">
        <v>27</v>
      </c>
      <c r="N1547">
        <v>167.603807219255</v>
      </c>
      <c r="O1547">
        <v>208.43323186289001</v>
      </c>
      <c r="P1547">
        <v>136.981738736528</v>
      </c>
      <c r="Q1547">
        <v>215.478715304216</v>
      </c>
      <c r="R1547">
        <v>205.93541946583599</v>
      </c>
      <c r="S1547">
        <v>203.88556081861799</v>
      </c>
      <c r="T1547">
        <v>109.99091317395001</v>
      </c>
      <c r="U1547">
        <v>139.18168848255999</v>
      </c>
      <c r="V1547">
        <v>135.36026679469799</v>
      </c>
      <c r="W1547">
        <v>163.394086494905</v>
      </c>
    </row>
    <row r="1548" spans="1:23" x14ac:dyDescent="0.2">
      <c r="A1548" t="s">
        <v>3105</v>
      </c>
      <c r="B1548" s="3" t="str">
        <f>HYPERLINK("http://www.ncbi.nlm.nih.gov/gene/18671","Abcb1a")</f>
        <v>Abcb1a</v>
      </c>
      <c r="C1548">
        <v>18671</v>
      </c>
      <c r="D1548" t="s">
        <v>3106</v>
      </c>
      <c r="E1548" s="3" t="str">
        <f>HYPERLINK("http://genome.ucsc.edu/cgi-bin/hgTracks?db=mm10&amp;lastVirtModeType=default&amp;lastVirtModeExtraState=&amp;virtModeType=default&amp;virtMode=0&amp;nonVirtPosition=&amp;position=chr5:8660091-8748570","chr5:8660091-8748570")</f>
        <v>chr5:8660091-8748570</v>
      </c>
      <c r="F1548" t="s">
        <v>30</v>
      </c>
      <c r="G1548">
        <v>-1.05275142807878</v>
      </c>
      <c r="H1548">
        <v>0.28907644970451402</v>
      </c>
      <c r="I1548">
        <v>-3.6417751399495599</v>
      </c>
      <c r="J1548">
        <v>2.7076453093896797E-4</v>
      </c>
      <c r="K1548">
        <v>2.34680118692797E-3</v>
      </c>
      <c r="L1548" t="s">
        <v>26</v>
      </c>
      <c r="M1548" t="s">
        <v>27</v>
      </c>
      <c r="N1548">
        <v>52.147994416741902</v>
      </c>
      <c r="O1548">
        <v>78.072997770042804</v>
      </c>
      <c r="P1548">
        <v>32.704241901765997</v>
      </c>
      <c r="Q1548">
        <v>106.347376287093</v>
      </c>
      <c r="R1548">
        <v>80.781297138532395</v>
      </c>
      <c r="S1548">
        <v>47.090319884503103</v>
      </c>
      <c r="T1548">
        <v>36.663637724650101</v>
      </c>
      <c r="U1548">
        <v>21.412567458855399</v>
      </c>
      <c r="V1548">
        <v>34.575720322558801</v>
      </c>
      <c r="W1548">
        <v>38.165042100999699</v>
      </c>
    </row>
    <row r="1549" spans="1:23" x14ac:dyDescent="0.2">
      <c r="A1549" t="s">
        <v>3107</v>
      </c>
      <c r="B1549" s="3" t="str">
        <f>HYPERLINK("http://www.ncbi.nlm.nih.gov/gene/56517","Slc22a21")</f>
        <v>Slc22a21</v>
      </c>
      <c r="C1549">
        <v>56517</v>
      </c>
      <c r="D1549" t="s">
        <v>3108</v>
      </c>
      <c r="E1549" s="3" t="str">
        <f>HYPERLINK("http://genome.ucsc.edu/cgi-bin/hgTracks?db=mm10&amp;lastVirtModeType=default&amp;lastVirtModeExtraState=&amp;virtModeType=default&amp;virtMode=0&amp;nonVirtPosition=&amp;position=chr11:53950823-53980027","chr11:53950823-53980027")</f>
        <v>chr11:53950823-53980027</v>
      </c>
      <c r="F1549" t="s">
        <v>25</v>
      </c>
      <c r="G1549">
        <v>1.12437341812674</v>
      </c>
      <c r="H1549">
        <v>0.30877744268648999</v>
      </c>
      <c r="I1549">
        <v>3.6413716246375798</v>
      </c>
      <c r="J1549">
        <v>2.7118934437355601E-4</v>
      </c>
      <c r="K1549">
        <v>2.3480545397118898E-3</v>
      </c>
      <c r="L1549" t="s">
        <v>26</v>
      </c>
      <c r="M1549" t="s">
        <v>27</v>
      </c>
      <c r="N1549">
        <v>25.706260280307799</v>
      </c>
      <c r="O1549">
        <v>12.745196310489799</v>
      </c>
      <c r="P1549">
        <v>35.427058257671199</v>
      </c>
      <c r="Q1549">
        <v>10.0222658281031</v>
      </c>
      <c r="R1549">
        <v>10.619137652013601</v>
      </c>
      <c r="S1549">
        <v>17.5941854513528</v>
      </c>
      <c r="T1549">
        <v>50.4125018713939</v>
      </c>
      <c r="U1549">
        <v>34.260107934168602</v>
      </c>
      <c r="V1549">
        <v>27.219184083716499</v>
      </c>
      <c r="W1549">
        <v>29.816439141406001</v>
      </c>
    </row>
    <row r="1550" spans="1:23" x14ac:dyDescent="0.2">
      <c r="A1550" t="s">
        <v>3109</v>
      </c>
      <c r="B1550" s="3" t="str">
        <f>HYPERLINK("http://www.ncbi.nlm.nih.gov/gene/19664","Rbpj")</f>
        <v>Rbpj</v>
      </c>
      <c r="C1550">
        <v>19664</v>
      </c>
      <c r="D1550" t="s">
        <v>3110</v>
      </c>
      <c r="E1550" s="3" t="str">
        <f>HYPERLINK("http://genome.ucsc.edu/cgi-bin/hgTracks?db=mm10&amp;lastVirtModeType=default&amp;lastVirtModeExtraState=&amp;virtModeType=default&amp;virtMode=0&amp;nonVirtPosition=&amp;position=chr5:53590345-53657445","chr5:53590345-53657445")</f>
        <v>chr5:53590345-53657445</v>
      </c>
      <c r="F1550" t="s">
        <v>30</v>
      </c>
      <c r="G1550">
        <v>0.56412226859204595</v>
      </c>
      <c r="H1550">
        <v>0.15492311418119101</v>
      </c>
      <c r="I1550">
        <v>3.64130473088911</v>
      </c>
      <c r="J1550">
        <v>2.7125982920874403E-4</v>
      </c>
      <c r="K1550">
        <v>2.3480545397118898E-3</v>
      </c>
      <c r="L1550" t="s">
        <v>26</v>
      </c>
      <c r="M1550" t="s">
        <v>27</v>
      </c>
      <c r="N1550">
        <v>160.54465570536101</v>
      </c>
      <c r="O1550">
        <v>125.031132768489</v>
      </c>
      <c r="P1550">
        <v>187.179797908014</v>
      </c>
      <c r="Q1550">
        <v>111.358509201145</v>
      </c>
      <c r="R1550">
        <v>124.01635757887399</v>
      </c>
      <c r="S1550">
        <v>139.71853152544901</v>
      </c>
      <c r="T1550">
        <v>197.06705276999401</v>
      </c>
      <c r="U1550">
        <v>162.735512687301</v>
      </c>
      <c r="V1550">
        <v>205.2473610637</v>
      </c>
      <c r="W1550">
        <v>183.66926511106101</v>
      </c>
    </row>
    <row r="1551" spans="1:23" x14ac:dyDescent="0.2">
      <c r="A1551" t="s">
        <v>3111</v>
      </c>
      <c r="B1551" s="3" t="str">
        <f>HYPERLINK("http://www.ncbi.nlm.nih.gov/gene/214895","Lman2l")</f>
        <v>Lman2l</v>
      </c>
      <c r="C1551">
        <v>214895</v>
      </c>
      <c r="D1551" t="s">
        <v>3112</v>
      </c>
      <c r="E1551" s="3" t="str">
        <f>HYPERLINK("http://genome.ucsc.edu/cgi-bin/hgTracks?db=mm10&amp;lastVirtModeType=default&amp;lastVirtModeExtraState=&amp;virtModeType=default&amp;virtMode=0&amp;nonVirtPosition=&amp;position=chr1:36423185-36445271","chr1:36423185-36445271")</f>
        <v>chr1:36423185-36445271</v>
      </c>
      <c r="F1551" t="s">
        <v>25</v>
      </c>
      <c r="G1551">
        <v>0.73508275098502696</v>
      </c>
      <c r="H1551">
        <v>0.20189656832651701</v>
      </c>
      <c r="I1551">
        <v>3.6408877925860299</v>
      </c>
      <c r="J1551">
        <v>2.7169953738809E-4</v>
      </c>
      <c r="K1551">
        <v>2.34891685744923E-3</v>
      </c>
      <c r="L1551" t="s">
        <v>26</v>
      </c>
      <c r="M1551" t="s">
        <v>27</v>
      </c>
      <c r="N1551">
        <v>146.30963458102499</v>
      </c>
      <c r="O1551">
        <v>104.330437268015</v>
      </c>
      <c r="P1551">
        <v>177.794032565783</v>
      </c>
      <c r="Q1551">
        <v>123.051152667265</v>
      </c>
      <c r="R1551">
        <v>70.920669318805395</v>
      </c>
      <c r="S1551">
        <v>119.019489817975</v>
      </c>
      <c r="T1551">
        <v>155.82046032976299</v>
      </c>
      <c r="U1551">
        <v>188.43059363792699</v>
      </c>
      <c r="V1551">
        <v>177.292523356099</v>
      </c>
      <c r="W1551">
        <v>189.63255293934199</v>
      </c>
    </row>
    <row r="1552" spans="1:23" x14ac:dyDescent="0.2">
      <c r="A1552" t="s">
        <v>3113</v>
      </c>
      <c r="B1552" s="3" t="str">
        <f>HYPERLINK("http://www.ncbi.nlm.nih.gov/gene/14088","Fancc")</f>
        <v>Fancc</v>
      </c>
      <c r="C1552">
        <v>14088</v>
      </c>
      <c r="D1552" t="s">
        <v>3114</v>
      </c>
      <c r="E1552" s="3" t="str">
        <f>HYPERLINK("http://genome.ucsc.edu/cgi-bin/hgTracks?db=mm10&amp;lastVirtModeType=default&amp;lastVirtModeExtraState=&amp;virtModeType=default&amp;virtMode=0&amp;nonVirtPosition=&amp;position=chr13:63311536-63431745","chr13:63311536-63431745")</f>
        <v>chr13:63311536-63431745</v>
      </c>
      <c r="F1552" t="s">
        <v>25</v>
      </c>
      <c r="G1552">
        <v>0.73947890788261195</v>
      </c>
      <c r="H1552">
        <v>0.203104576458321</v>
      </c>
      <c r="I1552">
        <v>3.64087762460812</v>
      </c>
      <c r="J1552">
        <v>2.7171026900073601E-4</v>
      </c>
      <c r="K1552">
        <v>2.34891685744923E-3</v>
      </c>
      <c r="L1552" t="s">
        <v>26</v>
      </c>
      <c r="M1552" t="s">
        <v>27</v>
      </c>
      <c r="N1552">
        <v>117.553308604577</v>
      </c>
      <c r="O1552">
        <v>81.716841619256897</v>
      </c>
      <c r="P1552">
        <v>144.43065884356801</v>
      </c>
      <c r="Q1552">
        <v>65.701520428675593</v>
      </c>
      <c r="R1552">
        <v>76.988747977098996</v>
      </c>
      <c r="S1552">
        <v>102.460256451996</v>
      </c>
      <c r="T1552">
        <v>183.31818862325099</v>
      </c>
      <c r="U1552">
        <v>109.204094040162</v>
      </c>
      <c r="V1552">
        <v>145.65941752907801</v>
      </c>
      <c r="W1552">
        <v>139.54093518177999</v>
      </c>
    </row>
    <row r="1553" spans="1:23" x14ac:dyDescent="0.2">
      <c r="A1553" t="s">
        <v>3115</v>
      </c>
      <c r="B1553" s="3" t="str">
        <f>HYPERLINK("http://www.ncbi.nlm.nih.gov/gene/433759","Hdac1")</f>
        <v>Hdac1</v>
      </c>
      <c r="C1553">
        <v>433759</v>
      </c>
      <c r="D1553" t="s">
        <v>3116</v>
      </c>
      <c r="E1553" s="3" t="str">
        <f>HYPERLINK("http://genome.ucsc.edu/cgi-bin/hgTracks?db=mm10&amp;lastVirtModeType=default&amp;lastVirtModeExtraState=&amp;virtModeType=default&amp;virtMode=0&amp;nonVirtPosition=&amp;position=chr4:129516103-129542646","chr4:129516103-129542646")</f>
        <v>chr4:129516103-129542646</v>
      </c>
      <c r="F1553" t="s">
        <v>25</v>
      </c>
      <c r="G1553">
        <v>0.86623766729241403</v>
      </c>
      <c r="H1553">
        <v>0.23800395038553099</v>
      </c>
      <c r="I1553">
        <v>3.63959365333743</v>
      </c>
      <c r="J1553">
        <v>2.7306861100896999E-4</v>
      </c>
      <c r="K1553">
        <v>2.3591366258200802E-3</v>
      </c>
      <c r="L1553" t="s">
        <v>26</v>
      </c>
      <c r="M1553" t="s">
        <v>27</v>
      </c>
      <c r="N1553">
        <v>87.132363959127204</v>
      </c>
      <c r="O1553">
        <v>56.795288171254597</v>
      </c>
      <c r="P1553">
        <v>109.885170800032</v>
      </c>
      <c r="Q1553">
        <v>42.873026042440799</v>
      </c>
      <c r="R1553">
        <v>46.269099769488001</v>
      </c>
      <c r="S1553">
        <v>81.243738701835099</v>
      </c>
      <c r="T1553">
        <v>100.825003742788</v>
      </c>
      <c r="U1553">
        <v>126.33414800724699</v>
      </c>
      <c r="V1553">
        <v>116.96892619759301</v>
      </c>
      <c r="W1553">
        <v>95.412605252499205</v>
      </c>
    </row>
    <row r="1554" spans="1:23" x14ac:dyDescent="0.2">
      <c r="A1554" t="s">
        <v>3117</v>
      </c>
      <c r="B1554" s="3" t="str">
        <f>HYPERLINK("http://www.ncbi.nlm.nih.gov/gene/12416","Cbx2")</f>
        <v>Cbx2</v>
      </c>
      <c r="C1554">
        <v>12416</v>
      </c>
      <c r="D1554" t="s">
        <v>3118</v>
      </c>
      <c r="E1554" s="3" t="str">
        <f>HYPERLINK("http://genome.ucsc.edu/cgi-bin/hgTracks?db=mm10&amp;lastVirtModeType=default&amp;lastVirtModeExtraState=&amp;virtModeType=default&amp;virtMode=0&amp;nonVirtPosition=&amp;position=chr11:119023020-119031275","chr11:119023020-119031275")</f>
        <v>chr11:119023020-119031275</v>
      </c>
      <c r="F1554" t="s">
        <v>30</v>
      </c>
      <c r="G1554">
        <v>0.96695099156792497</v>
      </c>
      <c r="H1554">
        <v>0.265860669589849</v>
      </c>
      <c r="I1554">
        <v>3.6370591899120202</v>
      </c>
      <c r="J1554">
        <v>2.7576857807351703E-4</v>
      </c>
      <c r="K1554">
        <v>2.3809265177191898E-3</v>
      </c>
      <c r="L1554" t="s">
        <v>26</v>
      </c>
      <c r="M1554" t="s">
        <v>27</v>
      </c>
      <c r="N1554">
        <v>57.258405136785697</v>
      </c>
      <c r="O1554">
        <v>35.805563885363902</v>
      </c>
      <c r="P1554">
        <v>73.348036075352098</v>
      </c>
      <c r="Q1554">
        <v>25.055664570257601</v>
      </c>
      <c r="R1554">
        <v>35.270707201331</v>
      </c>
      <c r="S1554">
        <v>47.090319884503103</v>
      </c>
      <c r="T1554">
        <v>41.246592440231403</v>
      </c>
      <c r="U1554">
        <v>70.661472614222703</v>
      </c>
      <c r="V1554">
        <v>86.071473994454905</v>
      </c>
      <c r="W1554">
        <v>95.412605252499205</v>
      </c>
    </row>
    <row r="1555" spans="1:23" x14ac:dyDescent="0.2">
      <c r="A1555" t="s">
        <v>3119</v>
      </c>
      <c r="B1555" s="3" t="str">
        <f>HYPERLINK("http://www.ncbi.nlm.nih.gov/gene/14739","S1pr2")</f>
        <v>S1pr2</v>
      </c>
      <c r="C1555">
        <v>14739</v>
      </c>
      <c r="D1555" t="s">
        <v>3120</v>
      </c>
      <c r="E1555" s="3" t="str">
        <f>HYPERLINK("http://genome.ucsc.edu/cgi-bin/hgTracks?db=mm10&amp;lastVirtModeType=default&amp;lastVirtModeExtraState=&amp;virtModeType=default&amp;virtMode=0&amp;nonVirtPosition=&amp;position=chr9:20965951-20976793","chr9:20965951-20976793")</f>
        <v>chr9:20965951-20976793</v>
      </c>
      <c r="F1555" t="s">
        <v>25</v>
      </c>
      <c r="G1555">
        <v>-0.53212605384637202</v>
      </c>
      <c r="H1555">
        <v>0.14632626592415501</v>
      </c>
      <c r="I1555">
        <v>-3.63657235757104</v>
      </c>
      <c r="J1555">
        <v>2.7629005725634702E-4</v>
      </c>
      <c r="K1555">
        <v>2.3829123621269201E-3</v>
      </c>
      <c r="L1555" t="s">
        <v>26</v>
      </c>
      <c r="M1555" t="s">
        <v>27</v>
      </c>
      <c r="N1555">
        <v>441.86792889830798</v>
      </c>
      <c r="O1555">
        <v>544.65700479847305</v>
      </c>
      <c r="P1555">
        <v>364.77612197318501</v>
      </c>
      <c r="Q1555">
        <v>596.88160931813695</v>
      </c>
      <c r="R1555">
        <v>462.69099769488002</v>
      </c>
      <c r="S1555">
        <v>574.39840738240105</v>
      </c>
      <c r="T1555">
        <v>284.14319236603802</v>
      </c>
      <c r="U1555">
        <v>402.556268226481</v>
      </c>
      <c r="V1555">
        <v>403.87383951244198</v>
      </c>
      <c r="W1555">
        <v>368.53118778777798</v>
      </c>
    </row>
    <row r="1556" spans="1:23" x14ac:dyDescent="0.2">
      <c r="A1556" t="s">
        <v>3121</v>
      </c>
      <c r="B1556" s="3" t="str">
        <f>HYPERLINK("http://www.ncbi.nlm.nih.gov/gene/20300","Ccl25")</f>
        <v>Ccl25</v>
      </c>
      <c r="C1556">
        <v>20300</v>
      </c>
      <c r="D1556" t="s">
        <v>3122</v>
      </c>
      <c r="E1556" s="3" t="str">
        <f>HYPERLINK("http://genome.ucsc.edu/cgi-bin/hgTracks?db=mm10&amp;lastVirtModeType=default&amp;lastVirtModeExtraState=&amp;virtModeType=default&amp;virtMode=0&amp;nonVirtPosition=&amp;position=chr8:4349587-4360020","chr8:4349587-4360020")</f>
        <v>chr8:4349587-4360020</v>
      </c>
      <c r="F1556" t="s">
        <v>30</v>
      </c>
      <c r="G1556">
        <v>0.70120128631737</v>
      </c>
      <c r="H1556">
        <v>0.19282247221719701</v>
      </c>
      <c r="I1556">
        <v>3.6365122708702202</v>
      </c>
      <c r="J1556">
        <v>2.7635448423441898E-4</v>
      </c>
      <c r="K1556">
        <v>2.3829123621269201E-3</v>
      </c>
      <c r="L1556" t="s">
        <v>26</v>
      </c>
      <c r="M1556" t="s">
        <v>27</v>
      </c>
      <c r="N1556">
        <v>101.947053989501</v>
      </c>
      <c r="O1556">
        <v>73.062530775716596</v>
      </c>
      <c r="P1556">
        <v>123.61044639983901</v>
      </c>
      <c r="Q1556">
        <v>59.0200098766068</v>
      </c>
      <c r="R1556">
        <v>71.6791791510921</v>
      </c>
      <c r="S1556">
        <v>88.488403299450994</v>
      </c>
      <c r="T1556">
        <v>119.15682260511301</v>
      </c>
      <c r="U1556">
        <v>143.46420197433099</v>
      </c>
      <c r="V1556">
        <v>112.555004454287</v>
      </c>
      <c r="W1556">
        <v>119.265756565624</v>
      </c>
    </row>
    <row r="1557" spans="1:23" x14ac:dyDescent="0.2">
      <c r="A1557" t="s">
        <v>3123</v>
      </c>
      <c r="B1557" s="3" t="str">
        <f>HYPERLINK("http://www.ncbi.nlm.nih.gov/gene/28250","Slco1a4")</f>
        <v>Slco1a4</v>
      </c>
      <c r="C1557">
        <v>28250</v>
      </c>
      <c r="D1557" t="s">
        <v>3124</v>
      </c>
      <c r="E1557" s="3" t="str">
        <f>HYPERLINK("http://genome.ucsc.edu/cgi-bin/hgTracks?db=mm10&amp;lastVirtModeType=default&amp;lastVirtModeExtraState=&amp;virtModeType=default&amp;virtMode=0&amp;nonVirtPosition=&amp;position=chr6:141805439-141856171","chr6:141805439-141856171")</f>
        <v>chr6:141805439-141856171</v>
      </c>
      <c r="F1557" t="s">
        <v>25</v>
      </c>
      <c r="G1557">
        <v>-1.18534761113038</v>
      </c>
      <c r="H1557">
        <v>0.32618748315002599</v>
      </c>
      <c r="I1557">
        <v>-3.6339457286446399</v>
      </c>
      <c r="J1557">
        <v>2.7911959831803198E-4</v>
      </c>
      <c r="K1557">
        <v>2.4052062683891599E-3</v>
      </c>
      <c r="L1557" t="s">
        <v>26</v>
      </c>
      <c r="M1557" t="s">
        <v>27</v>
      </c>
      <c r="N1557">
        <v>43.300736812358103</v>
      </c>
      <c r="O1557">
        <v>69.513848614037997</v>
      </c>
      <c r="P1557">
        <v>23.640902961098099</v>
      </c>
      <c r="Q1557">
        <v>96.881903004996104</v>
      </c>
      <c r="R1557">
        <v>76.988747977098996</v>
      </c>
      <c r="S1557">
        <v>34.670894860018798</v>
      </c>
      <c r="T1557">
        <v>13.7488641467438</v>
      </c>
      <c r="U1557">
        <v>27.836337696512</v>
      </c>
      <c r="V1557">
        <v>18.391340597105799</v>
      </c>
      <c r="W1557">
        <v>34.587069404030998</v>
      </c>
    </row>
    <row r="1558" spans="1:23" x14ac:dyDescent="0.2">
      <c r="A1558" t="s">
        <v>3125</v>
      </c>
      <c r="B1558" s="3" t="str">
        <f>HYPERLINK("http://www.ncbi.nlm.nih.gov/gene/74211","1700017B05Rik")</f>
        <v>1700017B05Rik</v>
      </c>
      <c r="C1558">
        <v>74211</v>
      </c>
      <c r="D1558" t="s">
        <v>3126</v>
      </c>
      <c r="E1558" s="3" t="str">
        <f>HYPERLINK("http://genome.ucsc.edu/cgi-bin/hgTracks?db=mm10&amp;lastVirtModeType=default&amp;lastVirtModeExtraState=&amp;virtModeType=default&amp;virtMode=0&amp;nonVirtPosition=&amp;position=chr9:57252321-57262599","chr9:57252321-57262599")</f>
        <v>chr9:57252321-57262599</v>
      </c>
      <c r="F1558" t="s">
        <v>25</v>
      </c>
      <c r="G1558">
        <v>0.60741254586948001</v>
      </c>
      <c r="H1558">
        <v>0.16731232283359099</v>
      </c>
      <c r="I1558">
        <v>3.6304112905874399</v>
      </c>
      <c r="J1558">
        <v>2.8296994900311502E-4</v>
      </c>
      <c r="K1558">
        <v>2.43681709781396E-3</v>
      </c>
      <c r="L1558" t="s">
        <v>26</v>
      </c>
      <c r="M1558" t="s">
        <v>27</v>
      </c>
      <c r="N1558">
        <v>135.761783049028</v>
      </c>
      <c r="O1558">
        <v>104.213316030348</v>
      </c>
      <c r="P1558">
        <v>159.42313331303799</v>
      </c>
      <c r="Q1558">
        <v>103.563413557065</v>
      </c>
      <c r="R1558">
        <v>87.987140545255997</v>
      </c>
      <c r="S1558">
        <v>121.08939398872199</v>
      </c>
      <c r="T1558">
        <v>142.07159618301901</v>
      </c>
      <c r="U1558">
        <v>164.87676943318601</v>
      </c>
      <c r="V1558">
        <v>162.579450878415</v>
      </c>
      <c r="W1558">
        <v>168.16471675752999</v>
      </c>
    </row>
    <row r="1559" spans="1:23" x14ac:dyDescent="0.2">
      <c r="A1559" t="s">
        <v>3127</v>
      </c>
      <c r="B1559" s="3" t="str">
        <f>HYPERLINK("http://www.ncbi.nlm.nih.gov/gene/67374","Jam2")</f>
        <v>Jam2</v>
      </c>
      <c r="C1559">
        <v>67374</v>
      </c>
      <c r="D1559" t="s">
        <v>3128</v>
      </c>
      <c r="E1559" s="3" t="str">
        <f>HYPERLINK("http://genome.ucsc.edu/cgi-bin/hgTracks?db=mm10&amp;lastVirtModeType=default&amp;lastVirtModeExtraState=&amp;virtModeType=default&amp;virtMode=0&amp;nonVirtPosition=&amp;position=chr16:84774122-84826375","chr16:84774122-84826375")</f>
        <v>chr16:84774122-84826375</v>
      </c>
      <c r="F1559" t="s">
        <v>30</v>
      </c>
      <c r="G1559">
        <v>-0.77572502789991005</v>
      </c>
      <c r="H1559">
        <v>0.213688072058491</v>
      </c>
      <c r="I1559">
        <v>-3.6301746767015399</v>
      </c>
      <c r="J1559">
        <v>2.8322948100605098E-4</v>
      </c>
      <c r="K1559">
        <v>2.4374845630797102E-3</v>
      </c>
      <c r="L1559" t="s">
        <v>26</v>
      </c>
      <c r="M1559" t="s">
        <v>27</v>
      </c>
      <c r="N1559">
        <v>817.36057944774495</v>
      </c>
      <c r="O1559">
        <v>1094.80491797063</v>
      </c>
      <c r="P1559">
        <v>609.27732555558498</v>
      </c>
      <c r="Q1559">
        <v>1603.5625324964899</v>
      </c>
      <c r="R1559">
        <v>827.53422702477803</v>
      </c>
      <c r="S1559">
        <v>853.31799439061194</v>
      </c>
      <c r="T1559">
        <v>572.86933944765804</v>
      </c>
      <c r="U1559">
        <v>571.71555115143804</v>
      </c>
      <c r="V1559">
        <v>731.97535576480902</v>
      </c>
      <c r="W1559">
        <v>560.54905585843301</v>
      </c>
    </row>
    <row r="1560" spans="1:23" x14ac:dyDescent="0.2">
      <c r="A1560" t="s">
        <v>3129</v>
      </c>
      <c r="B1560" s="3" t="str">
        <f>HYPERLINK("http://www.ncbi.nlm.nih.gov/gene/13171","Dbt")</f>
        <v>Dbt</v>
      </c>
      <c r="C1560">
        <v>13171</v>
      </c>
      <c r="D1560" t="s">
        <v>3130</v>
      </c>
      <c r="E1560" s="3" t="str">
        <f>HYPERLINK("http://genome.ucsc.edu/cgi-bin/hgTracks?db=mm10&amp;lastVirtModeType=default&amp;lastVirtModeExtraState=&amp;virtModeType=default&amp;virtMode=0&amp;nonVirtPosition=&amp;position=chr3:116513078-116549981","chr3:116513078-116549981")</f>
        <v>chr3:116513078-116549981</v>
      </c>
      <c r="F1560" t="s">
        <v>30</v>
      </c>
      <c r="G1560">
        <v>-0.72099971480180003</v>
      </c>
      <c r="H1560">
        <v>0.19864567368795</v>
      </c>
      <c r="I1560">
        <v>-3.62957673034657</v>
      </c>
      <c r="J1560">
        <v>2.8388633800601902E-4</v>
      </c>
      <c r="K1560">
        <v>2.4406298707178101E-3</v>
      </c>
      <c r="L1560" t="s">
        <v>26</v>
      </c>
      <c r="M1560" t="s">
        <v>27</v>
      </c>
      <c r="N1560">
        <v>105.10972963460701</v>
      </c>
      <c r="O1560">
        <v>137.248759053447</v>
      </c>
      <c r="P1560">
        <v>81.005457570477006</v>
      </c>
      <c r="Q1560">
        <v>135.30058867939101</v>
      </c>
      <c r="R1560">
        <v>155.873770534915</v>
      </c>
      <c r="S1560">
        <v>120.571917946035</v>
      </c>
      <c r="T1560">
        <v>68.744320733718993</v>
      </c>
      <c r="U1560">
        <v>111.345350786048</v>
      </c>
      <c r="V1560">
        <v>73.565362388422997</v>
      </c>
      <c r="W1560">
        <v>70.366796373718103</v>
      </c>
    </row>
    <row r="1561" spans="1:23" x14ac:dyDescent="0.2">
      <c r="A1561" t="s">
        <v>3131</v>
      </c>
      <c r="B1561" s="3" t="str">
        <f>HYPERLINK("http://www.ncbi.nlm.nih.gov/gene/12520","Cd81")</f>
        <v>Cd81</v>
      </c>
      <c r="C1561">
        <v>12520</v>
      </c>
      <c r="D1561" t="s">
        <v>3132</v>
      </c>
      <c r="E1561" s="3" t="str">
        <f>HYPERLINK("http://genome.ucsc.edu/cgi-bin/hgTracks?db=mm10&amp;lastVirtModeType=default&amp;lastVirtModeExtraState=&amp;virtModeType=default&amp;virtMode=0&amp;nonVirtPosition=&amp;position=chr7:143052749-143067930","chr7:143052749-143067930")</f>
        <v>chr7:143052749-143067930</v>
      </c>
      <c r="F1561" t="s">
        <v>30</v>
      </c>
      <c r="G1561">
        <v>-0.60972299570109001</v>
      </c>
      <c r="H1561">
        <v>0.16799043305421299</v>
      </c>
      <c r="I1561">
        <v>-3.6295102323137902</v>
      </c>
      <c r="J1561">
        <v>2.8395947566114201E-4</v>
      </c>
      <c r="K1561">
        <v>2.4406298707178101E-3</v>
      </c>
      <c r="L1561" t="s">
        <v>26</v>
      </c>
      <c r="M1561" t="s">
        <v>27</v>
      </c>
      <c r="N1561">
        <v>1896.6839759178399</v>
      </c>
      <c r="O1561">
        <v>2386.4669307644699</v>
      </c>
      <c r="P1561">
        <v>1529.3467597828701</v>
      </c>
      <c r="Q1561">
        <v>3083.5171197796999</v>
      </c>
      <c r="R1561">
        <v>1896.27458071672</v>
      </c>
      <c r="S1561">
        <v>2179.609091797</v>
      </c>
      <c r="T1561">
        <v>1361.1375505276401</v>
      </c>
      <c r="U1561">
        <v>1657.3327213154</v>
      </c>
      <c r="V1561">
        <v>1510.2968898343199</v>
      </c>
      <c r="W1561">
        <v>1588.6198774541101</v>
      </c>
    </row>
    <row r="1562" spans="1:23" x14ac:dyDescent="0.2">
      <c r="A1562" t="s">
        <v>3133</v>
      </c>
      <c r="B1562" s="3" t="str">
        <f>HYPERLINK("http://www.ncbi.nlm.nih.gov/gene/72900","Ndufv2")</f>
        <v>Ndufv2</v>
      </c>
      <c r="C1562">
        <v>72900</v>
      </c>
      <c r="D1562" t="s">
        <v>3134</v>
      </c>
      <c r="E1562" s="3" t="str">
        <f>HYPERLINK("http://genome.ucsc.edu/cgi-bin/hgTracks?db=mm10&amp;lastVirtModeType=default&amp;lastVirtModeExtraState=&amp;virtModeType=default&amp;virtMode=0&amp;nonVirtPosition=&amp;position=chr17:66078794-66101559","chr17:66078794-66101559")</f>
        <v>chr17:66078794-66101559</v>
      </c>
      <c r="F1562" t="s">
        <v>25</v>
      </c>
      <c r="G1562">
        <v>-0.607052301194967</v>
      </c>
      <c r="H1562">
        <v>0.16727346706222501</v>
      </c>
      <c r="I1562">
        <v>-3.6291009677532799</v>
      </c>
      <c r="J1562">
        <v>2.8440999285217402E-4</v>
      </c>
      <c r="K1562">
        <v>2.442934069457E-3</v>
      </c>
      <c r="L1562" t="s">
        <v>26</v>
      </c>
      <c r="M1562" t="s">
        <v>27</v>
      </c>
      <c r="N1562">
        <v>425.96185174786001</v>
      </c>
      <c r="O1562">
        <v>535.94481736130297</v>
      </c>
      <c r="P1562">
        <v>343.47462753777802</v>
      </c>
      <c r="Q1562">
        <v>437.6389411605</v>
      </c>
      <c r="R1562">
        <v>673.93598598672304</v>
      </c>
      <c r="S1562">
        <v>496.259524936687</v>
      </c>
      <c r="T1562">
        <v>316.22387537510701</v>
      </c>
      <c r="U1562">
        <v>372.57867378408298</v>
      </c>
      <c r="V1562">
        <v>377.39030905261001</v>
      </c>
      <c r="W1562">
        <v>307.70565193930997</v>
      </c>
    </row>
    <row r="1563" spans="1:23" x14ac:dyDescent="0.2">
      <c r="A1563" t="s">
        <v>3135</v>
      </c>
      <c r="B1563" s="3" t="str">
        <f>HYPERLINK("http://www.ncbi.nlm.nih.gov/gene/20271","Scn5a")</f>
        <v>Scn5a</v>
      </c>
      <c r="C1563">
        <v>20271</v>
      </c>
      <c r="D1563" t="s">
        <v>3136</v>
      </c>
      <c r="E1563" s="3" t="str">
        <f>HYPERLINK("http://genome.ucsc.edu/cgi-bin/hgTracks?db=mm10&amp;lastVirtModeType=default&amp;lastVirtModeExtraState=&amp;virtModeType=default&amp;virtMode=0&amp;nonVirtPosition=&amp;position=chr9:119483407-119579016","chr9:119483407-119579016")</f>
        <v>chr9:119483407-119579016</v>
      </c>
      <c r="F1563" t="s">
        <v>25</v>
      </c>
      <c r="G1563">
        <v>1.0384191208139799</v>
      </c>
      <c r="H1563">
        <v>0.286170265360916</v>
      </c>
      <c r="I1563">
        <v>3.6286758147438101</v>
      </c>
      <c r="J1563">
        <v>2.8487870914512101E-4</v>
      </c>
      <c r="K1563">
        <v>2.4453915347194301E-3</v>
      </c>
      <c r="L1563" t="s">
        <v>26</v>
      </c>
      <c r="M1563" t="s">
        <v>27</v>
      </c>
      <c r="N1563">
        <v>24.1071657760851</v>
      </c>
      <c r="O1563">
        <v>14.0258188911452</v>
      </c>
      <c r="P1563">
        <v>31.66817593979</v>
      </c>
      <c r="Q1563">
        <v>15.5901912881603</v>
      </c>
      <c r="R1563">
        <v>12.5154122327304</v>
      </c>
      <c r="S1563">
        <v>13.971853152544901</v>
      </c>
      <c r="T1563">
        <v>27.497728293487601</v>
      </c>
      <c r="U1563">
        <v>32.118851188283003</v>
      </c>
      <c r="V1563">
        <v>36.047027570327302</v>
      </c>
      <c r="W1563">
        <v>31.009096707062199</v>
      </c>
    </row>
    <row r="1564" spans="1:23" x14ac:dyDescent="0.2">
      <c r="A1564" t="s">
        <v>3137</v>
      </c>
      <c r="B1564" s="3" t="str">
        <f>HYPERLINK("http://www.ncbi.nlm.nih.gov/gene/18952","Sept4")</f>
        <v>Sept4</v>
      </c>
      <c r="C1564">
        <v>18952</v>
      </c>
      <c r="D1564" t="s">
        <v>3138</v>
      </c>
      <c r="E1564" s="3" t="str">
        <f>HYPERLINK("http://genome.ucsc.edu/cgi-bin/hgTracks?db=mm10&amp;lastVirtModeType=default&amp;lastVirtModeExtraState=&amp;virtModeType=default&amp;virtMode=0&amp;nonVirtPosition=&amp;position=chr11:87581060-87590539","chr11:87581060-87590539")</f>
        <v>chr11:87581060-87590539</v>
      </c>
      <c r="F1564" t="s">
        <v>30</v>
      </c>
      <c r="G1564">
        <v>-0.98483824233662298</v>
      </c>
      <c r="H1564">
        <v>0.27144299331204602</v>
      </c>
      <c r="I1564">
        <v>-3.62815864325689</v>
      </c>
      <c r="J1564">
        <v>2.8544984824286599E-4</v>
      </c>
      <c r="K1564">
        <v>2.4487244829085298E-3</v>
      </c>
      <c r="L1564" t="s">
        <v>26</v>
      </c>
      <c r="M1564" t="s">
        <v>27</v>
      </c>
      <c r="N1564">
        <v>152.359328436157</v>
      </c>
      <c r="O1564">
        <v>220.31139135929101</v>
      </c>
      <c r="P1564">
        <v>101.395281243806</v>
      </c>
      <c r="Q1564">
        <v>197.10456128602701</v>
      </c>
      <c r="R1564">
        <v>347.39750318730398</v>
      </c>
      <c r="S1564">
        <v>116.432109604541</v>
      </c>
      <c r="T1564">
        <v>109.99091317395001</v>
      </c>
      <c r="U1564">
        <v>104.92158054839101</v>
      </c>
      <c r="V1564">
        <v>90.4853957377603</v>
      </c>
      <c r="W1564">
        <v>100.183235515124</v>
      </c>
    </row>
    <row r="1565" spans="1:23" x14ac:dyDescent="0.2">
      <c r="A1565" t="s">
        <v>3139</v>
      </c>
      <c r="B1565" s="3" t="str">
        <f>HYPERLINK("http://www.ncbi.nlm.nih.gov/gene/14884","Gtf2h1")</f>
        <v>Gtf2h1</v>
      </c>
      <c r="C1565">
        <v>14884</v>
      </c>
      <c r="D1565" t="s">
        <v>3140</v>
      </c>
      <c r="E1565" s="3" t="str">
        <f>HYPERLINK("http://genome.ucsc.edu/cgi-bin/hgTracks?db=mm10&amp;lastVirtModeType=default&amp;lastVirtModeExtraState=&amp;virtModeType=default&amp;virtMode=0&amp;nonVirtPosition=&amp;position=chr7:46796093-46823800","chr7:46796093-46823800")</f>
        <v>chr7:46796093-46823800</v>
      </c>
      <c r="F1565" t="s">
        <v>30</v>
      </c>
      <c r="G1565">
        <v>-0.51747524565465197</v>
      </c>
      <c r="H1565">
        <v>0.142647386313768</v>
      </c>
      <c r="I1565">
        <v>-3.6276531875348099</v>
      </c>
      <c r="J1565">
        <v>2.8600908551014599E-4</v>
      </c>
      <c r="K1565">
        <v>2.4519511293638698E-3</v>
      </c>
      <c r="L1565" t="s">
        <v>26</v>
      </c>
      <c r="M1565" t="s">
        <v>27</v>
      </c>
      <c r="N1565">
        <v>224.77745034558799</v>
      </c>
      <c r="O1565">
        <v>276.31011681691803</v>
      </c>
      <c r="P1565">
        <v>186.12795049209001</v>
      </c>
      <c r="Q1565">
        <v>248.32947551855301</v>
      </c>
      <c r="R1565">
        <v>299.61138375324202</v>
      </c>
      <c r="S1565">
        <v>280.98949117895802</v>
      </c>
      <c r="T1565">
        <v>160.40341504534399</v>
      </c>
      <c r="U1565">
        <v>179.86556665438499</v>
      </c>
      <c r="V1565">
        <v>207.45432193535299</v>
      </c>
      <c r="W1565">
        <v>196.78849833327999</v>
      </c>
    </row>
    <row r="1566" spans="1:23" x14ac:dyDescent="0.2">
      <c r="A1566" t="s">
        <v>3141</v>
      </c>
      <c r="B1566" s="3" t="str">
        <f>HYPERLINK("http://www.ncbi.nlm.nih.gov/gene/217463","Snx13")</f>
        <v>Snx13</v>
      </c>
      <c r="C1566">
        <v>217463</v>
      </c>
      <c r="D1566" t="s">
        <v>3142</v>
      </c>
      <c r="E1566" s="3" t="str">
        <f>HYPERLINK("http://genome.ucsc.edu/cgi-bin/hgTracks?db=mm10&amp;lastVirtModeType=default&amp;lastVirtModeExtraState=&amp;virtModeType=default&amp;virtMode=0&amp;nonVirtPosition=&amp;position=chr12:35047188-35147477","chr12:35047188-35147477")</f>
        <v>chr12:35047188-35147477</v>
      </c>
      <c r="F1566" t="s">
        <v>30</v>
      </c>
      <c r="G1566">
        <v>-0.48993758979483898</v>
      </c>
      <c r="H1566">
        <v>0.135067824238292</v>
      </c>
      <c r="I1566">
        <v>-3.62734494730937</v>
      </c>
      <c r="J1566">
        <v>2.8635062682905301E-4</v>
      </c>
      <c r="K1566">
        <v>2.45330853734347E-3</v>
      </c>
      <c r="L1566" t="s">
        <v>26</v>
      </c>
      <c r="M1566" t="s">
        <v>27</v>
      </c>
      <c r="N1566">
        <v>597.27526945453496</v>
      </c>
      <c r="O1566">
        <v>718.96374430812898</v>
      </c>
      <c r="P1566">
        <v>506.008913314339</v>
      </c>
      <c r="Q1566">
        <v>841.31353701465002</v>
      </c>
      <c r="R1566">
        <v>664.07535816699601</v>
      </c>
      <c r="S1566">
        <v>651.50233774274102</v>
      </c>
      <c r="T1566">
        <v>527.03979229184495</v>
      </c>
      <c r="U1566">
        <v>456.08768687361902</v>
      </c>
      <c r="V1566">
        <v>549.53325704151996</v>
      </c>
      <c r="W1566">
        <v>491.37491705037098</v>
      </c>
    </row>
    <row r="1567" spans="1:23" x14ac:dyDescent="0.2">
      <c r="A1567" t="s">
        <v>3143</v>
      </c>
      <c r="B1567" s="3" t="str">
        <f>HYPERLINK("http://www.ncbi.nlm.nih.gov/gene/225131","Wac")</f>
        <v>Wac</v>
      </c>
      <c r="C1567">
        <v>225131</v>
      </c>
      <c r="D1567" t="s">
        <v>3144</v>
      </c>
      <c r="E1567" s="3" t="str">
        <f>HYPERLINK("http://genome.ucsc.edu/cgi-bin/hgTracks?db=mm10&amp;lastVirtModeType=default&amp;lastVirtModeExtraState=&amp;virtModeType=default&amp;virtMode=0&amp;nonVirtPosition=&amp;position=chr18:7869196-7929028","chr18:7869196-7929028")</f>
        <v>chr18:7869196-7929028</v>
      </c>
      <c r="F1567" t="s">
        <v>30</v>
      </c>
      <c r="G1567">
        <v>-0.43350851477088198</v>
      </c>
      <c r="H1567">
        <v>0.119527026193575</v>
      </c>
      <c r="I1567">
        <v>-3.6268660618127599</v>
      </c>
      <c r="J1567">
        <v>2.86882007359259E-4</v>
      </c>
      <c r="K1567">
        <v>2.4562896167185599E-3</v>
      </c>
      <c r="L1567" t="s">
        <v>26</v>
      </c>
      <c r="M1567" t="s">
        <v>27</v>
      </c>
      <c r="N1567">
        <v>308.540508637421</v>
      </c>
      <c r="O1567">
        <v>365.05684978856402</v>
      </c>
      <c r="P1567">
        <v>266.15325277406299</v>
      </c>
      <c r="Q1567">
        <v>375.27817600785897</v>
      </c>
      <c r="R1567">
        <v>378.87566122720102</v>
      </c>
      <c r="S1567">
        <v>341.01671213063298</v>
      </c>
      <c r="T1567">
        <v>252.062509356969</v>
      </c>
      <c r="U1567">
        <v>259.09206625215</v>
      </c>
      <c r="V1567">
        <v>264.83530459832298</v>
      </c>
      <c r="W1567">
        <v>288.62313088881001</v>
      </c>
    </row>
    <row r="1568" spans="1:23" x14ac:dyDescent="0.2">
      <c r="A1568" t="s">
        <v>3145</v>
      </c>
      <c r="B1568" s="3" t="str">
        <f>HYPERLINK("http://www.ncbi.nlm.nih.gov/gene/16068","Il18bp")</f>
        <v>Il18bp</v>
      </c>
      <c r="C1568">
        <v>16068</v>
      </c>
      <c r="D1568" t="s">
        <v>3146</v>
      </c>
      <c r="E1568" s="3" t="str">
        <f>HYPERLINK("http://genome.ucsc.edu/cgi-bin/hgTracks?db=mm10&amp;lastVirtModeType=default&amp;lastVirtModeExtraState=&amp;virtModeType=default&amp;virtMode=0&amp;nonVirtPosition=&amp;position=chr7:102015076-102018155","chr7:102015076-102018155")</f>
        <v>chr7:102015076-102018155</v>
      </c>
      <c r="F1568" t="s">
        <v>25</v>
      </c>
      <c r="G1568">
        <v>1.01057368581977</v>
      </c>
      <c r="H1568">
        <v>0.27874948330552901</v>
      </c>
      <c r="I1568">
        <v>3.6253831714267499</v>
      </c>
      <c r="J1568">
        <v>2.8853331637881198E-4</v>
      </c>
      <c r="K1568">
        <v>2.46884960998637E-3</v>
      </c>
      <c r="L1568" t="s">
        <v>26</v>
      </c>
      <c r="M1568" t="s">
        <v>27</v>
      </c>
      <c r="N1568">
        <v>92.332334298418104</v>
      </c>
      <c r="O1568">
        <v>51.883686188260597</v>
      </c>
      <c r="P1568">
        <v>122.668820381036</v>
      </c>
      <c r="Q1568">
        <v>65.701520428675593</v>
      </c>
      <c r="R1568">
        <v>37.166981782047799</v>
      </c>
      <c r="S1568">
        <v>52.782556354058499</v>
      </c>
      <c r="T1568">
        <v>215.39887163231899</v>
      </c>
      <c r="U1568">
        <v>74.943986105993702</v>
      </c>
      <c r="V1568">
        <v>103.727160967676</v>
      </c>
      <c r="W1568">
        <v>96.605262818155396</v>
      </c>
    </row>
    <row r="1569" spans="1:23" x14ac:dyDescent="0.2">
      <c r="A1569" t="s">
        <v>3147</v>
      </c>
      <c r="B1569" s="3" t="str">
        <f>HYPERLINK("http://www.ncbi.nlm.nih.gov/gene/18458","Pabpc1")</f>
        <v>Pabpc1</v>
      </c>
      <c r="C1569">
        <v>18458</v>
      </c>
      <c r="D1569" t="s">
        <v>3148</v>
      </c>
      <c r="E1569" s="3" t="str">
        <f>HYPERLINK("http://genome.ucsc.edu/cgi-bin/hgTracks?db=mm10&amp;lastVirtModeType=default&amp;lastVirtModeExtraState=&amp;virtModeType=default&amp;virtMode=0&amp;nonVirtPosition=&amp;position=chr15:36595657-36608973","chr15:36595657-36608973")</f>
        <v>chr15:36595657-36608973</v>
      </c>
      <c r="F1569" t="s">
        <v>25</v>
      </c>
      <c r="G1569">
        <v>0.70136138756604405</v>
      </c>
      <c r="H1569">
        <v>0.19347335049037301</v>
      </c>
      <c r="I1569">
        <v>3.6251059165946602</v>
      </c>
      <c r="J1569">
        <v>2.8884304670953403E-4</v>
      </c>
      <c r="K1569">
        <v>2.4699216082294802E-3</v>
      </c>
      <c r="L1569" t="s">
        <v>26</v>
      </c>
      <c r="M1569" t="s">
        <v>27</v>
      </c>
      <c r="N1569">
        <v>1116.93687566014</v>
      </c>
      <c r="O1569">
        <v>804.13739966195999</v>
      </c>
      <c r="P1569">
        <v>1351.53648265878</v>
      </c>
      <c r="Q1569">
        <v>626.39161425644102</v>
      </c>
      <c r="R1569">
        <v>683.79661380644995</v>
      </c>
      <c r="S1569">
        <v>1102.22397092299</v>
      </c>
      <c r="T1569">
        <v>1324.4739128029901</v>
      </c>
      <c r="U1569">
        <v>1631.6376403647801</v>
      </c>
      <c r="V1569">
        <v>1280.0373055585601</v>
      </c>
      <c r="W1569">
        <v>1169.9970719087701</v>
      </c>
    </row>
    <row r="1570" spans="1:23" x14ac:dyDescent="0.2">
      <c r="A1570" t="s">
        <v>3149</v>
      </c>
      <c r="B1570" s="3" t="str">
        <f>HYPERLINK("http://www.ncbi.nlm.nih.gov/gene/52120","Hgsnat")</f>
        <v>Hgsnat</v>
      </c>
      <c r="C1570">
        <v>52120</v>
      </c>
      <c r="D1570" t="s">
        <v>3150</v>
      </c>
      <c r="E1570" s="3" t="str">
        <f>HYPERLINK("http://genome.ucsc.edu/cgi-bin/hgTracks?db=mm10&amp;lastVirtModeType=default&amp;lastVirtModeExtraState=&amp;virtModeType=default&amp;virtMode=0&amp;nonVirtPosition=&amp;position=chr8:25944458-25976744","chr8:25944458-25976744")</f>
        <v>chr8:25944458-25976744</v>
      </c>
      <c r="F1570" t="s">
        <v>25</v>
      </c>
      <c r="G1570">
        <v>-0.62018188312481604</v>
      </c>
      <c r="H1570">
        <v>0.171099095939753</v>
      </c>
      <c r="I1570">
        <v>-3.6246940974088599</v>
      </c>
      <c r="J1570">
        <v>2.8930367820549998E-4</v>
      </c>
      <c r="K1570">
        <v>2.47228178356723E-3</v>
      </c>
      <c r="L1570" t="s">
        <v>26</v>
      </c>
      <c r="M1570" t="s">
        <v>27</v>
      </c>
      <c r="N1570">
        <v>147.89073207934899</v>
      </c>
      <c r="O1570">
        <v>190.01487037750499</v>
      </c>
      <c r="P1570">
        <v>116.29762835573101</v>
      </c>
      <c r="Q1570">
        <v>164.253801071689</v>
      </c>
      <c r="R1570">
        <v>195.69553672996599</v>
      </c>
      <c r="S1570">
        <v>210.09527333086001</v>
      </c>
      <c r="T1570">
        <v>87.076139596044001</v>
      </c>
      <c r="U1570">
        <v>119.91037776959</v>
      </c>
      <c r="V1570">
        <v>135.36026679469799</v>
      </c>
      <c r="W1570">
        <v>122.843729262593</v>
      </c>
    </row>
    <row r="1571" spans="1:23" x14ac:dyDescent="0.2">
      <c r="A1571" t="s">
        <v>3151</v>
      </c>
      <c r="B1571" s="3" t="str">
        <f>HYPERLINK("http://www.ncbi.nlm.nih.gov/gene/67812","Ubxn4")</f>
        <v>Ubxn4</v>
      </c>
      <c r="C1571">
        <v>67812</v>
      </c>
      <c r="D1571" t="s">
        <v>3152</v>
      </c>
      <c r="E1571" s="3" t="str">
        <f>HYPERLINK("http://genome.ucsc.edu/cgi-bin/hgTracks?db=mm10&amp;lastVirtModeType=default&amp;lastVirtModeExtraState=&amp;virtModeType=default&amp;virtMode=0&amp;nonVirtPosition=&amp;position=chr1:128244180-128279377","chr1:128244180-128279377")</f>
        <v>chr1:128244180-128279377</v>
      </c>
      <c r="F1571" t="s">
        <v>30</v>
      </c>
      <c r="G1571">
        <v>-0.43413251058252</v>
      </c>
      <c r="H1571">
        <v>0.11980928350735</v>
      </c>
      <c r="I1571">
        <v>-3.6235298123278401</v>
      </c>
      <c r="J1571">
        <v>2.9060969006980397E-4</v>
      </c>
      <c r="K1571">
        <v>2.4818586477836401E-3</v>
      </c>
      <c r="L1571" t="s">
        <v>26</v>
      </c>
      <c r="M1571" t="s">
        <v>27</v>
      </c>
      <c r="N1571">
        <v>463.03049687794203</v>
      </c>
      <c r="O1571">
        <v>547.45477525572005</v>
      </c>
      <c r="P1571">
        <v>399.71228809460899</v>
      </c>
      <c r="Q1571">
        <v>581.29141802997697</v>
      </c>
      <c r="R1571">
        <v>565.84833488587003</v>
      </c>
      <c r="S1571">
        <v>495.22457285131298</v>
      </c>
      <c r="T1571">
        <v>357.47046781533902</v>
      </c>
      <c r="U1571">
        <v>436.81637616064899</v>
      </c>
      <c r="V1571">
        <v>384.74684529145202</v>
      </c>
      <c r="W1571">
        <v>419.81546311099601</v>
      </c>
    </row>
    <row r="1572" spans="1:23" x14ac:dyDescent="0.2">
      <c r="A1572" t="s">
        <v>3153</v>
      </c>
      <c r="B1572" s="3" t="str">
        <f>HYPERLINK("http://www.ncbi.nlm.nih.gov/gene/83410","Cstf2t")</f>
        <v>Cstf2t</v>
      </c>
      <c r="C1572">
        <v>83410</v>
      </c>
      <c r="D1572" t="s">
        <v>3154</v>
      </c>
      <c r="E1572" s="3" t="str">
        <f>HYPERLINK("http://genome.ucsc.edu/cgi-bin/hgTracks?db=mm10&amp;lastVirtModeType=default&amp;lastVirtModeExtraState=&amp;virtModeType=default&amp;virtMode=0&amp;nonVirtPosition=&amp;position=chr19:31082840-31086592","chr19:31082840-31086592")</f>
        <v>chr19:31082840-31086592</v>
      </c>
      <c r="F1572" t="s">
        <v>30</v>
      </c>
      <c r="G1572">
        <v>-0.39942640588407702</v>
      </c>
      <c r="H1572">
        <v>0.110255635384924</v>
      </c>
      <c r="I1572">
        <v>-3.6227300717065498</v>
      </c>
      <c r="J1572">
        <v>2.9150997960094899E-4</v>
      </c>
      <c r="K1572">
        <v>2.4879605715973901E-3</v>
      </c>
      <c r="L1572" t="s">
        <v>26</v>
      </c>
      <c r="M1572" t="s">
        <v>27</v>
      </c>
      <c r="N1572">
        <v>498.71572102371101</v>
      </c>
      <c r="O1572">
        <v>580.59584875041503</v>
      </c>
      <c r="P1572">
        <v>437.30562522868303</v>
      </c>
      <c r="Q1572">
        <v>629.73236953247499</v>
      </c>
      <c r="R1572">
        <v>576.46747253788396</v>
      </c>
      <c r="S1572">
        <v>535.58770418088704</v>
      </c>
      <c r="T1572">
        <v>435.38069798022002</v>
      </c>
      <c r="U1572">
        <v>438.95763290653503</v>
      </c>
      <c r="V1572">
        <v>444.334788826075</v>
      </c>
      <c r="W1572">
        <v>430.54938120190297</v>
      </c>
    </row>
    <row r="1573" spans="1:23" x14ac:dyDescent="0.2">
      <c r="A1573" t="s">
        <v>3155</v>
      </c>
      <c r="B1573" s="3" t="str">
        <f>HYPERLINK("http://www.ncbi.nlm.nih.gov/gene/12386","Ctnna2")</f>
        <v>Ctnna2</v>
      </c>
      <c r="C1573">
        <v>12386</v>
      </c>
      <c r="D1573" t="s">
        <v>3156</v>
      </c>
      <c r="E1573" s="3" t="str">
        <f>HYPERLINK("http://genome.ucsc.edu/cgi-bin/hgTracks?db=mm10&amp;lastVirtModeType=default&amp;lastVirtModeExtraState=&amp;virtModeType=default&amp;virtMode=0&amp;nonVirtPosition=&amp;position=chr6:76881636-77979667","chr6:76881636-77979667")</f>
        <v>chr6:76881636-77979667</v>
      </c>
      <c r="F1573" t="s">
        <v>25</v>
      </c>
      <c r="G1573">
        <v>-0.50246037463760496</v>
      </c>
      <c r="H1573">
        <v>0.13870404802908201</v>
      </c>
      <c r="I1573">
        <v>-3.62253576429331</v>
      </c>
      <c r="J1573">
        <v>2.9172911084217502E-4</v>
      </c>
      <c r="K1573">
        <v>2.48824491929144E-3</v>
      </c>
      <c r="L1573" t="s">
        <v>26</v>
      </c>
      <c r="M1573" t="s">
        <v>27</v>
      </c>
      <c r="N1573">
        <v>659.40960576590498</v>
      </c>
      <c r="O1573">
        <v>799.61019897059703</v>
      </c>
      <c r="P1573">
        <v>554.25916086238499</v>
      </c>
      <c r="Q1573">
        <v>954.89921639981799</v>
      </c>
      <c r="R1573">
        <v>746.373674970102</v>
      </c>
      <c r="S1573">
        <v>697.55770554187097</v>
      </c>
      <c r="T1573">
        <v>494.95910928277601</v>
      </c>
      <c r="U1573">
        <v>586.70434837263701</v>
      </c>
      <c r="V1573">
        <v>576.01678750135204</v>
      </c>
      <c r="W1573">
        <v>559.35639829277602</v>
      </c>
    </row>
    <row r="1574" spans="1:23" x14ac:dyDescent="0.2">
      <c r="A1574" t="s">
        <v>3157</v>
      </c>
      <c r="B1574" s="3" t="str">
        <f>HYPERLINK("http://www.ncbi.nlm.nih.gov/gene/12069","Bex2")</f>
        <v>Bex2</v>
      </c>
      <c r="C1574">
        <v>12069</v>
      </c>
      <c r="D1574" t="s">
        <v>3158</v>
      </c>
      <c r="E1574" s="3" t="str">
        <f>HYPERLINK("http://genome.ucsc.edu/cgi-bin/hgTracks?db=mm10&amp;lastVirtModeType=default&amp;lastVirtModeExtraState=&amp;virtModeType=default&amp;virtMode=0&amp;nonVirtPosition=&amp;position=chrX:136066564-136068236","chrX:136066564-136068236")</f>
        <v>chrX:136066564-136068236</v>
      </c>
      <c r="F1574" t="s">
        <v>25</v>
      </c>
      <c r="G1574">
        <v>-0.70574950450215801</v>
      </c>
      <c r="H1574">
        <v>0.19484142760835199</v>
      </c>
      <c r="I1574">
        <v>-3.6221737500341802</v>
      </c>
      <c r="J1574">
        <v>2.9213778599785901E-4</v>
      </c>
      <c r="K1574">
        <v>2.48932942106669E-3</v>
      </c>
      <c r="L1574" t="s">
        <v>26</v>
      </c>
      <c r="M1574" t="s">
        <v>27</v>
      </c>
      <c r="N1574">
        <v>342.40023408449298</v>
      </c>
      <c r="O1574">
        <v>445.55766068954199</v>
      </c>
      <c r="P1574">
        <v>265.03216413070601</v>
      </c>
      <c r="Q1574">
        <v>307.90627794116602</v>
      </c>
      <c r="R1574">
        <v>592.01692409976101</v>
      </c>
      <c r="S1574">
        <v>436.74978002769899</v>
      </c>
      <c r="T1574">
        <v>261.22841878813199</v>
      </c>
      <c r="U1574">
        <v>286.92840394866198</v>
      </c>
      <c r="V1574">
        <v>256.74311473559601</v>
      </c>
      <c r="W1574">
        <v>255.22871905043499</v>
      </c>
    </row>
    <row r="1575" spans="1:23" x14ac:dyDescent="0.2">
      <c r="A1575" t="s">
        <v>3159</v>
      </c>
      <c r="B1575" s="3" t="str">
        <f>HYPERLINK("http://www.ncbi.nlm.nih.gov/gene/70349","Copb1")</f>
        <v>Copb1</v>
      </c>
      <c r="C1575">
        <v>70349</v>
      </c>
      <c r="D1575" t="s">
        <v>3160</v>
      </c>
      <c r="E1575" s="3" t="str">
        <f>HYPERLINK("http://genome.ucsc.edu/cgi-bin/hgTracks?db=mm10&amp;lastVirtModeType=default&amp;lastVirtModeExtraState=&amp;virtModeType=default&amp;virtMode=0&amp;nonVirtPosition=&amp;position=chr7:114215558-114254680","chr7:114215558-114254680")</f>
        <v>chr7:114215558-114254680</v>
      </c>
      <c r="F1575" t="s">
        <v>25</v>
      </c>
      <c r="G1575">
        <v>-0.38712452139600401</v>
      </c>
      <c r="H1575">
        <v>0.106878655555985</v>
      </c>
      <c r="I1575">
        <v>-3.6220938538398699</v>
      </c>
      <c r="J1575">
        <v>2.9222805241705898E-4</v>
      </c>
      <c r="K1575">
        <v>2.48932942106669E-3</v>
      </c>
      <c r="L1575" t="s">
        <v>26</v>
      </c>
      <c r="M1575" t="s">
        <v>27</v>
      </c>
      <c r="N1575">
        <v>589.38117362661501</v>
      </c>
      <c r="O1575">
        <v>685.22102905897498</v>
      </c>
      <c r="P1575">
        <v>517.50128205234603</v>
      </c>
      <c r="Q1575">
        <v>658.12878937876701</v>
      </c>
      <c r="R1575">
        <v>683.41735889030701</v>
      </c>
      <c r="S1575">
        <v>714.11693890785</v>
      </c>
      <c r="T1575">
        <v>508.70797342952</v>
      </c>
      <c r="U1575">
        <v>473.21774084070302</v>
      </c>
      <c r="V1575">
        <v>556.15413965647804</v>
      </c>
      <c r="W1575">
        <v>531.92527428268295</v>
      </c>
    </row>
    <row r="1576" spans="1:23" x14ac:dyDescent="0.2">
      <c r="A1576" t="s">
        <v>3161</v>
      </c>
      <c r="B1576" s="3" t="str">
        <f>HYPERLINK("http://www.ncbi.nlm.nih.gov/gene/67916","Plpp3")</f>
        <v>Plpp3</v>
      </c>
      <c r="C1576">
        <v>67916</v>
      </c>
      <c r="D1576" t="s">
        <v>3162</v>
      </c>
      <c r="E1576" s="3" t="str">
        <f>HYPERLINK("http://genome.ucsc.edu/cgi-bin/hgTracks?db=mm10&amp;lastVirtModeType=default&amp;lastVirtModeExtraState=&amp;virtModeType=default&amp;virtMode=0&amp;nonVirtPosition=&amp;position=chr4:105157346-105232767","chr4:105157346-105232767")</f>
        <v>chr4:105157346-105232767</v>
      </c>
      <c r="F1576" t="s">
        <v>30</v>
      </c>
      <c r="G1576">
        <v>-0.62501440687142396</v>
      </c>
      <c r="H1576">
        <v>0.17256703326183701</v>
      </c>
      <c r="I1576">
        <v>-3.6218644723589102</v>
      </c>
      <c r="J1576">
        <v>2.9248735195154199E-4</v>
      </c>
      <c r="K1576">
        <v>2.4899543102244702E-3</v>
      </c>
      <c r="L1576" t="s">
        <v>26</v>
      </c>
      <c r="M1576" t="s">
        <v>27</v>
      </c>
      <c r="N1576">
        <v>407.95437443264399</v>
      </c>
      <c r="O1576">
        <v>516.54427644952796</v>
      </c>
      <c r="P1576">
        <v>326.51194791998199</v>
      </c>
      <c r="Q1576">
        <v>667.59426266086405</v>
      </c>
      <c r="R1576">
        <v>487.72182216034099</v>
      </c>
      <c r="S1576">
        <v>394.31674452737798</v>
      </c>
      <c r="T1576">
        <v>316.22387537510701</v>
      </c>
      <c r="U1576">
        <v>325.47102537460103</v>
      </c>
      <c r="V1576">
        <v>333.98674524344102</v>
      </c>
      <c r="W1576">
        <v>330.366145686778</v>
      </c>
    </row>
    <row r="1577" spans="1:23" x14ac:dyDescent="0.2">
      <c r="A1577" t="s">
        <v>3163</v>
      </c>
      <c r="B1577" s="3" t="str">
        <f>HYPERLINK("http://www.ncbi.nlm.nih.gov/gene/74355","Smchd1")</f>
        <v>Smchd1</v>
      </c>
      <c r="C1577">
        <v>74355</v>
      </c>
      <c r="D1577" t="s">
        <v>3164</v>
      </c>
      <c r="E1577" s="3" t="str">
        <f>HYPERLINK("http://genome.ucsc.edu/cgi-bin/hgTracks?db=mm10&amp;lastVirtModeType=default&amp;lastVirtModeExtraState=&amp;virtModeType=default&amp;virtMode=0&amp;nonVirtPosition=&amp;position=chr17:71344492-71475343","chr17:71344492-71475343")</f>
        <v>chr17:71344492-71475343</v>
      </c>
      <c r="F1577" t="s">
        <v>25</v>
      </c>
      <c r="G1577">
        <v>-0.38242479189960599</v>
      </c>
      <c r="H1577">
        <v>0.105637961784629</v>
      </c>
      <c r="I1577">
        <v>-3.6201454992030402</v>
      </c>
      <c r="J1577">
        <v>2.9443739992518199E-4</v>
      </c>
      <c r="K1577">
        <v>2.50496265717796E-3</v>
      </c>
      <c r="L1577" t="s">
        <v>26</v>
      </c>
      <c r="M1577" t="s">
        <v>27</v>
      </c>
      <c r="N1577">
        <v>679.253321585869</v>
      </c>
      <c r="O1577">
        <v>780.84067848824395</v>
      </c>
      <c r="P1577">
        <v>603.06280390908796</v>
      </c>
      <c r="Q1577">
        <v>773.94163894795804</v>
      </c>
      <c r="R1577">
        <v>793.401284571877</v>
      </c>
      <c r="S1577">
        <v>775.17911194489795</v>
      </c>
      <c r="T1577">
        <v>682.86025262160797</v>
      </c>
      <c r="U1577">
        <v>548.16172694669694</v>
      </c>
      <c r="V1577">
        <v>569.39590488639396</v>
      </c>
      <c r="W1577">
        <v>611.83333118165103</v>
      </c>
    </row>
    <row r="1578" spans="1:23" x14ac:dyDescent="0.2">
      <c r="A1578" t="s">
        <v>3165</v>
      </c>
      <c r="B1578" s="3" t="str">
        <f>HYPERLINK("http://www.ncbi.nlm.nih.gov/gene/104732","4930427A07Rik")</f>
        <v>4930427A07Rik</v>
      </c>
      <c r="C1578">
        <v>104732</v>
      </c>
      <c r="D1578" t="s">
        <v>3166</v>
      </c>
      <c r="E1578" s="3" t="str">
        <f>HYPERLINK("http://genome.ucsc.edu/cgi-bin/hgTracks?db=mm10&amp;lastVirtModeType=default&amp;lastVirtModeExtraState=&amp;virtModeType=default&amp;virtMode=0&amp;nonVirtPosition=&amp;position=chr12:113156420-113165458","chr12:113156420-113165458")</f>
        <v>chr12:113156420-113165458</v>
      </c>
      <c r="F1578" t="s">
        <v>30</v>
      </c>
      <c r="G1578">
        <v>0.92131116646671896</v>
      </c>
      <c r="H1578">
        <v>0.25454049298298298</v>
      </c>
      <c r="I1578">
        <v>3.6195072763071701</v>
      </c>
      <c r="J1578">
        <v>2.9516451167685301E-4</v>
      </c>
      <c r="K1578">
        <v>2.5081596515784299E-3</v>
      </c>
      <c r="L1578" t="s">
        <v>26</v>
      </c>
      <c r="M1578" t="s">
        <v>27</v>
      </c>
      <c r="N1578">
        <v>147.80044669233999</v>
      </c>
      <c r="O1578">
        <v>91.959906480686797</v>
      </c>
      <c r="P1578">
        <v>189.68085185107901</v>
      </c>
      <c r="Q1578">
        <v>46.213781318475199</v>
      </c>
      <c r="R1578">
        <v>98.227023281126307</v>
      </c>
      <c r="S1578">
        <v>131.43891484245901</v>
      </c>
      <c r="T1578">
        <v>197.06705276999401</v>
      </c>
      <c r="U1578">
        <v>173.44179641672801</v>
      </c>
      <c r="V1578">
        <v>179.49948422775199</v>
      </c>
      <c r="W1578">
        <v>208.71507398984201</v>
      </c>
    </row>
    <row r="1579" spans="1:23" x14ac:dyDescent="0.2">
      <c r="A1579" t="s">
        <v>3167</v>
      </c>
      <c r="B1579" s="3" t="str">
        <f>HYPERLINK("http://www.ncbi.nlm.nih.gov/gene/11740","Slc25a5")</f>
        <v>Slc25a5</v>
      </c>
      <c r="C1579">
        <v>11740</v>
      </c>
      <c r="D1579" t="s">
        <v>3168</v>
      </c>
      <c r="E1579" s="3" t="str">
        <f>HYPERLINK("http://genome.ucsc.edu/cgi-bin/hgTracks?db=mm10&amp;lastVirtModeType=default&amp;lastVirtModeExtraState=&amp;virtModeType=default&amp;virtMode=0&amp;nonVirtPosition=&amp;position=chrX:36795596-36798808","chrX:36795596-36798808")</f>
        <v>chrX:36795596-36798808</v>
      </c>
      <c r="F1579" t="s">
        <v>30</v>
      </c>
      <c r="G1579">
        <v>-0.74362032692608604</v>
      </c>
      <c r="H1579">
        <v>0.205449101733468</v>
      </c>
      <c r="I1579">
        <v>-3.6194868736432499</v>
      </c>
      <c r="J1579">
        <v>2.9518778365227402E-4</v>
      </c>
      <c r="K1579">
        <v>2.5081596515784299E-3</v>
      </c>
      <c r="L1579" t="s">
        <v>26</v>
      </c>
      <c r="M1579" t="s">
        <v>27</v>
      </c>
      <c r="N1579">
        <v>383.17869461374897</v>
      </c>
      <c r="O1579">
        <v>506.60470458049701</v>
      </c>
      <c r="P1579">
        <v>290.60918713868801</v>
      </c>
      <c r="Q1579">
        <v>313.47420340122301</v>
      </c>
      <c r="R1579">
        <v>632.97645504324203</v>
      </c>
      <c r="S1579">
        <v>573.36345529702703</v>
      </c>
      <c r="T1579">
        <v>288.72614708162001</v>
      </c>
      <c r="U1579">
        <v>280.504633711005</v>
      </c>
      <c r="V1579">
        <v>314.12409739856599</v>
      </c>
      <c r="W1579">
        <v>279.08187036355997</v>
      </c>
    </row>
    <row r="1580" spans="1:23" x14ac:dyDescent="0.2">
      <c r="A1580" t="s">
        <v>3169</v>
      </c>
      <c r="B1580" s="3" t="str">
        <f>HYPERLINK("http://www.ncbi.nlm.nih.gov/gene/208449","Sgms1")</f>
        <v>Sgms1</v>
      </c>
      <c r="C1580">
        <v>208449</v>
      </c>
      <c r="D1580" t="s">
        <v>3170</v>
      </c>
      <c r="E1580" s="3" t="str">
        <f>HYPERLINK("http://genome.ucsc.edu/cgi-bin/hgTracks?db=mm10&amp;lastVirtModeType=default&amp;lastVirtModeExtraState=&amp;virtModeType=default&amp;virtMode=0&amp;nonVirtPosition=&amp;position=chr19:32122726-32349316","chr19:32122726-32349316")</f>
        <v>chr19:32122726-32349316</v>
      </c>
      <c r="F1580" t="s">
        <v>25</v>
      </c>
      <c r="G1580">
        <v>-0.57536227737262202</v>
      </c>
      <c r="H1580">
        <v>0.15898922677280999</v>
      </c>
      <c r="I1580">
        <v>-3.6188758763811899</v>
      </c>
      <c r="J1580">
        <v>2.9588550491085799E-4</v>
      </c>
      <c r="K1580">
        <v>2.5124938467097598E-3</v>
      </c>
      <c r="L1580" t="s">
        <v>26</v>
      </c>
      <c r="M1580" t="s">
        <v>27</v>
      </c>
      <c r="N1580">
        <v>193.06245694005801</v>
      </c>
      <c r="O1580">
        <v>239.45066329850499</v>
      </c>
      <c r="P1580">
        <v>158.27130217122399</v>
      </c>
      <c r="Q1580">
        <v>285.07778355493099</v>
      </c>
      <c r="R1580">
        <v>215.41679236941999</v>
      </c>
      <c r="S1580">
        <v>217.857413971163</v>
      </c>
      <c r="T1580">
        <v>160.40341504534399</v>
      </c>
      <c r="U1580">
        <v>164.87676943318601</v>
      </c>
      <c r="V1580">
        <v>161.108143630646</v>
      </c>
      <c r="W1580">
        <v>146.69688057571801</v>
      </c>
    </row>
    <row r="1581" spans="1:23" x14ac:dyDescent="0.2">
      <c r="A1581" t="s">
        <v>3171</v>
      </c>
      <c r="B1581" s="3" t="str">
        <f>HYPERLINK("http://www.ncbi.nlm.nih.gov/gene/23994","Dazap2")</f>
        <v>Dazap2</v>
      </c>
      <c r="C1581">
        <v>23994</v>
      </c>
      <c r="D1581" t="s">
        <v>3172</v>
      </c>
      <c r="E1581" s="3" t="str">
        <f>HYPERLINK("http://genome.ucsc.edu/cgi-bin/hgTracks?db=mm10&amp;lastVirtModeType=default&amp;lastVirtModeExtraState=&amp;virtModeType=default&amp;virtMode=0&amp;nonVirtPosition=&amp;position=chr15:100615661-100620761","chr15:100615661-100620761")</f>
        <v>chr15:100615661-100620761</v>
      </c>
      <c r="F1581" t="s">
        <v>30</v>
      </c>
      <c r="G1581">
        <v>-0.464270904970422</v>
      </c>
      <c r="H1581">
        <v>0.12831190958503699</v>
      </c>
      <c r="I1581">
        <v>-3.6182993961502201</v>
      </c>
      <c r="J1581">
        <v>2.9654522583327997E-4</v>
      </c>
      <c r="K1581">
        <v>2.5165000754964902E-3</v>
      </c>
      <c r="L1581" t="s">
        <v>26</v>
      </c>
      <c r="M1581" t="s">
        <v>27</v>
      </c>
      <c r="N1581">
        <v>367.762424782273</v>
      </c>
      <c r="O1581">
        <v>443.29461264722602</v>
      </c>
      <c r="P1581">
        <v>311.11328388355798</v>
      </c>
      <c r="Q1581">
        <v>466.59215355279798</v>
      </c>
      <c r="R1581">
        <v>453.96813462358398</v>
      </c>
      <c r="S1581">
        <v>409.32354976529598</v>
      </c>
      <c r="T1581">
        <v>261.22841878813199</v>
      </c>
      <c r="U1581">
        <v>304.05845791574598</v>
      </c>
      <c r="V1581">
        <v>352.37808584054602</v>
      </c>
      <c r="W1581">
        <v>326.78817298980999</v>
      </c>
    </row>
    <row r="1582" spans="1:23" x14ac:dyDescent="0.2">
      <c r="A1582" t="s">
        <v>3173</v>
      </c>
      <c r="B1582" s="3" t="str">
        <f>HYPERLINK("http://www.ncbi.nlm.nih.gov/gene/16952","Anxa1")</f>
        <v>Anxa1</v>
      </c>
      <c r="C1582">
        <v>16952</v>
      </c>
      <c r="D1582" t="s">
        <v>3174</v>
      </c>
      <c r="E1582" s="3" t="str">
        <f>HYPERLINK("http://genome.ucsc.edu/cgi-bin/hgTracks?db=mm10&amp;lastVirtModeType=default&amp;lastVirtModeExtraState=&amp;virtModeType=default&amp;virtMode=0&amp;nonVirtPosition=&amp;position=chr19:20373433-20390671","chr19:20373433-20390671")</f>
        <v>chr19:20373433-20390671</v>
      </c>
      <c r="F1582" t="s">
        <v>25</v>
      </c>
      <c r="G1582">
        <v>-1.2099552497116599</v>
      </c>
      <c r="H1582">
        <v>0.33451495910574902</v>
      </c>
      <c r="I1582">
        <v>-3.6170437727096001</v>
      </c>
      <c r="J1582">
        <v>2.9798692600026603E-4</v>
      </c>
      <c r="K1582">
        <v>2.5258110991977301E-3</v>
      </c>
      <c r="L1582" t="s">
        <v>26</v>
      </c>
      <c r="M1582" t="s">
        <v>27</v>
      </c>
      <c r="N1582">
        <v>74.523585913908406</v>
      </c>
      <c r="O1582">
        <v>120.228888237238</v>
      </c>
      <c r="P1582">
        <v>40.244609171411</v>
      </c>
      <c r="Q1582">
        <v>193.20701346398701</v>
      </c>
      <c r="R1582">
        <v>74.333963564095498</v>
      </c>
      <c r="S1582">
        <v>93.145687683632602</v>
      </c>
      <c r="T1582">
        <v>50.4125018713939</v>
      </c>
      <c r="U1582">
        <v>10.7062837294277</v>
      </c>
      <c r="V1582">
        <v>58.116636286854202</v>
      </c>
      <c r="W1582">
        <v>41.743014797968399</v>
      </c>
    </row>
    <row r="1583" spans="1:23" x14ac:dyDescent="0.2">
      <c r="A1583" t="s">
        <v>3175</v>
      </c>
      <c r="B1583" s="3" t="str">
        <f>HYPERLINK("http://www.ncbi.nlm.nih.gov/gene/76156","Fam131b")</f>
        <v>Fam131b</v>
      </c>
      <c r="C1583">
        <v>76156</v>
      </c>
      <c r="D1583" t="s">
        <v>3176</v>
      </c>
      <c r="E1583" s="3" t="str">
        <f>HYPERLINK("http://genome.ucsc.edu/cgi-bin/hgTracks?db=mm10&amp;lastVirtModeType=default&amp;lastVirtModeExtraState=&amp;virtModeType=default&amp;virtMode=0&amp;nonVirtPosition=&amp;position=chr6:42315304-42324640","chr6:42315304-42324640")</f>
        <v>chr6:42315304-42324640</v>
      </c>
      <c r="F1583" t="s">
        <v>25</v>
      </c>
      <c r="G1583">
        <v>-0.50724791959670401</v>
      </c>
      <c r="H1583">
        <v>0.14024168414216401</v>
      </c>
      <c r="I1583">
        <v>-3.6169554202051701</v>
      </c>
      <c r="J1583">
        <v>2.9808861869153801E-4</v>
      </c>
      <c r="K1583">
        <v>2.5258110991977301E-3</v>
      </c>
      <c r="L1583" t="s">
        <v>26</v>
      </c>
      <c r="M1583" t="s">
        <v>27</v>
      </c>
      <c r="N1583">
        <v>255.717990647357</v>
      </c>
      <c r="O1583">
        <v>309.24589244220698</v>
      </c>
      <c r="P1583">
        <v>215.57206430122</v>
      </c>
      <c r="Q1583">
        <v>315.14458103923999</v>
      </c>
      <c r="R1583">
        <v>336.77836553528999</v>
      </c>
      <c r="S1583">
        <v>275.81473075208999</v>
      </c>
      <c r="T1583">
        <v>201.650007485576</v>
      </c>
      <c r="U1583">
        <v>239.82075553918</v>
      </c>
      <c r="V1583">
        <v>194.21255670543701</v>
      </c>
      <c r="W1583">
        <v>226.60493747468601</v>
      </c>
    </row>
    <row r="1584" spans="1:23" x14ac:dyDescent="0.2">
      <c r="A1584" t="s">
        <v>3177</v>
      </c>
      <c r="B1584" s="3" t="str">
        <f>HYPERLINK("http://www.ncbi.nlm.nih.gov/gene/99929","Tiparp")</f>
        <v>Tiparp</v>
      </c>
      <c r="C1584">
        <v>99929</v>
      </c>
      <c r="D1584" t="s">
        <v>3178</v>
      </c>
      <c r="E1584" s="3" t="str">
        <f>HYPERLINK("http://genome.ucsc.edu/cgi-bin/hgTracks?db=mm10&amp;lastVirtModeType=default&amp;lastVirtModeExtraState=&amp;virtModeType=default&amp;virtMode=0&amp;nonVirtPosition=&amp;position=chr3:65528446-65555518","chr3:65528446-65555518")</f>
        <v>chr3:65528446-65555518</v>
      </c>
      <c r="F1584" t="s">
        <v>30</v>
      </c>
      <c r="G1584">
        <v>-0.79212489247149498</v>
      </c>
      <c r="H1584">
        <v>0.21900951642069899</v>
      </c>
      <c r="I1584">
        <v>-3.6168514748459102</v>
      </c>
      <c r="J1584">
        <v>2.9820830018905298E-4</v>
      </c>
      <c r="K1584">
        <v>2.5258110991977301E-3</v>
      </c>
      <c r="L1584" t="s">
        <v>26</v>
      </c>
      <c r="M1584" t="s">
        <v>27</v>
      </c>
      <c r="N1584">
        <v>319.97481470845798</v>
      </c>
      <c r="O1584">
        <v>433.24495417029499</v>
      </c>
      <c r="P1584">
        <v>235.02221011208101</v>
      </c>
      <c r="Q1584">
        <v>264.47645935271902</v>
      </c>
      <c r="R1584">
        <v>524.50954902624596</v>
      </c>
      <c r="S1584">
        <v>510.74885413191902</v>
      </c>
      <c r="T1584">
        <v>174.152279192088</v>
      </c>
      <c r="U1584">
        <v>259.09206625215</v>
      </c>
      <c r="V1584">
        <v>261.157036478902</v>
      </c>
      <c r="W1584">
        <v>245.68745852518501</v>
      </c>
    </row>
    <row r="1585" spans="1:23" x14ac:dyDescent="0.2">
      <c r="A1585" t="s">
        <v>3179</v>
      </c>
      <c r="B1585" s="3" t="str">
        <f>HYPERLINK("http://www.ncbi.nlm.nih.gov/gene/214240","Disp2")</f>
        <v>Disp2</v>
      </c>
      <c r="C1585">
        <v>214240</v>
      </c>
      <c r="D1585" t="s">
        <v>3180</v>
      </c>
      <c r="E1585" s="3" t="str">
        <f>HYPERLINK("http://genome.ucsc.edu/cgi-bin/hgTracks?db=mm10&amp;lastVirtModeType=default&amp;lastVirtModeExtraState=&amp;virtModeType=default&amp;virtMode=0&amp;nonVirtPosition=&amp;position=chr2:118779718-118795175","chr2:118779718-118795175")</f>
        <v>chr2:118779718-118795175</v>
      </c>
      <c r="F1585" t="s">
        <v>30</v>
      </c>
      <c r="G1585">
        <v>-0.64966498534427897</v>
      </c>
      <c r="H1585">
        <v>0.17972286737639601</v>
      </c>
      <c r="I1585">
        <v>-3.6148153811928601</v>
      </c>
      <c r="J1585">
        <v>3.0056172920086801E-4</v>
      </c>
      <c r="K1585">
        <v>2.5441353449613298E-3</v>
      </c>
      <c r="L1585" t="s">
        <v>26</v>
      </c>
      <c r="M1585" t="s">
        <v>27</v>
      </c>
      <c r="N1585">
        <v>822.62282521732595</v>
      </c>
      <c r="O1585">
        <v>1051.24316261986</v>
      </c>
      <c r="P1585">
        <v>651.15757216542397</v>
      </c>
      <c r="Q1585">
        <v>1040.6452684847</v>
      </c>
      <c r="R1585">
        <v>882.52618986556297</v>
      </c>
      <c r="S1585">
        <v>1230.55802950932</v>
      </c>
      <c r="T1585">
        <v>540.78865643858899</v>
      </c>
      <c r="U1585">
        <v>762.28740153525098</v>
      </c>
      <c r="V1585">
        <v>512.01492222342404</v>
      </c>
      <c r="W1585">
        <v>789.53930846443097</v>
      </c>
    </row>
    <row r="1586" spans="1:23" x14ac:dyDescent="0.2">
      <c r="A1586" t="s">
        <v>3181</v>
      </c>
      <c r="B1586" s="3" t="str">
        <f>HYPERLINK("http://www.ncbi.nlm.nih.gov/gene/227644","Snapc4")</f>
        <v>Snapc4</v>
      </c>
      <c r="C1586">
        <v>227644</v>
      </c>
      <c r="D1586" t="s">
        <v>3182</v>
      </c>
      <c r="E1586" s="3" t="str">
        <f>HYPERLINK("http://genome.ucsc.edu/cgi-bin/hgTracks?db=mm10&amp;lastVirtModeType=default&amp;lastVirtModeExtraState=&amp;virtModeType=default&amp;virtMode=0&amp;nonVirtPosition=&amp;position=chr2:26362764-26380653","chr2:26362764-26380653")</f>
        <v>chr2:26362764-26380653</v>
      </c>
      <c r="F1586" t="s">
        <v>25</v>
      </c>
      <c r="G1586">
        <v>0.61134946430847203</v>
      </c>
      <c r="H1586">
        <v>0.169143225819326</v>
      </c>
      <c r="I1586">
        <v>3.61438929254843</v>
      </c>
      <c r="J1586">
        <v>3.0105642172237698E-4</v>
      </c>
      <c r="K1586">
        <v>2.5467129142667999E-3</v>
      </c>
      <c r="L1586" t="s">
        <v>26</v>
      </c>
      <c r="M1586" t="s">
        <v>27</v>
      </c>
      <c r="N1586">
        <v>173.02521060732099</v>
      </c>
      <c r="O1586">
        <v>130.72655906441199</v>
      </c>
      <c r="P1586">
        <v>204.74919926450301</v>
      </c>
      <c r="Q1586">
        <v>102.449828465053</v>
      </c>
      <c r="R1586">
        <v>152.08122137348099</v>
      </c>
      <c r="S1586">
        <v>137.64862735470101</v>
      </c>
      <c r="T1586">
        <v>206.23296220115699</v>
      </c>
      <c r="U1586">
        <v>196.99562062146899</v>
      </c>
      <c r="V1586">
        <v>192.741249457668</v>
      </c>
      <c r="W1586">
        <v>223.02696477771701</v>
      </c>
    </row>
    <row r="1587" spans="1:23" x14ac:dyDescent="0.2">
      <c r="A1587" t="s">
        <v>3183</v>
      </c>
      <c r="B1587" s="3" t="str">
        <f>HYPERLINK("http://www.ncbi.nlm.nih.gov/gene/170707","Usp48")</f>
        <v>Usp48</v>
      </c>
      <c r="C1587">
        <v>170707</v>
      </c>
      <c r="D1587" t="s">
        <v>3184</v>
      </c>
      <c r="E1587" s="3" t="str">
        <f>HYPERLINK("http://genome.ucsc.edu/cgi-bin/hgTracks?db=mm10&amp;lastVirtModeType=default&amp;lastVirtModeExtraState=&amp;virtModeType=default&amp;virtMode=0&amp;nonVirtPosition=&amp;position=chr4:137594188-137658537","chr4:137594188-137658537")</f>
        <v>chr4:137594188-137658537</v>
      </c>
      <c r="F1587" t="s">
        <v>30</v>
      </c>
      <c r="G1587">
        <v>0.44266923096761301</v>
      </c>
      <c r="H1587">
        <v>0.12248936619403</v>
      </c>
      <c r="I1587">
        <v>3.6139400890229201</v>
      </c>
      <c r="J1587">
        <v>3.0157877644008702E-4</v>
      </c>
      <c r="K1587">
        <v>2.5495210828972298E-3</v>
      </c>
      <c r="L1587" t="s">
        <v>26</v>
      </c>
      <c r="M1587" t="s">
        <v>27</v>
      </c>
      <c r="N1587">
        <v>560.40176816641497</v>
      </c>
      <c r="O1587">
        <v>464.05326888253398</v>
      </c>
      <c r="P1587">
        <v>632.66314262932701</v>
      </c>
      <c r="Q1587">
        <v>415.36723932027098</v>
      </c>
      <c r="R1587">
        <v>452.071860042867</v>
      </c>
      <c r="S1587">
        <v>524.72070728446397</v>
      </c>
      <c r="T1587">
        <v>618.69888660347101</v>
      </c>
      <c r="U1587">
        <v>584.56309162675097</v>
      </c>
      <c r="V1587">
        <v>654.73172525696498</v>
      </c>
      <c r="W1587">
        <v>672.65886703011904</v>
      </c>
    </row>
    <row r="1588" spans="1:23" x14ac:dyDescent="0.2">
      <c r="A1588" t="s">
        <v>3185</v>
      </c>
      <c r="B1588" s="3" t="str">
        <f>HYPERLINK("http://www.ncbi.nlm.nih.gov/gene/280668","Adam1a")</f>
        <v>Adam1a</v>
      </c>
      <c r="C1588">
        <v>280668</v>
      </c>
      <c r="D1588" t="s">
        <v>3186</v>
      </c>
      <c r="E1588" s="3" t="str">
        <f>HYPERLINK("http://genome.ucsc.edu/cgi-bin/hgTracks?db=mm10&amp;lastVirtModeType=default&amp;lastVirtModeExtraState=&amp;virtModeType=default&amp;virtMode=0&amp;nonVirtPosition=&amp;position=chr5:121518603-121521695","chr5:121518603-121521695")</f>
        <v>chr5:121518603-121521695</v>
      </c>
      <c r="F1588" t="s">
        <v>25</v>
      </c>
      <c r="G1588">
        <v>0.91227383041635102</v>
      </c>
      <c r="H1588">
        <v>0.25249711780238998</v>
      </c>
      <c r="I1588">
        <v>3.6130069062028598</v>
      </c>
      <c r="J1588">
        <v>3.0266663904274899E-4</v>
      </c>
      <c r="K1588">
        <v>2.5571034469535898E-3</v>
      </c>
      <c r="L1588" t="s">
        <v>26</v>
      </c>
      <c r="M1588" t="s">
        <v>27</v>
      </c>
      <c r="N1588">
        <v>47.622696039032597</v>
      </c>
      <c r="O1588">
        <v>28.7977707793208</v>
      </c>
      <c r="P1588">
        <v>61.741389983816397</v>
      </c>
      <c r="Q1588">
        <v>34.521137852354897</v>
      </c>
      <c r="R1588">
        <v>22.376040052457299</v>
      </c>
      <c r="S1588">
        <v>29.496134433150299</v>
      </c>
      <c r="T1588">
        <v>87.076139596044001</v>
      </c>
      <c r="U1588">
        <v>53.531418647138402</v>
      </c>
      <c r="V1588">
        <v>51.495753671896097</v>
      </c>
      <c r="W1588">
        <v>54.862248020187003</v>
      </c>
    </row>
    <row r="1589" spans="1:23" x14ac:dyDescent="0.2">
      <c r="A1589" t="s">
        <v>3187</v>
      </c>
      <c r="B1589" s="3" t="str">
        <f>HYPERLINK("http://www.ncbi.nlm.nih.gov/gene/16580","Kifc5b")</f>
        <v>Kifc5b</v>
      </c>
      <c r="C1589">
        <v>16580</v>
      </c>
      <c r="D1589" t="s">
        <v>3188</v>
      </c>
      <c r="E1589" s="3" t="str">
        <f>HYPERLINK("http://genome.ucsc.edu/cgi-bin/hgTracks?db=mm10&amp;lastVirtModeType=default&amp;lastVirtModeExtraState=&amp;virtModeType=default&amp;virtMode=0&amp;nonVirtPosition=&amp;position=chr17:26917090-26932579","chr17:26917090-26932579")</f>
        <v>chr17:26917090-26932579</v>
      </c>
      <c r="F1589" t="s">
        <v>30</v>
      </c>
      <c r="G1589">
        <v>1.28955987533709</v>
      </c>
      <c r="H1589">
        <v>0.35696918679512901</v>
      </c>
      <c r="I1589">
        <v>3.6125243383462999</v>
      </c>
      <c r="J1589">
        <v>3.0323063544290899E-4</v>
      </c>
      <c r="K1589">
        <v>2.5602531142597698E-3</v>
      </c>
      <c r="L1589" t="s">
        <v>26</v>
      </c>
      <c r="M1589" t="s">
        <v>27</v>
      </c>
      <c r="N1589">
        <v>48.408775929842797</v>
      </c>
      <c r="O1589">
        <v>19.682736051266499</v>
      </c>
      <c r="P1589">
        <v>69.953305838774995</v>
      </c>
      <c r="Q1589">
        <v>3.8975478220400701</v>
      </c>
      <c r="R1589">
        <v>20.479765471740599</v>
      </c>
      <c r="S1589">
        <v>34.670894860018798</v>
      </c>
      <c r="T1589">
        <v>96.242049027206505</v>
      </c>
      <c r="U1589">
        <v>66.378959122451604</v>
      </c>
      <c r="V1589">
        <v>55.174021791317301</v>
      </c>
      <c r="W1589">
        <v>62.018193414124497</v>
      </c>
    </row>
    <row r="1590" spans="1:23" x14ac:dyDescent="0.2">
      <c r="A1590" t="s">
        <v>3189</v>
      </c>
      <c r="B1590" s="3" t="str">
        <f>HYPERLINK("http://www.ncbi.nlm.nih.gov/gene/93871","Brwd1")</f>
        <v>Brwd1</v>
      </c>
      <c r="C1590">
        <v>93871</v>
      </c>
      <c r="D1590" t="s">
        <v>3190</v>
      </c>
      <c r="E1590" s="3" t="str">
        <f>HYPERLINK("http://genome.ucsc.edu/cgi-bin/hgTracks?db=mm10&amp;lastVirtModeType=default&amp;lastVirtModeExtraState=&amp;virtModeType=default&amp;virtMode=0&amp;nonVirtPosition=&amp;position=chr16:96001547-96082428","chr16:96001547-96082428")</f>
        <v>chr16:96001547-96082428</v>
      </c>
      <c r="F1590" t="s">
        <v>25</v>
      </c>
      <c r="G1590">
        <v>0.46290258851681698</v>
      </c>
      <c r="H1590">
        <v>0.12816495909919501</v>
      </c>
      <c r="I1590">
        <v>3.6117718272632402</v>
      </c>
      <c r="J1590">
        <v>3.0411208964800602E-4</v>
      </c>
      <c r="K1590">
        <v>2.56607749998516E-3</v>
      </c>
      <c r="L1590" t="s">
        <v>26</v>
      </c>
      <c r="M1590" t="s">
        <v>27</v>
      </c>
      <c r="N1590">
        <v>677.935647029253</v>
      </c>
      <c r="O1590">
        <v>554.367184327117</v>
      </c>
      <c r="P1590">
        <v>770.61199405585398</v>
      </c>
      <c r="Q1590">
        <v>503.34046158917499</v>
      </c>
      <c r="R1590">
        <v>527.92284327153595</v>
      </c>
      <c r="S1590">
        <v>631.83824812064097</v>
      </c>
      <c r="T1590">
        <v>806.60002994230194</v>
      </c>
      <c r="U1590">
        <v>668.07210471628696</v>
      </c>
      <c r="V1590">
        <v>781.26414856505198</v>
      </c>
      <c r="W1590">
        <v>826.51169299977403</v>
      </c>
    </row>
    <row r="1591" spans="1:23" x14ac:dyDescent="0.2">
      <c r="A1591" t="s">
        <v>3191</v>
      </c>
      <c r="B1591" s="3" t="str">
        <f>HYPERLINK("http://www.ncbi.nlm.nih.gov/gene/240328","F830016B08Rik")</f>
        <v>F830016B08Rik</v>
      </c>
      <c r="C1591">
        <v>240328</v>
      </c>
      <c r="D1591" t="s">
        <v>3192</v>
      </c>
      <c r="E1591" s="3" t="str">
        <f>HYPERLINK("http://genome.ucsc.edu/cgi-bin/hgTracks?db=mm10&amp;lastVirtModeType=default&amp;lastVirtModeExtraState=&amp;virtModeType=default&amp;virtMode=0&amp;nonVirtPosition=&amp;position=chr18:60293379-60303016","chr18:60293379-60303016")</f>
        <v>chr18:60293379-60303016</v>
      </c>
      <c r="F1591" t="s">
        <v>30</v>
      </c>
      <c r="G1591">
        <v>1.4387338925666899</v>
      </c>
      <c r="H1591">
        <v>0.398398011530676</v>
      </c>
      <c r="I1591">
        <v>3.6112978753055498</v>
      </c>
      <c r="J1591">
        <v>3.04668484389748E-4</v>
      </c>
      <c r="K1591">
        <v>2.56915344739491E-3</v>
      </c>
      <c r="L1591" t="s">
        <v>26</v>
      </c>
      <c r="M1591" t="s">
        <v>27</v>
      </c>
      <c r="N1591">
        <v>68.205678740353406</v>
      </c>
      <c r="O1591">
        <v>8.5499516947304706</v>
      </c>
      <c r="P1591">
        <v>112.94747402457099</v>
      </c>
      <c r="Q1591">
        <v>10.579058374108801</v>
      </c>
      <c r="R1591">
        <v>8.3436081551535803</v>
      </c>
      <c r="S1591">
        <v>6.72718855492902</v>
      </c>
      <c r="T1591">
        <v>229.147735779063</v>
      </c>
      <c r="U1591">
        <v>10.7062837294277</v>
      </c>
      <c r="V1591">
        <v>83.128859498918004</v>
      </c>
      <c r="W1591">
        <v>128.80701709087401</v>
      </c>
    </row>
    <row r="1592" spans="1:23" x14ac:dyDescent="0.2">
      <c r="A1592" t="s">
        <v>3193</v>
      </c>
      <c r="B1592" s="3" t="str">
        <f>HYPERLINK("http://www.ncbi.nlm.nih.gov/gene/215378","Brinp3")</f>
        <v>Brinp3</v>
      </c>
      <c r="C1592">
        <v>215378</v>
      </c>
      <c r="D1592" t="s">
        <v>3194</v>
      </c>
      <c r="E1592" s="3" t="str">
        <f>HYPERLINK("http://genome.ucsc.edu/cgi-bin/hgTracks?db=mm10&amp;lastVirtModeType=default&amp;lastVirtModeExtraState=&amp;virtModeType=default&amp;virtMode=0&amp;nonVirtPosition=&amp;position=chr1:146495665-146902472","chr1:146495665-146902472")</f>
        <v>chr1:146495665-146902472</v>
      </c>
      <c r="F1592" t="s">
        <v>30</v>
      </c>
      <c r="G1592">
        <v>-0.81983354664549601</v>
      </c>
      <c r="H1592">
        <v>0.227040965651504</v>
      </c>
      <c r="I1592">
        <v>-3.6109498754682701</v>
      </c>
      <c r="J1592">
        <v>3.05077624709619E-4</v>
      </c>
      <c r="K1592">
        <v>2.5709845641828299E-3</v>
      </c>
      <c r="L1592" t="s">
        <v>26</v>
      </c>
      <c r="M1592" t="s">
        <v>27</v>
      </c>
      <c r="N1592">
        <v>595.91200932295101</v>
      </c>
      <c r="O1592">
        <v>810.96507907875105</v>
      </c>
      <c r="P1592">
        <v>434.62220700610197</v>
      </c>
      <c r="Q1592">
        <v>1224.9436012126</v>
      </c>
      <c r="R1592">
        <v>591.63766918361796</v>
      </c>
      <c r="S1592">
        <v>616.31396684003596</v>
      </c>
      <c r="T1592">
        <v>462.87842627370799</v>
      </c>
      <c r="U1592">
        <v>379.00244402174002</v>
      </c>
      <c r="V1592">
        <v>514.95753671896102</v>
      </c>
      <c r="W1592">
        <v>381.65042100999699</v>
      </c>
    </row>
    <row r="1593" spans="1:23" x14ac:dyDescent="0.2">
      <c r="A1593" t="s">
        <v>3195</v>
      </c>
      <c r="B1593" s="3" t="str">
        <f>HYPERLINK("http://www.ncbi.nlm.nih.gov/gene/11488","Adam11")</f>
        <v>Adam11</v>
      </c>
      <c r="C1593">
        <v>11488</v>
      </c>
      <c r="D1593" t="s">
        <v>3196</v>
      </c>
      <c r="E1593" s="3" t="str">
        <f>HYPERLINK("http://genome.ucsc.edu/cgi-bin/hgTracks?db=mm10&amp;lastVirtModeType=default&amp;lastVirtModeExtraState=&amp;virtModeType=default&amp;virtMode=0&amp;nonVirtPosition=&amp;position=chr11:102761434-102780262","chr11:102761434-102780262")</f>
        <v>chr11:102761434-102780262</v>
      </c>
      <c r="F1593" t="s">
        <v>30</v>
      </c>
      <c r="G1593">
        <v>0.95539946751730997</v>
      </c>
      <c r="H1593">
        <v>0.26461817112720198</v>
      </c>
      <c r="I1593">
        <v>3.6104832236107001</v>
      </c>
      <c r="J1593">
        <v>3.0562707072598702E-4</v>
      </c>
      <c r="K1593">
        <v>2.5738663767719502E-3</v>
      </c>
      <c r="L1593" t="s">
        <v>26</v>
      </c>
      <c r="M1593" t="s">
        <v>27</v>
      </c>
      <c r="N1593">
        <v>101.17030368752501</v>
      </c>
      <c r="O1593">
        <v>60.685038066824902</v>
      </c>
      <c r="P1593">
        <v>131.53425290305</v>
      </c>
      <c r="Q1593">
        <v>55.122462054566803</v>
      </c>
      <c r="R1593">
        <v>93.296709371262807</v>
      </c>
      <c r="S1593">
        <v>33.635942774645102</v>
      </c>
      <c r="T1593">
        <v>146.65455089860001</v>
      </c>
      <c r="U1593">
        <v>134.89917499078899</v>
      </c>
      <c r="V1593">
        <v>116.96892619759301</v>
      </c>
      <c r="W1593">
        <v>127.61435952521801</v>
      </c>
    </row>
    <row r="1594" spans="1:23" x14ac:dyDescent="0.2">
      <c r="A1594" t="s">
        <v>3197</v>
      </c>
      <c r="B1594" s="3" t="str">
        <f>HYPERLINK("http://www.ncbi.nlm.nih.gov/gene/218989","Tmem260")</f>
        <v>Tmem260</v>
      </c>
      <c r="C1594">
        <v>218989</v>
      </c>
      <c r="D1594" t="s">
        <v>3198</v>
      </c>
      <c r="E1594" s="3" t="str">
        <f>HYPERLINK("http://genome.ucsc.edu/cgi-bin/hgTracks?db=mm10&amp;lastVirtModeType=default&amp;lastVirtModeExtraState=&amp;virtModeType=default&amp;virtMode=0&amp;nonVirtPosition=&amp;position=chr14:48446351-48515130","chr14:48446351-48515130")</f>
        <v>chr14:48446351-48515130</v>
      </c>
      <c r="F1594" t="s">
        <v>30</v>
      </c>
      <c r="G1594">
        <v>0.56632025407583697</v>
      </c>
      <c r="H1594">
        <v>0.15686094199228801</v>
      </c>
      <c r="I1594">
        <v>3.6103331197876001</v>
      </c>
      <c r="J1594">
        <v>3.0580400309492797E-4</v>
      </c>
      <c r="K1594">
        <v>2.5738663767719502E-3</v>
      </c>
      <c r="L1594" t="s">
        <v>26</v>
      </c>
      <c r="M1594" t="s">
        <v>27</v>
      </c>
      <c r="N1594">
        <v>169.417949006892</v>
      </c>
      <c r="O1594">
        <v>133.137835323334</v>
      </c>
      <c r="P1594">
        <v>196.62803426956</v>
      </c>
      <c r="Q1594">
        <v>139.19813650143101</v>
      </c>
      <c r="R1594">
        <v>125.15412232730399</v>
      </c>
      <c r="S1594">
        <v>135.06124714126699</v>
      </c>
      <c r="T1594">
        <v>192.48409805441301</v>
      </c>
      <c r="U1594">
        <v>158.45299919553</v>
      </c>
      <c r="V1594">
        <v>228.05262340411099</v>
      </c>
      <c r="W1594">
        <v>207.52241642418599</v>
      </c>
    </row>
    <row r="1595" spans="1:23" x14ac:dyDescent="0.2">
      <c r="A1595" t="s">
        <v>3199</v>
      </c>
      <c r="B1595" s="3" t="str">
        <f>HYPERLINK("http://www.ncbi.nlm.nih.gov/gene/14696","Gnb4")</f>
        <v>Gnb4</v>
      </c>
      <c r="C1595">
        <v>14696</v>
      </c>
      <c r="D1595" t="s">
        <v>3200</v>
      </c>
      <c r="E1595" s="3" t="str">
        <f>HYPERLINK("http://genome.ucsc.edu/cgi-bin/hgTracks?db=mm10&amp;lastVirtModeType=default&amp;lastVirtModeExtraState=&amp;virtModeType=default&amp;virtMode=0&amp;nonVirtPosition=&amp;position=chr3:32583527-32616535","chr3:32583527-32616535")</f>
        <v>chr3:32583527-32616535</v>
      </c>
      <c r="F1595" t="s">
        <v>25</v>
      </c>
      <c r="G1595">
        <v>-0.424352198909208</v>
      </c>
      <c r="H1595">
        <v>0.117587990148476</v>
      </c>
      <c r="I1595">
        <v>-3.6088056133401598</v>
      </c>
      <c r="J1595">
        <v>3.0760998822753699E-4</v>
      </c>
      <c r="K1595">
        <v>2.5874405479616499E-3</v>
      </c>
      <c r="L1595" t="s">
        <v>26</v>
      </c>
      <c r="M1595" t="s">
        <v>27</v>
      </c>
      <c r="N1595">
        <v>740.18461997571296</v>
      </c>
      <c r="O1595">
        <v>869.75862448233499</v>
      </c>
      <c r="P1595">
        <v>643.00411659574604</v>
      </c>
      <c r="Q1595">
        <v>945.99053566372697</v>
      </c>
      <c r="R1595">
        <v>782.02363708757696</v>
      </c>
      <c r="S1595">
        <v>881.26170069570196</v>
      </c>
      <c r="T1595">
        <v>614.11593188788902</v>
      </c>
      <c r="U1595">
        <v>710.89723963399797</v>
      </c>
      <c r="V1595">
        <v>645.90388177035402</v>
      </c>
      <c r="W1595">
        <v>601.09941309074497</v>
      </c>
    </row>
    <row r="1596" spans="1:23" x14ac:dyDescent="0.2">
      <c r="A1596" t="s">
        <v>3201</v>
      </c>
      <c r="B1596" s="3" t="str">
        <f>HYPERLINK("http://www.ncbi.nlm.nih.gov/gene/545030","Wdfy4")</f>
        <v>Wdfy4</v>
      </c>
      <c r="C1596">
        <v>545030</v>
      </c>
      <c r="D1596" t="s">
        <v>3202</v>
      </c>
      <c r="E1596" s="3" t="str">
        <f>HYPERLINK("http://genome.ucsc.edu/cgi-bin/hgTracks?db=mm10&amp;lastVirtModeType=default&amp;lastVirtModeExtraState=&amp;virtModeType=default&amp;virtMode=0&amp;nonVirtPosition=&amp;position=chr14:32959546-33185066","chr14:32959546-33185066")</f>
        <v>chr14:32959546-33185066</v>
      </c>
      <c r="F1596" t="s">
        <v>25</v>
      </c>
      <c r="G1596">
        <v>1.1135779350316699</v>
      </c>
      <c r="H1596">
        <v>0.30887982905260097</v>
      </c>
      <c r="I1596">
        <v>3.6052141651568901</v>
      </c>
      <c r="J1596">
        <v>3.1189561034087801E-4</v>
      </c>
      <c r="K1596">
        <v>2.6218418820305699E-3</v>
      </c>
      <c r="L1596" t="s">
        <v>26</v>
      </c>
      <c r="M1596" t="s">
        <v>27</v>
      </c>
      <c r="N1596">
        <v>101.95302682516299</v>
      </c>
      <c r="O1596">
        <v>52.429889438994699</v>
      </c>
      <c r="P1596">
        <v>139.09537986478901</v>
      </c>
      <c r="Q1596">
        <v>79.621334078818705</v>
      </c>
      <c r="R1596">
        <v>36.787726865904403</v>
      </c>
      <c r="S1596">
        <v>40.880607372260997</v>
      </c>
      <c r="T1596">
        <v>242.89659992580701</v>
      </c>
      <c r="U1596">
        <v>72.802729360108202</v>
      </c>
      <c r="V1596">
        <v>96.370624728834201</v>
      </c>
      <c r="W1596">
        <v>144.31156544440501</v>
      </c>
    </row>
    <row r="1597" spans="1:23" x14ac:dyDescent="0.2">
      <c r="A1597" t="s">
        <v>3203</v>
      </c>
      <c r="B1597" s="3" t="str">
        <f>HYPERLINK("http://www.ncbi.nlm.nih.gov/gene/210417","Thsd7b")</f>
        <v>Thsd7b</v>
      </c>
      <c r="C1597">
        <v>210417</v>
      </c>
      <c r="D1597" t="s">
        <v>3204</v>
      </c>
      <c r="E1597" s="3" t="str">
        <f>HYPERLINK("http://genome.ucsc.edu/cgi-bin/hgTracks?db=mm10&amp;lastVirtModeType=default&amp;lastVirtModeExtraState=&amp;virtModeType=default&amp;virtMode=0&amp;nonVirtPosition=&amp;position=chr1:129273303-130219278","chr1:129273303-130219278")</f>
        <v>chr1:129273303-130219278</v>
      </c>
      <c r="F1597" t="s">
        <v>30</v>
      </c>
      <c r="G1597">
        <v>-1.0691406719979399</v>
      </c>
      <c r="H1597">
        <v>0.29657994272215998</v>
      </c>
      <c r="I1597">
        <v>-3.6048987742894201</v>
      </c>
      <c r="J1597">
        <v>3.1227461959418002E-4</v>
      </c>
      <c r="K1597">
        <v>2.6233810733912598E-3</v>
      </c>
      <c r="L1597" t="s">
        <v>26</v>
      </c>
      <c r="M1597" t="s">
        <v>27</v>
      </c>
      <c r="N1597">
        <v>107.809353019993</v>
      </c>
      <c r="O1597">
        <v>161.43002701622299</v>
      </c>
      <c r="P1597">
        <v>67.593847522821093</v>
      </c>
      <c r="Q1597">
        <v>266.14683699073697</v>
      </c>
      <c r="R1597">
        <v>98.606278197269603</v>
      </c>
      <c r="S1597">
        <v>119.53696586066199</v>
      </c>
      <c r="T1597">
        <v>68.744320733718993</v>
      </c>
      <c r="U1597">
        <v>92.074040073077995</v>
      </c>
      <c r="V1597">
        <v>46.346178304706498</v>
      </c>
      <c r="W1597">
        <v>63.210850979780702</v>
      </c>
    </row>
    <row r="1598" spans="1:23" x14ac:dyDescent="0.2">
      <c r="A1598" t="s">
        <v>3205</v>
      </c>
      <c r="B1598" s="3" t="str">
        <f>HYPERLINK("http://www.ncbi.nlm.nih.gov/gene/107065","Lrrtm2")</f>
        <v>Lrrtm2</v>
      </c>
      <c r="C1598">
        <v>107065</v>
      </c>
      <c r="D1598" t="s">
        <v>3206</v>
      </c>
      <c r="E1598" s="3" t="str">
        <f>HYPERLINK("http://genome.ucsc.edu/cgi-bin/hgTracks?db=mm10&amp;lastVirtModeType=default&amp;lastVirtModeExtraState=&amp;virtModeType=default&amp;virtMode=0&amp;nonVirtPosition=&amp;position=chr18:35209005-35215024","chr18:35209005-35215024")</f>
        <v>chr18:35209005-35215024</v>
      </c>
      <c r="F1598" t="s">
        <v>25</v>
      </c>
      <c r="G1598">
        <v>-0.620390484356935</v>
      </c>
      <c r="H1598">
        <v>0.17211898239328499</v>
      </c>
      <c r="I1598">
        <v>-3.6044280283935701</v>
      </c>
      <c r="J1598">
        <v>3.12841123155953E-4</v>
      </c>
      <c r="K1598">
        <v>2.62649246406356E-3</v>
      </c>
      <c r="L1598" t="s">
        <v>26</v>
      </c>
      <c r="M1598" t="s">
        <v>27</v>
      </c>
      <c r="N1598">
        <v>384.69302217501502</v>
      </c>
      <c r="O1598">
        <v>487.58303831230302</v>
      </c>
      <c r="P1598">
        <v>307.52551007204801</v>
      </c>
      <c r="Q1598">
        <v>620.82368879638295</v>
      </c>
      <c r="R1598">
        <v>416.04264300924899</v>
      </c>
      <c r="S1598">
        <v>425.88278313127603</v>
      </c>
      <c r="T1598">
        <v>279.560237650457</v>
      </c>
      <c r="U1598">
        <v>321.18851188283003</v>
      </c>
      <c r="V1598">
        <v>353.84939308831503</v>
      </c>
      <c r="W1598">
        <v>275.503897666591</v>
      </c>
    </row>
    <row r="1599" spans="1:23" x14ac:dyDescent="0.2">
      <c r="A1599" t="s">
        <v>3207</v>
      </c>
      <c r="B1599" s="3" t="str">
        <f>HYPERLINK("http://www.ncbi.nlm.nih.gov/gene/96935","Susd4")</f>
        <v>Susd4</v>
      </c>
      <c r="C1599">
        <v>96935</v>
      </c>
      <c r="D1599" t="s">
        <v>3208</v>
      </c>
      <c r="E1599" s="3" t="str">
        <f>HYPERLINK("http://genome.ucsc.edu/cgi-bin/hgTracks?db=mm10&amp;lastVirtModeType=default&amp;lastVirtModeExtraState=&amp;virtModeType=default&amp;virtMode=0&amp;nonVirtPosition=&amp;position=chr1:182764905-182895654","chr1:182764905-182895654")</f>
        <v>chr1:182764905-182895654</v>
      </c>
      <c r="F1599" t="s">
        <v>30</v>
      </c>
      <c r="G1599">
        <v>-0.552630271680012</v>
      </c>
      <c r="H1599">
        <v>0.15348851883360101</v>
      </c>
      <c r="I1599">
        <v>-3.6004665096750599</v>
      </c>
      <c r="J1599">
        <v>3.1764674313470101E-4</v>
      </c>
      <c r="K1599">
        <v>2.6651676298977299E-3</v>
      </c>
      <c r="L1599" t="s">
        <v>26</v>
      </c>
      <c r="M1599" t="s">
        <v>27</v>
      </c>
      <c r="N1599">
        <v>675.74528537006904</v>
      </c>
      <c r="O1599">
        <v>834.23328212394597</v>
      </c>
      <c r="P1599">
        <v>556.87928780466302</v>
      </c>
      <c r="Q1599">
        <v>1006.12413063235</v>
      </c>
      <c r="R1599">
        <v>746.75292988624597</v>
      </c>
      <c r="S1599">
        <v>749.82278585324195</v>
      </c>
      <c r="T1599">
        <v>485.79319985161402</v>
      </c>
      <c r="U1599">
        <v>640.23576701977504</v>
      </c>
      <c r="V1599">
        <v>601.76466433730002</v>
      </c>
      <c r="W1599">
        <v>499.72352000996398</v>
      </c>
    </row>
    <row r="1600" spans="1:23" x14ac:dyDescent="0.2">
      <c r="A1600" t="s">
        <v>3209</v>
      </c>
      <c r="B1600" s="3" t="str">
        <f>HYPERLINK("http://www.ncbi.nlm.nih.gov/gene/73130","Tmed5")</f>
        <v>Tmed5</v>
      </c>
      <c r="C1600">
        <v>73130</v>
      </c>
      <c r="D1600" t="s">
        <v>3210</v>
      </c>
      <c r="E1600" s="3" t="str">
        <f>HYPERLINK("http://genome.ucsc.edu/cgi-bin/hgTracks?db=mm10&amp;lastVirtModeType=default&amp;lastVirtModeExtraState=&amp;virtModeType=default&amp;virtMode=0&amp;nonVirtPosition=&amp;position=chr5:108121646-108132591","chr5:108121646-108132591")</f>
        <v>chr5:108121646-108132591</v>
      </c>
      <c r="F1600" t="s">
        <v>25</v>
      </c>
      <c r="G1600">
        <v>-0.48652596270427001</v>
      </c>
      <c r="H1600">
        <v>0.13516053993670199</v>
      </c>
      <c r="I1600">
        <v>-3.5996154123986099</v>
      </c>
      <c r="J1600">
        <v>3.1868816606290298E-4</v>
      </c>
      <c r="K1600">
        <v>2.6722312033489902E-3</v>
      </c>
      <c r="L1600" t="s">
        <v>26</v>
      </c>
      <c r="M1600" t="s">
        <v>27</v>
      </c>
      <c r="N1600">
        <v>252.098683062448</v>
      </c>
      <c r="O1600">
        <v>303.73173625944997</v>
      </c>
      <c r="P1600">
        <v>213.37389316469699</v>
      </c>
      <c r="Q1600">
        <v>333.51873505742901</v>
      </c>
      <c r="R1600">
        <v>286.33746168822501</v>
      </c>
      <c r="S1600">
        <v>291.339012032695</v>
      </c>
      <c r="T1600">
        <v>210.81591691673799</v>
      </c>
      <c r="U1600">
        <v>216.26693133443899</v>
      </c>
      <c r="V1600">
        <v>233.202198771301</v>
      </c>
      <c r="W1600">
        <v>193.21052563631099</v>
      </c>
    </row>
    <row r="1601" spans="1:23" x14ac:dyDescent="0.2">
      <c r="A1601" t="s">
        <v>3211</v>
      </c>
      <c r="B1601" s="3" t="str">
        <f>HYPERLINK("http://www.ncbi.nlm.nih.gov/gene/17449","Mdh1")</f>
        <v>Mdh1</v>
      </c>
      <c r="C1601">
        <v>17449</v>
      </c>
      <c r="D1601" t="s">
        <v>3212</v>
      </c>
      <c r="E1601" s="3" t="str">
        <f>HYPERLINK("http://genome.ucsc.edu/cgi-bin/hgTracks?db=mm10&amp;lastVirtModeType=default&amp;lastVirtModeExtraState=&amp;virtModeType=default&amp;virtMode=0&amp;nonVirtPosition=&amp;position=chr11:21556691-21571934","chr11:21556691-21571934")</f>
        <v>chr11:21556691-21571934</v>
      </c>
      <c r="F1601" t="s">
        <v>25</v>
      </c>
      <c r="G1601">
        <v>-0.57347744462193095</v>
      </c>
      <c r="H1601">
        <v>0.15938934443883601</v>
      </c>
      <c r="I1601">
        <v>-3.5979660161159401</v>
      </c>
      <c r="J1601">
        <v>3.2071551157980999E-4</v>
      </c>
      <c r="K1601">
        <v>2.68754781950265E-3</v>
      </c>
      <c r="L1601" t="s">
        <v>26</v>
      </c>
      <c r="M1601" t="s">
        <v>27</v>
      </c>
      <c r="N1601">
        <v>706.63688409815404</v>
      </c>
      <c r="O1601">
        <v>879.44937603648702</v>
      </c>
      <c r="P1601">
        <v>577.02751514440297</v>
      </c>
      <c r="Q1601">
        <v>787.86145259810098</v>
      </c>
      <c r="R1601">
        <v>1047.88133330406</v>
      </c>
      <c r="S1601">
        <v>802.60534220730096</v>
      </c>
      <c r="T1601">
        <v>522.45683757626398</v>
      </c>
      <c r="U1601">
        <v>498.91282179132997</v>
      </c>
      <c r="V1601">
        <v>572.33851938193095</v>
      </c>
      <c r="W1601">
        <v>714.40188182808799</v>
      </c>
    </row>
    <row r="1602" spans="1:23" x14ac:dyDescent="0.2">
      <c r="A1602" t="s">
        <v>3213</v>
      </c>
      <c r="B1602" s="3" t="str">
        <f>HYPERLINK("http://www.ncbi.nlm.nih.gov/gene/58988","Rps6kb2")</f>
        <v>Rps6kb2</v>
      </c>
      <c r="C1602">
        <v>58988</v>
      </c>
      <c r="D1602" t="s">
        <v>1939</v>
      </c>
      <c r="E1602" s="3" t="str">
        <f>HYPERLINK("http://genome.ucsc.edu/cgi-bin/hgTracks?db=mm10&amp;lastVirtModeType=default&amp;lastVirtModeExtraState=&amp;virtModeType=default&amp;virtMode=0&amp;nonVirtPosition=&amp;position=chr19:4156976-4163245","chr19:4156976-4163245")</f>
        <v>chr19:4156976-4163245</v>
      </c>
      <c r="F1602" t="s">
        <v>25</v>
      </c>
      <c r="G1602">
        <v>0.69596778700883499</v>
      </c>
      <c r="H1602">
        <v>0.19345071784496101</v>
      </c>
      <c r="I1602">
        <v>3.5976490279380098</v>
      </c>
      <c r="J1602">
        <v>3.2110651604239001E-4</v>
      </c>
      <c r="K1602">
        <v>2.6891415611780098E-3</v>
      </c>
      <c r="L1602" t="s">
        <v>26</v>
      </c>
      <c r="M1602" t="s">
        <v>27</v>
      </c>
      <c r="N1602">
        <v>102.050135244149</v>
      </c>
      <c r="O1602">
        <v>74.100662235071894</v>
      </c>
      <c r="P1602">
        <v>123.012240000958</v>
      </c>
      <c r="Q1602">
        <v>56.792839692583897</v>
      </c>
      <c r="R1602">
        <v>81.160552054675705</v>
      </c>
      <c r="S1602">
        <v>84.348594957956195</v>
      </c>
      <c r="T1602">
        <v>119.15682260511301</v>
      </c>
      <c r="U1602">
        <v>109.204094040162</v>
      </c>
      <c r="V1602">
        <v>126.532423308088</v>
      </c>
      <c r="W1602">
        <v>137.155620050468</v>
      </c>
    </row>
    <row r="1603" spans="1:23" x14ac:dyDescent="0.2">
      <c r="A1603" t="s">
        <v>3214</v>
      </c>
      <c r="B1603" s="3" t="str">
        <f>HYPERLINK("http://www.ncbi.nlm.nih.gov/gene/503610","Zdhhc18")</f>
        <v>Zdhhc18</v>
      </c>
      <c r="C1603">
        <v>503610</v>
      </c>
      <c r="D1603" t="s">
        <v>3215</v>
      </c>
      <c r="E1603" s="3" t="str">
        <f>HYPERLINK("http://genome.ucsc.edu/cgi-bin/hgTracks?db=mm10&amp;lastVirtModeType=default&amp;lastVirtModeExtraState=&amp;virtModeType=default&amp;virtMode=0&amp;nonVirtPosition=&amp;position=chr4:133606991-133633429","chr4:133606991-133633429")</f>
        <v>chr4:133606991-133633429</v>
      </c>
      <c r="F1603" t="s">
        <v>25</v>
      </c>
      <c r="G1603">
        <v>0.52211010278825998</v>
      </c>
      <c r="H1603">
        <v>0.14520137468689101</v>
      </c>
      <c r="I1603">
        <v>3.5957655629234</v>
      </c>
      <c r="J1603">
        <v>3.2343898461381897E-4</v>
      </c>
      <c r="K1603">
        <v>2.70698215185228E-3</v>
      </c>
      <c r="L1603" t="s">
        <v>26</v>
      </c>
      <c r="M1603" t="s">
        <v>27</v>
      </c>
      <c r="N1603">
        <v>168.83763242167601</v>
      </c>
      <c r="O1603">
        <v>135.228011110669</v>
      </c>
      <c r="P1603">
        <v>194.044848404932</v>
      </c>
      <c r="Q1603">
        <v>134.18700358737999</v>
      </c>
      <c r="R1603">
        <v>124.01635757887399</v>
      </c>
      <c r="S1603">
        <v>147.480672165752</v>
      </c>
      <c r="T1603">
        <v>187.90114333883199</v>
      </c>
      <c r="U1603">
        <v>182.00682340027001</v>
      </c>
      <c r="V1603">
        <v>211.86824367865799</v>
      </c>
      <c r="W1603">
        <v>194.40318320196701</v>
      </c>
    </row>
    <row r="1604" spans="1:23" x14ac:dyDescent="0.2">
      <c r="A1604" t="s">
        <v>3216</v>
      </c>
      <c r="B1604" s="3" t="str">
        <f>HYPERLINK("http://www.ncbi.nlm.nih.gov/gene/19166","Psma2")</f>
        <v>Psma2</v>
      </c>
      <c r="C1604">
        <v>19166</v>
      </c>
      <c r="D1604" t="s">
        <v>3217</v>
      </c>
      <c r="E1604" s="3" t="str">
        <f>HYPERLINK("http://genome.ucsc.edu/cgi-bin/hgTracks?db=mm10&amp;lastVirtModeType=default&amp;lastVirtModeExtraState=&amp;virtModeType=default&amp;virtMode=0&amp;nonVirtPosition=&amp;position=chr13:14613241-14625673","chr13:14613241-14625673")</f>
        <v>chr13:14613241-14625673</v>
      </c>
      <c r="F1604" t="s">
        <v>30</v>
      </c>
      <c r="G1604">
        <v>-0.44655745966677102</v>
      </c>
      <c r="H1604">
        <v>0.124198445581231</v>
      </c>
      <c r="I1604">
        <v>-3.5955156892418798</v>
      </c>
      <c r="J1604">
        <v>3.2374961499413398E-4</v>
      </c>
      <c r="K1604">
        <v>2.7078895030521201E-3</v>
      </c>
      <c r="L1604" t="s">
        <v>26</v>
      </c>
      <c r="M1604" t="s">
        <v>27</v>
      </c>
      <c r="N1604">
        <v>328.694454149629</v>
      </c>
      <c r="O1604">
        <v>390.30827407447401</v>
      </c>
      <c r="P1604">
        <v>282.48408920599502</v>
      </c>
      <c r="Q1604">
        <v>362.471947449727</v>
      </c>
      <c r="R1604">
        <v>431.21283965498299</v>
      </c>
      <c r="S1604">
        <v>377.240035118712</v>
      </c>
      <c r="T1604">
        <v>274.97728293487597</v>
      </c>
      <c r="U1604">
        <v>274.08086347334898</v>
      </c>
      <c r="V1604">
        <v>299.41102492088203</v>
      </c>
      <c r="W1604">
        <v>281.46718549487298</v>
      </c>
    </row>
    <row r="1605" spans="1:23" x14ac:dyDescent="0.2">
      <c r="A1605" t="s">
        <v>3218</v>
      </c>
      <c r="B1605" s="3" t="str">
        <f>HYPERLINK("http://www.ncbi.nlm.nih.gov/gene/224907","Dus3l")</f>
        <v>Dus3l</v>
      </c>
      <c r="C1605">
        <v>224907</v>
      </c>
      <c r="D1605" t="s">
        <v>3219</v>
      </c>
      <c r="E1605" s="3" t="str">
        <f>HYPERLINK("http://genome.ucsc.edu/cgi-bin/hgTracks?db=mm10&amp;lastVirtModeType=default&amp;lastVirtModeExtraState=&amp;virtModeType=default&amp;virtMode=0&amp;nonVirtPosition=&amp;position=chr17:56764750-56770093","chr17:56764750-56770093")</f>
        <v>chr17:56764750-56770093</v>
      </c>
      <c r="F1605" t="s">
        <v>30</v>
      </c>
      <c r="G1605">
        <v>0.61047555575887402</v>
      </c>
      <c r="H1605">
        <v>0.16982971485359299</v>
      </c>
      <c r="I1605">
        <v>3.5946333436710498</v>
      </c>
      <c r="J1605">
        <v>3.2484873781671601E-4</v>
      </c>
      <c r="K1605">
        <v>2.7153866717251202E-3</v>
      </c>
      <c r="L1605" t="s">
        <v>26</v>
      </c>
      <c r="M1605" t="s">
        <v>27</v>
      </c>
      <c r="N1605">
        <v>185.91685947611501</v>
      </c>
      <c r="O1605">
        <v>140.58139169788399</v>
      </c>
      <c r="P1605">
        <v>219.91846030978701</v>
      </c>
      <c r="Q1605">
        <v>110.244924109134</v>
      </c>
      <c r="R1605">
        <v>150.564201708908</v>
      </c>
      <c r="S1605">
        <v>160.93504927561</v>
      </c>
      <c r="T1605">
        <v>215.39887163231899</v>
      </c>
      <c r="U1605">
        <v>224.83195831798099</v>
      </c>
      <c r="V1605">
        <v>194.948210329321</v>
      </c>
      <c r="W1605">
        <v>244.49480095952899</v>
      </c>
    </row>
    <row r="1606" spans="1:23" x14ac:dyDescent="0.2">
      <c r="A1606" t="s">
        <v>3220</v>
      </c>
      <c r="B1606" s="3" t="str">
        <f>HYPERLINK("http://www.ncbi.nlm.nih.gov/gene/12125","Bcl2l11")</f>
        <v>Bcl2l11</v>
      </c>
      <c r="C1606">
        <v>12125</v>
      </c>
      <c r="D1606" t="s">
        <v>3221</v>
      </c>
      <c r="E1606" s="3" t="str">
        <f>HYPERLINK("http://genome.ucsc.edu/cgi-bin/hgTracks?db=mm10&amp;lastVirtModeType=default&amp;lastVirtModeExtraState=&amp;virtModeType=default&amp;virtMode=0&amp;nonVirtPosition=&amp;position=chr2:128127574-128131498","chr2:128127574-128131498")</f>
        <v>chr2:128127574-128131498</v>
      </c>
      <c r="F1606" t="s">
        <v>30</v>
      </c>
      <c r="G1606">
        <v>0.77565072332405005</v>
      </c>
      <c r="H1606">
        <v>0.21579246354311199</v>
      </c>
      <c r="I1606">
        <v>3.5944291593347799</v>
      </c>
      <c r="J1606">
        <v>3.2510358387836502E-4</v>
      </c>
      <c r="K1606">
        <v>2.71582164174372E-3</v>
      </c>
      <c r="L1606" t="s">
        <v>26</v>
      </c>
      <c r="M1606" t="s">
        <v>27</v>
      </c>
      <c r="N1606">
        <v>83.905627282156004</v>
      </c>
      <c r="O1606">
        <v>56.621978337122499</v>
      </c>
      <c r="P1606">
        <v>104.368363990931</v>
      </c>
      <c r="Q1606">
        <v>50.668121686520998</v>
      </c>
      <c r="R1606">
        <v>47.786119434061398</v>
      </c>
      <c r="S1606">
        <v>71.411693890785003</v>
      </c>
      <c r="T1606">
        <v>137.48864146743799</v>
      </c>
      <c r="U1606">
        <v>83.509013089535898</v>
      </c>
      <c r="V1606">
        <v>102.255853719908</v>
      </c>
      <c r="W1606">
        <v>94.2199476868429</v>
      </c>
    </row>
    <row r="1607" spans="1:23" x14ac:dyDescent="0.2">
      <c r="A1607" t="s">
        <v>3222</v>
      </c>
      <c r="B1607" s="3" t="str">
        <f>HYPERLINK("http://www.ncbi.nlm.nih.gov/gene/74334","Ranbp10")</f>
        <v>Ranbp10</v>
      </c>
      <c r="C1607">
        <v>74334</v>
      </c>
      <c r="D1607" t="s">
        <v>3223</v>
      </c>
      <c r="E1607" s="3" t="str">
        <f>HYPERLINK("http://genome.ucsc.edu/cgi-bin/hgTracks?db=mm10&amp;lastVirtModeType=default&amp;lastVirtModeExtraState=&amp;virtModeType=default&amp;virtMode=0&amp;nonVirtPosition=&amp;position=chr8:105768307-105827350","chr8:105768307-105827350")</f>
        <v>chr8:105768307-105827350</v>
      </c>
      <c r="F1607" t="s">
        <v>25</v>
      </c>
      <c r="G1607">
        <v>0.54231481955536798</v>
      </c>
      <c r="H1607">
        <v>0.15089255014928399</v>
      </c>
      <c r="I1607">
        <v>3.5940463529765698</v>
      </c>
      <c r="J1607">
        <v>3.2558187555301401E-4</v>
      </c>
      <c r="K1607">
        <v>2.7181215059416501E-3</v>
      </c>
      <c r="L1607" t="s">
        <v>26</v>
      </c>
      <c r="M1607" t="s">
        <v>27</v>
      </c>
      <c r="N1607">
        <v>194.79807733924201</v>
      </c>
      <c r="O1607">
        <v>153.980793737168</v>
      </c>
      <c r="P1607">
        <v>225.41104004079801</v>
      </c>
      <c r="Q1607">
        <v>149.77719487554</v>
      </c>
      <c r="R1607">
        <v>133.118475566314</v>
      </c>
      <c r="S1607">
        <v>179.046710769649</v>
      </c>
      <c r="T1607">
        <v>215.39887163231899</v>
      </c>
      <c r="U1607">
        <v>226.973215063867</v>
      </c>
      <c r="V1607">
        <v>239.82308138625899</v>
      </c>
      <c r="W1607">
        <v>219.44899208074801</v>
      </c>
    </row>
    <row r="1608" spans="1:23" x14ac:dyDescent="0.2">
      <c r="A1608" t="s">
        <v>3224</v>
      </c>
      <c r="B1608" s="3" t="str">
        <f>HYPERLINK("http://www.ncbi.nlm.nih.gov/gene/14027","Evpl")</f>
        <v>Evpl</v>
      </c>
      <c r="C1608">
        <v>14027</v>
      </c>
      <c r="D1608" t="s">
        <v>3225</v>
      </c>
      <c r="E1608" s="3" t="str">
        <f>HYPERLINK("http://genome.ucsc.edu/cgi-bin/hgTracks?db=mm10&amp;lastVirtModeType=default&amp;lastVirtModeExtraState=&amp;virtModeType=default&amp;virtMode=0&amp;nonVirtPosition=&amp;position=chr11:116220558-116238091","chr11:116220558-116238091")</f>
        <v>chr11:116220558-116238091</v>
      </c>
      <c r="F1608" t="s">
        <v>25</v>
      </c>
      <c r="G1608">
        <v>1.1387788399202401</v>
      </c>
      <c r="H1608">
        <v>0.31697455321759399</v>
      </c>
      <c r="I1608">
        <v>3.5926506666246598</v>
      </c>
      <c r="J1608">
        <v>3.2733127829528199E-4</v>
      </c>
      <c r="K1608">
        <v>2.7310237680075598E-3</v>
      </c>
      <c r="L1608" t="s">
        <v>26</v>
      </c>
      <c r="M1608" t="s">
        <v>27</v>
      </c>
      <c r="N1608">
        <v>26.8255429466452</v>
      </c>
      <c r="O1608">
        <v>13.214478144481699</v>
      </c>
      <c r="P1608">
        <v>37.033841548267802</v>
      </c>
      <c r="Q1608">
        <v>17.260568926177498</v>
      </c>
      <c r="R1608">
        <v>10.998392568157</v>
      </c>
      <c r="S1608">
        <v>11.3844729391106</v>
      </c>
      <c r="T1608">
        <v>41.246592440231403</v>
      </c>
      <c r="U1608">
        <v>53.531418647138402</v>
      </c>
      <c r="V1608">
        <v>23.540915964295401</v>
      </c>
      <c r="W1608">
        <v>29.816439141406001</v>
      </c>
    </row>
    <row r="1609" spans="1:23" x14ac:dyDescent="0.2">
      <c r="A1609" t="s">
        <v>3226</v>
      </c>
      <c r="B1609" s="3" t="str">
        <f>HYPERLINK("http://www.ncbi.nlm.nih.gov/gene/11800","Api5")</f>
        <v>Api5</v>
      </c>
      <c r="C1609">
        <v>11800</v>
      </c>
      <c r="D1609" t="s">
        <v>3227</v>
      </c>
      <c r="E1609" s="3" t="str">
        <f>HYPERLINK("http://genome.ucsc.edu/cgi-bin/hgTracks?db=mm10&amp;lastVirtModeType=default&amp;lastVirtModeExtraState=&amp;virtModeType=default&amp;virtMode=0&amp;nonVirtPosition=&amp;position=chr2:94411726-94438186","chr2:94411726-94438186")</f>
        <v>chr2:94411726-94438186</v>
      </c>
      <c r="F1609" t="s">
        <v>25</v>
      </c>
      <c r="G1609">
        <v>-0.41434374937430202</v>
      </c>
      <c r="H1609">
        <v>0.115371851241944</v>
      </c>
      <c r="I1609">
        <v>-3.5913764485358701</v>
      </c>
      <c r="J1609">
        <v>3.2893610657404603E-4</v>
      </c>
      <c r="K1609">
        <v>2.7427044851388899E-3</v>
      </c>
      <c r="L1609" t="s">
        <v>26</v>
      </c>
      <c r="M1609" t="s">
        <v>27</v>
      </c>
      <c r="N1609">
        <v>496.839974554089</v>
      </c>
      <c r="O1609">
        <v>581.82770857962896</v>
      </c>
      <c r="P1609">
        <v>433.09917403493398</v>
      </c>
      <c r="Q1609">
        <v>535.07763671150201</v>
      </c>
      <c r="R1609">
        <v>641.69931811453898</v>
      </c>
      <c r="S1609">
        <v>568.70617091284601</v>
      </c>
      <c r="T1609">
        <v>426.21478854905803</v>
      </c>
      <c r="U1609">
        <v>434.67511941476403</v>
      </c>
      <c r="V1609">
        <v>451.69132506491701</v>
      </c>
      <c r="W1609">
        <v>419.81546311099601</v>
      </c>
    </row>
    <row r="1610" spans="1:23" x14ac:dyDescent="0.2">
      <c r="A1610" t="s">
        <v>3228</v>
      </c>
      <c r="B1610" s="3" t="str">
        <f>HYPERLINK("http://www.ncbi.nlm.nih.gov/gene/17977","Ncoa1")</f>
        <v>Ncoa1</v>
      </c>
      <c r="C1610">
        <v>17977</v>
      </c>
      <c r="D1610" t="s">
        <v>3229</v>
      </c>
      <c r="E1610" s="3" t="str">
        <f>HYPERLINK("http://genome.ucsc.edu/cgi-bin/hgTracks?db=mm10&amp;lastVirtModeType=default&amp;lastVirtModeExtraState=&amp;virtModeType=default&amp;virtMode=0&amp;nonVirtPosition=&amp;position=chr12:4247361-4477182","chr12:4247361-4477182")</f>
        <v>chr12:4247361-4477182</v>
      </c>
      <c r="F1610" t="s">
        <v>25</v>
      </c>
      <c r="G1610">
        <v>-0.51322612857564598</v>
      </c>
      <c r="H1610">
        <v>0.14292626164425001</v>
      </c>
      <c r="I1610">
        <v>-3.5908455358126501</v>
      </c>
      <c r="J1610">
        <v>3.29606941189366E-4</v>
      </c>
      <c r="K1610">
        <v>2.7465877719146299E-3</v>
      </c>
      <c r="L1610" t="s">
        <v>26</v>
      </c>
      <c r="M1610" t="s">
        <v>27</v>
      </c>
      <c r="N1610">
        <v>539.97168370628799</v>
      </c>
      <c r="O1610">
        <v>661.81709517545096</v>
      </c>
      <c r="P1610">
        <v>448.58762510441699</v>
      </c>
      <c r="Q1610">
        <v>722.71672471543104</v>
      </c>
      <c r="R1610">
        <v>650.042926269693</v>
      </c>
      <c r="S1610">
        <v>612.69163454122804</v>
      </c>
      <c r="T1610">
        <v>339.13864895301401</v>
      </c>
      <c r="U1610">
        <v>462.511457111276</v>
      </c>
      <c r="V1610">
        <v>531.14191644441405</v>
      </c>
      <c r="W1610">
        <v>461.55847790896502</v>
      </c>
    </row>
    <row r="1611" spans="1:23" x14ac:dyDescent="0.2">
      <c r="A1611" t="s">
        <v>3230</v>
      </c>
      <c r="B1611" s="3" t="str">
        <f>HYPERLINK("http://www.ncbi.nlm.nih.gov/gene/67512","Agpat2")</f>
        <v>Agpat2</v>
      </c>
      <c r="C1611">
        <v>67512</v>
      </c>
      <c r="D1611" t="s">
        <v>3231</v>
      </c>
      <c r="E1611" s="3" t="str">
        <f>HYPERLINK("http://genome.ucsc.edu/cgi-bin/hgTracks?db=mm10&amp;lastVirtModeType=default&amp;lastVirtModeExtraState=&amp;virtModeType=default&amp;virtMode=0&amp;nonVirtPosition=&amp;position=chr2:26593056-26604417","chr2:26593056-26604417")</f>
        <v>chr2:26593056-26604417</v>
      </c>
      <c r="F1611" t="s">
        <v>25</v>
      </c>
      <c r="G1611">
        <v>1.13333917265793</v>
      </c>
      <c r="H1611">
        <v>0.31565858552891002</v>
      </c>
      <c r="I1611">
        <v>3.5903955241988199</v>
      </c>
      <c r="J1611">
        <v>3.3017655552198898E-4</v>
      </c>
      <c r="K1611">
        <v>2.74962329290731E-3</v>
      </c>
      <c r="L1611" t="s">
        <v>26</v>
      </c>
      <c r="M1611" t="s">
        <v>27</v>
      </c>
      <c r="N1611">
        <v>18.944136456377301</v>
      </c>
      <c r="O1611">
        <v>9.8339974551768599</v>
      </c>
      <c r="P1611">
        <v>25.7767407072776</v>
      </c>
      <c r="Q1611">
        <v>9.4654732820973209</v>
      </c>
      <c r="R1611">
        <v>11.7569024004437</v>
      </c>
      <c r="S1611">
        <v>8.2796166829895608</v>
      </c>
      <c r="T1611">
        <v>18.3318188623251</v>
      </c>
      <c r="U1611">
        <v>34.260107934168602</v>
      </c>
      <c r="V1611">
        <v>24.276569588179601</v>
      </c>
      <c r="W1611">
        <v>26.2384664444373</v>
      </c>
    </row>
    <row r="1612" spans="1:23" x14ac:dyDescent="0.2">
      <c r="A1612" t="s">
        <v>3232</v>
      </c>
      <c r="B1612" s="3" t="str">
        <f>HYPERLINK("http://www.ncbi.nlm.nih.gov/gene/77573","Vps33a")</f>
        <v>Vps33a</v>
      </c>
      <c r="C1612">
        <v>77573</v>
      </c>
      <c r="D1612" t="s">
        <v>3233</v>
      </c>
      <c r="E1612" s="3" t="str">
        <f>HYPERLINK("http://genome.ucsc.edu/cgi-bin/hgTracks?db=mm10&amp;lastVirtModeType=default&amp;lastVirtModeExtraState=&amp;virtModeType=default&amp;virtMode=0&amp;nonVirtPosition=&amp;position=chr5:123528759-123573015","chr5:123528759-123573015")</f>
        <v>chr5:123528759-123573015</v>
      </c>
      <c r="F1612" t="s">
        <v>25</v>
      </c>
      <c r="G1612">
        <v>-0.38502982802751201</v>
      </c>
      <c r="H1612">
        <v>0.107258376708308</v>
      </c>
      <c r="I1612">
        <v>-3.5897413315755302</v>
      </c>
      <c r="J1612">
        <v>3.31006260607502E-4</v>
      </c>
      <c r="K1612">
        <v>2.7548196617744399E-3</v>
      </c>
      <c r="L1612" t="s">
        <v>26</v>
      </c>
      <c r="M1612" t="s">
        <v>27</v>
      </c>
      <c r="N1612">
        <v>441.31699962482702</v>
      </c>
      <c r="O1612">
        <v>512.71529458132602</v>
      </c>
      <c r="P1612">
        <v>387.76827840745301</v>
      </c>
      <c r="Q1612">
        <v>486.63668520900399</v>
      </c>
      <c r="R1612">
        <v>521.09625478095597</v>
      </c>
      <c r="S1612">
        <v>530.41294375401901</v>
      </c>
      <c r="T1612">
        <v>357.47046781533902</v>
      </c>
      <c r="U1612">
        <v>411.12129521002299</v>
      </c>
      <c r="V1612">
        <v>397.25295689748401</v>
      </c>
      <c r="W1612">
        <v>385.22839370696499</v>
      </c>
    </row>
    <row r="1613" spans="1:23" x14ac:dyDescent="0.2">
      <c r="A1613" t="s">
        <v>3234</v>
      </c>
      <c r="B1613" s="3" t="str">
        <f>HYPERLINK("http://www.ncbi.nlm.nih.gov/gene/214459","Fnbp1l")</f>
        <v>Fnbp1l</v>
      </c>
      <c r="C1613">
        <v>214459</v>
      </c>
      <c r="D1613" t="s">
        <v>3235</v>
      </c>
      <c r="E1613" s="3" t="str">
        <f>HYPERLINK("http://genome.ucsc.edu/cgi-bin/hgTracks?db=mm10&amp;lastVirtModeType=default&amp;lastVirtModeExtraState=&amp;virtModeType=default&amp;virtMode=0&amp;nonVirtPosition=&amp;position=chr3:122538718-122619714","chr3:122538718-122619714")</f>
        <v>chr3:122538718-122619714</v>
      </c>
      <c r="F1613" t="s">
        <v>25</v>
      </c>
      <c r="G1613">
        <v>0.49468981313375598</v>
      </c>
      <c r="H1613">
        <v>0.13781817066964</v>
      </c>
      <c r="I1613">
        <v>3.58943824845537</v>
      </c>
      <c r="J1613">
        <v>3.3139131847701001E-4</v>
      </c>
      <c r="K1613">
        <v>2.7563112706370401E-3</v>
      </c>
      <c r="L1613" t="s">
        <v>26</v>
      </c>
      <c r="M1613" t="s">
        <v>27</v>
      </c>
      <c r="N1613">
        <v>409.662787485129</v>
      </c>
      <c r="O1613">
        <v>327.42245513394499</v>
      </c>
      <c r="P1613">
        <v>471.343036748516</v>
      </c>
      <c r="Q1613">
        <v>278.39627300286202</v>
      </c>
      <c r="R1613">
        <v>344.74271877429999</v>
      </c>
      <c r="S1613">
        <v>359.12837362467201</v>
      </c>
      <c r="T1613">
        <v>536.20570172300802</v>
      </c>
      <c r="U1613">
        <v>421.82757893945001</v>
      </c>
      <c r="V1613">
        <v>434.77129171557999</v>
      </c>
      <c r="W1613">
        <v>492.567574616027</v>
      </c>
    </row>
    <row r="1614" spans="1:23" x14ac:dyDescent="0.2">
      <c r="A1614" t="s">
        <v>3236</v>
      </c>
      <c r="B1614" s="3" t="str">
        <f>HYPERLINK("http://www.ncbi.nlm.nih.gov/gene/212943","Fam46a")</f>
        <v>Fam46a</v>
      </c>
      <c r="C1614">
        <v>212943</v>
      </c>
      <c r="D1614" t="s">
        <v>3237</v>
      </c>
      <c r="E1614" s="3" t="str">
        <f>HYPERLINK("http://genome.ucsc.edu/cgi-bin/hgTracks?db=mm10&amp;lastVirtModeType=default&amp;lastVirtModeExtraState=&amp;virtModeType=default&amp;virtMode=0&amp;nonVirtPosition=&amp;position=chr9:85320438-85327124","chr9:85320438-85327124")</f>
        <v>chr9:85320438-85327124</v>
      </c>
      <c r="F1614" t="s">
        <v>25</v>
      </c>
      <c r="G1614">
        <v>-0.80163125705494698</v>
      </c>
      <c r="H1614">
        <v>0.22339486019045399</v>
      </c>
      <c r="I1614">
        <v>-3.5884051064179299</v>
      </c>
      <c r="J1614">
        <v>3.3270704596036302E-4</v>
      </c>
      <c r="K1614">
        <v>2.7655369661422902E-3</v>
      </c>
      <c r="L1614" t="s">
        <v>26</v>
      </c>
      <c r="M1614" t="s">
        <v>27</v>
      </c>
      <c r="N1614">
        <v>154.31424810430701</v>
      </c>
      <c r="O1614">
        <v>212.424895702295</v>
      </c>
      <c r="P1614">
        <v>110.731262405816</v>
      </c>
      <c r="Q1614">
        <v>195.434183648009</v>
      </c>
      <c r="R1614">
        <v>197.591811310683</v>
      </c>
      <c r="S1614">
        <v>244.24869214819199</v>
      </c>
      <c r="T1614">
        <v>82.493184880462707</v>
      </c>
      <c r="U1614">
        <v>70.661472614222703</v>
      </c>
      <c r="V1614">
        <v>138.30288129023501</v>
      </c>
      <c r="W1614">
        <v>151.46751083834201</v>
      </c>
    </row>
    <row r="1615" spans="1:23" x14ac:dyDescent="0.2">
      <c r="A1615" t="s">
        <v>3238</v>
      </c>
      <c r="B1615" s="3" t="str">
        <f>HYPERLINK("http://www.ncbi.nlm.nih.gov/gene/19055","Ppp3ca")</f>
        <v>Ppp3ca</v>
      </c>
      <c r="C1615">
        <v>19055</v>
      </c>
      <c r="D1615" t="s">
        <v>3239</v>
      </c>
      <c r="E1615" s="3" t="str">
        <f>HYPERLINK("http://genome.ucsc.edu/cgi-bin/hgTracks?db=mm10&amp;lastVirtModeType=default&amp;lastVirtModeExtraState=&amp;virtModeType=default&amp;virtMode=0&amp;nonVirtPosition=&amp;position=chr3:136670065-136937727","chr3:136670065-136937727")</f>
        <v>chr3:136670065-136937727</v>
      </c>
      <c r="F1615" t="s">
        <v>30</v>
      </c>
      <c r="G1615">
        <v>-0.492296977074832</v>
      </c>
      <c r="H1615">
        <v>0.13720442074924699</v>
      </c>
      <c r="I1615">
        <v>-3.5880547753963801</v>
      </c>
      <c r="J1615">
        <v>3.33154308346519E-4</v>
      </c>
      <c r="K1615">
        <v>2.7675368133177601E-3</v>
      </c>
      <c r="L1615" t="s">
        <v>26</v>
      </c>
      <c r="M1615" t="s">
        <v>27</v>
      </c>
      <c r="N1615">
        <v>1097.5747502526101</v>
      </c>
      <c r="O1615">
        <v>1323.44818933334</v>
      </c>
      <c r="P1615">
        <v>928.16967094206802</v>
      </c>
      <c r="Q1615">
        <v>1185.41133044619</v>
      </c>
      <c r="R1615">
        <v>1584.9062945630401</v>
      </c>
      <c r="S1615">
        <v>1200.0269429908001</v>
      </c>
      <c r="T1615">
        <v>857.012531813696</v>
      </c>
      <c r="U1615">
        <v>931.44668446020796</v>
      </c>
      <c r="V1615">
        <v>909.26787912090902</v>
      </c>
      <c r="W1615">
        <v>1014.95158837346</v>
      </c>
    </row>
    <row r="1616" spans="1:23" x14ac:dyDescent="0.2">
      <c r="A1616" t="s">
        <v>3240</v>
      </c>
      <c r="B1616" s="3" t="str">
        <f>HYPERLINK("http://www.ncbi.nlm.nih.gov/gene/76893","Cers2")</f>
        <v>Cers2</v>
      </c>
      <c r="C1616">
        <v>76893</v>
      </c>
      <c r="D1616" t="s">
        <v>3241</v>
      </c>
      <c r="E1616" s="3" t="str">
        <f>HYPERLINK("http://genome.ucsc.edu/cgi-bin/hgTracks?db=mm10&amp;lastVirtModeType=default&amp;lastVirtModeExtraState=&amp;virtModeType=default&amp;virtMode=0&amp;nonVirtPosition=&amp;position=chr3:95315189-95323599","chr3:95315189-95323599")</f>
        <v>chr3:95315189-95323599</v>
      </c>
      <c r="F1616" t="s">
        <v>30</v>
      </c>
      <c r="G1616">
        <v>-0.53312396008491603</v>
      </c>
      <c r="H1616">
        <v>0.14859185446533399</v>
      </c>
      <c r="I1616">
        <v>-3.5878410832357699</v>
      </c>
      <c r="J1616">
        <v>3.3342740212709298E-4</v>
      </c>
      <c r="K1616">
        <v>2.7680882466732202E-3</v>
      </c>
      <c r="L1616" t="s">
        <v>26</v>
      </c>
      <c r="M1616" t="s">
        <v>27</v>
      </c>
      <c r="N1616">
        <v>392.86120281227898</v>
      </c>
      <c r="O1616">
        <v>484.50325597289998</v>
      </c>
      <c r="P1616">
        <v>324.12966294181302</v>
      </c>
      <c r="Q1616">
        <v>407.01535113018502</v>
      </c>
      <c r="R1616">
        <v>541.95527516883897</v>
      </c>
      <c r="S1616">
        <v>504.539141619676</v>
      </c>
      <c r="T1616">
        <v>265.81137350371301</v>
      </c>
      <c r="U1616">
        <v>323.32976862871601</v>
      </c>
      <c r="V1616">
        <v>372.24073368542003</v>
      </c>
      <c r="W1616">
        <v>335.13677594940299</v>
      </c>
    </row>
    <row r="1617" spans="1:23" x14ac:dyDescent="0.2">
      <c r="A1617" t="s">
        <v>3242</v>
      </c>
      <c r="B1617" s="3" t="str">
        <f>HYPERLINK("http://www.ncbi.nlm.nih.gov/gene/11668","Aldh1a1")</f>
        <v>Aldh1a1</v>
      </c>
      <c r="C1617">
        <v>11668</v>
      </c>
      <c r="D1617" t="s">
        <v>3243</v>
      </c>
      <c r="E1617" s="3" t="str">
        <f>HYPERLINK("http://genome.ucsc.edu/cgi-bin/hgTracks?db=mm10&amp;lastVirtModeType=default&amp;lastVirtModeExtraState=&amp;virtModeType=default&amp;virtMode=0&amp;nonVirtPosition=&amp;position=chr19:20601981-20643462","chr19:20601981-20643462")</f>
        <v>chr19:20601981-20643462</v>
      </c>
      <c r="F1617" t="s">
        <v>30</v>
      </c>
      <c r="G1617">
        <v>-1.4321282535033</v>
      </c>
      <c r="H1617">
        <v>0.39925550336048599</v>
      </c>
      <c r="I1617">
        <v>-3.5869969016062302</v>
      </c>
      <c r="J1617">
        <v>3.3450829686430198E-4</v>
      </c>
      <c r="K1617">
        <v>2.77534114207551E-3</v>
      </c>
      <c r="L1617" t="s">
        <v>26</v>
      </c>
      <c r="M1617" t="s">
        <v>27</v>
      </c>
      <c r="N1617">
        <v>163.64361798395001</v>
      </c>
      <c r="O1617">
        <v>331.94094061348602</v>
      </c>
      <c r="P1617">
        <v>37.420626011798603</v>
      </c>
      <c r="Q1617">
        <v>652.56086391870997</v>
      </c>
      <c r="R1617">
        <v>225.27742018914699</v>
      </c>
      <c r="S1617">
        <v>117.984537732601</v>
      </c>
      <c r="T1617">
        <v>32.0806830090688</v>
      </c>
      <c r="U1617">
        <v>14.9887972211987</v>
      </c>
      <c r="V1617">
        <v>19.126994220989999</v>
      </c>
      <c r="W1617">
        <v>83.486029595936799</v>
      </c>
    </row>
    <row r="1618" spans="1:23" x14ac:dyDescent="0.2">
      <c r="A1618" t="s">
        <v>3244</v>
      </c>
      <c r="B1618" s="3" t="str">
        <f>HYPERLINK("http://www.ncbi.nlm.nih.gov/gene/22325","Vav2")</f>
        <v>Vav2</v>
      </c>
      <c r="C1618">
        <v>22325</v>
      </c>
      <c r="D1618" t="s">
        <v>3245</v>
      </c>
      <c r="E1618" s="3" t="str">
        <f>HYPERLINK("http://genome.ucsc.edu/cgi-bin/hgTracks?db=mm10&amp;lastVirtModeType=default&amp;lastVirtModeExtraState=&amp;virtModeType=default&amp;virtMode=0&amp;nonVirtPosition=&amp;position=chr2:27262103-27427608","chr2:27262103-27427608")</f>
        <v>chr2:27262103-27427608</v>
      </c>
      <c r="F1618" t="s">
        <v>25</v>
      </c>
      <c r="G1618">
        <v>0.46777860517316899</v>
      </c>
      <c r="H1618">
        <v>0.13042249120817601</v>
      </c>
      <c r="I1618">
        <v>3.5866406234068702</v>
      </c>
      <c r="J1618">
        <v>3.3496546052940498E-4</v>
      </c>
      <c r="K1618">
        <v>2.7766710206187299E-3</v>
      </c>
      <c r="L1618" t="s">
        <v>26</v>
      </c>
      <c r="M1618" t="s">
        <v>27</v>
      </c>
      <c r="N1618">
        <v>314.24368108413103</v>
      </c>
      <c r="O1618">
        <v>254.82779345345099</v>
      </c>
      <c r="P1618">
        <v>358.80559680713998</v>
      </c>
      <c r="Q1618">
        <v>251.11343824858201</v>
      </c>
      <c r="R1618">
        <v>231.34549884744001</v>
      </c>
      <c r="S1618">
        <v>282.02444326433198</v>
      </c>
      <c r="T1618">
        <v>371.21933196208198</v>
      </c>
      <c r="U1618">
        <v>387.56747100528202</v>
      </c>
      <c r="V1618">
        <v>322.21628726129302</v>
      </c>
      <c r="W1618">
        <v>354.21929699990301</v>
      </c>
    </row>
    <row r="1619" spans="1:23" x14ac:dyDescent="0.2">
      <c r="A1619" t="s">
        <v>3246</v>
      </c>
      <c r="B1619" s="3" t="str">
        <f>HYPERLINK("http://www.ncbi.nlm.nih.gov/gene/20292","Ccl11")</f>
        <v>Ccl11</v>
      </c>
      <c r="C1619">
        <v>20292</v>
      </c>
      <c r="D1619" t="s">
        <v>3247</v>
      </c>
      <c r="E1619" s="3" t="str">
        <f>HYPERLINK("http://genome.ucsc.edu/cgi-bin/hgTracks?db=mm10&amp;lastVirtModeType=default&amp;lastVirtModeExtraState=&amp;virtModeType=default&amp;virtMode=0&amp;nonVirtPosition=&amp;position=chr11:82057831-82062955","chr11:82057831-82062955")</f>
        <v>chr11:82057831-82062955</v>
      </c>
      <c r="F1619" t="s">
        <v>30</v>
      </c>
      <c r="G1619">
        <v>-1.2243173704576</v>
      </c>
      <c r="H1619">
        <v>0.34136844397267502</v>
      </c>
      <c r="I1619">
        <v>-3.5864983775583101</v>
      </c>
      <c r="J1619">
        <v>3.3514814864890201E-4</v>
      </c>
      <c r="K1619">
        <v>2.7766710206187299E-3</v>
      </c>
      <c r="L1619" t="s">
        <v>26</v>
      </c>
      <c r="M1619" t="s">
        <v>27</v>
      </c>
      <c r="N1619">
        <v>21.456612374727101</v>
      </c>
      <c r="O1619">
        <v>35.237683980081798</v>
      </c>
      <c r="P1619">
        <v>11.120808670711099</v>
      </c>
      <c r="Q1619">
        <v>51.2249142325267</v>
      </c>
      <c r="R1619">
        <v>32.236667872184299</v>
      </c>
      <c r="S1619">
        <v>22.2514698355345</v>
      </c>
      <c r="T1619">
        <v>9.1659094311625307</v>
      </c>
      <c r="U1619">
        <v>10.7062837294277</v>
      </c>
      <c r="V1619">
        <v>10.2991507343792</v>
      </c>
      <c r="W1619">
        <v>14.3118907878749</v>
      </c>
    </row>
    <row r="1620" spans="1:23" x14ac:dyDescent="0.2">
      <c r="A1620" t="s">
        <v>3248</v>
      </c>
      <c r="B1620" s="3" t="str">
        <f>HYPERLINK("http://www.ncbi.nlm.nih.gov/gene/215474","Sec22c")</f>
        <v>Sec22c</v>
      </c>
      <c r="C1620">
        <v>215474</v>
      </c>
      <c r="D1620" t="s">
        <v>3249</v>
      </c>
      <c r="E1620" s="3" t="str">
        <f>HYPERLINK("http://genome.ucsc.edu/cgi-bin/hgTracks?db=mm10&amp;lastVirtModeType=default&amp;lastVirtModeExtraState=&amp;virtModeType=default&amp;virtMode=0&amp;nonVirtPosition=&amp;position=chr9:121680044-121705029","chr9:121680044-121705029")</f>
        <v>chr9:121680044-121705029</v>
      </c>
      <c r="F1620" t="s">
        <v>25</v>
      </c>
      <c r="G1620">
        <v>0.60187883809212805</v>
      </c>
      <c r="H1620">
        <v>0.16782314855064701</v>
      </c>
      <c r="I1620">
        <v>3.5863874756853802</v>
      </c>
      <c r="J1620">
        <v>3.3529064598166602E-4</v>
      </c>
      <c r="K1620">
        <v>2.7766710206187299E-3</v>
      </c>
      <c r="L1620" t="s">
        <v>26</v>
      </c>
      <c r="M1620" t="s">
        <v>27</v>
      </c>
      <c r="N1620">
        <v>149.272919642278</v>
      </c>
      <c r="O1620">
        <v>113.141628871229</v>
      </c>
      <c r="P1620">
        <v>176.371387720564</v>
      </c>
      <c r="Q1620">
        <v>109.688131563128</v>
      </c>
      <c r="R1620">
        <v>95.1929839519795</v>
      </c>
      <c r="S1620">
        <v>134.54377109858001</v>
      </c>
      <c r="T1620">
        <v>192.48409805441301</v>
      </c>
      <c r="U1620">
        <v>171.30053967084299</v>
      </c>
      <c r="V1620">
        <v>179.49948422775199</v>
      </c>
      <c r="W1620">
        <v>162.201428929249</v>
      </c>
    </row>
    <row r="1621" spans="1:23" x14ac:dyDescent="0.2">
      <c r="A1621" t="s">
        <v>3250</v>
      </c>
      <c r="B1621" s="3" t="str">
        <f>HYPERLINK("http://www.ncbi.nlm.nih.gov/gene/78937","Avl9")</f>
        <v>Avl9</v>
      </c>
      <c r="C1621">
        <v>78937</v>
      </c>
      <c r="D1621" t="s">
        <v>3251</v>
      </c>
      <c r="E1621" s="3" t="str">
        <f>HYPERLINK("http://genome.ucsc.edu/cgi-bin/hgTracks?db=mm10&amp;lastVirtModeType=default&amp;lastVirtModeExtraState=&amp;virtModeType=default&amp;virtMode=0&amp;nonVirtPosition=&amp;position=chr6:56714904-56761911","chr6:56714904-56761911")</f>
        <v>chr6:56714904-56761911</v>
      </c>
      <c r="F1621" t="s">
        <v>30</v>
      </c>
      <c r="G1621">
        <v>-0.51696083318558295</v>
      </c>
      <c r="H1621">
        <v>0.14416115598850801</v>
      </c>
      <c r="I1621">
        <v>-3.5859925625651399</v>
      </c>
      <c r="J1621">
        <v>3.3579852860717398E-4</v>
      </c>
      <c r="K1621">
        <v>2.7784350558512898E-3</v>
      </c>
      <c r="L1621" t="s">
        <v>26</v>
      </c>
      <c r="M1621" t="s">
        <v>27</v>
      </c>
      <c r="N1621">
        <v>361.87399001283802</v>
      </c>
      <c r="O1621">
        <v>442.80024418285899</v>
      </c>
      <c r="P1621">
        <v>301.17929938532302</v>
      </c>
      <c r="Q1621">
        <v>482.18234484095802</v>
      </c>
      <c r="R1621">
        <v>448.27931088143299</v>
      </c>
      <c r="S1621">
        <v>397.93907682618601</v>
      </c>
      <c r="T1621">
        <v>288.72614708162001</v>
      </c>
      <c r="U1621">
        <v>244.103269030951</v>
      </c>
      <c r="V1621">
        <v>339.13632061062998</v>
      </c>
      <c r="W1621">
        <v>332.751460818091</v>
      </c>
    </row>
    <row r="1622" spans="1:23" x14ac:dyDescent="0.2">
      <c r="A1622" t="s">
        <v>3252</v>
      </c>
      <c r="B1622" s="3" t="str">
        <f>HYPERLINK("http://www.ncbi.nlm.nih.gov/gene/330119","Adamts3")</f>
        <v>Adamts3</v>
      </c>
      <c r="C1622">
        <v>330119</v>
      </c>
      <c r="D1622" t="s">
        <v>3253</v>
      </c>
      <c r="E1622" s="3" t="str">
        <f>HYPERLINK("http://genome.ucsc.edu/cgi-bin/hgTracks?db=mm10&amp;lastVirtModeType=default&amp;lastVirtModeExtraState=&amp;virtModeType=default&amp;virtMode=0&amp;nonVirtPosition=&amp;position=chr5:89673840-89883334","chr5:89673840-89883334")</f>
        <v>chr5:89673840-89883334</v>
      </c>
      <c r="F1622" t="s">
        <v>25</v>
      </c>
      <c r="G1622">
        <v>0.78217616611003404</v>
      </c>
      <c r="H1622">
        <v>0.218125527167638</v>
      </c>
      <c r="I1622">
        <v>3.5858992584068301</v>
      </c>
      <c r="J1622">
        <v>3.3591862858809899E-4</v>
      </c>
      <c r="K1622">
        <v>2.7784350558512898E-3</v>
      </c>
      <c r="L1622" t="s">
        <v>26</v>
      </c>
      <c r="M1622" t="s">
        <v>27</v>
      </c>
      <c r="N1622">
        <v>129.88426577837399</v>
      </c>
      <c r="O1622">
        <v>86.635748413945393</v>
      </c>
      <c r="P1622">
        <v>162.32065380169601</v>
      </c>
      <c r="Q1622">
        <v>85.746052084881697</v>
      </c>
      <c r="R1622">
        <v>92.917454455119397</v>
      </c>
      <c r="S1622">
        <v>81.243738701835099</v>
      </c>
      <c r="T1622">
        <v>201.650007485576</v>
      </c>
      <c r="U1622">
        <v>199.136877367355</v>
      </c>
      <c r="V1622">
        <v>102.99150734379199</v>
      </c>
      <c r="W1622">
        <v>145.504223010061</v>
      </c>
    </row>
    <row r="1623" spans="1:23" x14ac:dyDescent="0.2">
      <c r="A1623" t="s">
        <v>3254</v>
      </c>
      <c r="B1623" s="3" t="str">
        <f>HYPERLINK("http://www.ncbi.nlm.nih.gov/gene/66073","Txndc12")</f>
        <v>Txndc12</v>
      </c>
      <c r="C1623">
        <v>66073</v>
      </c>
      <c r="D1623" t="s">
        <v>3255</v>
      </c>
      <c r="E1623" s="3" t="str">
        <f>HYPERLINK("http://genome.ucsc.edu/cgi-bin/hgTracks?db=mm10&amp;lastVirtModeType=default&amp;lastVirtModeExtraState=&amp;virtModeType=default&amp;virtMode=0&amp;nonVirtPosition=&amp;position=chr4:108834677-108862119","chr4:108834677-108862119")</f>
        <v>chr4:108834677-108862119</v>
      </c>
      <c r="F1623" t="s">
        <v>30</v>
      </c>
      <c r="G1623">
        <v>-0.51078318581260795</v>
      </c>
      <c r="H1623">
        <v>0.14275052008215999</v>
      </c>
      <c r="I1623">
        <v>-3.5781528888204899</v>
      </c>
      <c r="J1623">
        <v>3.46031028688786E-4</v>
      </c>
      <c r="K1623">
        <v>2.8603095710935402E-3</v>
      </c>
      <c r="L1623" t="s">
        <v>26</v>
      </c>
      <c r="M1623" t="s">
        <v>27</v>
      </c>
      <c r="N1623">
        <v>259.450327679439</v>
      </c>
      <c r="O1623">
        <v>314.87248859582701</v>
      </c>
      <c r="P1623">
        <v>217.88370699214701</v>
      </c>
      <c r="Q1623">
        <v>354.676851805647</v>
      </c>
      <c r="R1623">
        <v>315.16083531511902</v>
      </c>
      <c r="S1623">
        <v>274.77977866671603</v>
      </c>
      <c r="T1623">
        <v>229.147735779063</v>
      </c>
      <c r="U1623">
        <v>190.571850383813</v>
      </c>
      <c r="V1623">
        <v>228.788277027996</v>
      </c>
      <c r="W1623">
        <v>223.02696477771701</v>
      </c>
    </row>
    <row r="1624" spans="1:23" x14ac:dyDescent="0.2">
      <c r="A1624" t="s">
        <v>3256</v>
      </c>
      <c r="B1624" s="3" t="str">
        <f>HYPERLINK("http://www.ncbi.nlm.nih.gov/gene/57354","Cramp1l")</f>
        <v>Cramp1l</v>
      </c>
      <c r="C1624">
        <v>57354</v>
      </c>
      <c r="D1624" t="s">
        <v>3257</v>
      </c>
      <c r="E1624" s="3" t="str">
        <f>HYPERLINK("http://genome.ucsc.edu/cgi-bin/hgTracks?db=mm10&amp;lastVirtModeType=default&amp;lastVirtModeExtraState=&amp;virtModeType=default&amp;virtMode=0&amp;nonVirtPosition=&amp;position=chr17:24961225-25015230","chr17:24961225-25015230")</f>
        <v>chr17:24961225-25015230</v>
      </c>
      <c r="F1624" t="s">
        <v>25</v>
      </c>
      <c r="G1624">
        <v>0.67914540231627496</v>
      </c>
      <c r="H1624">
        <v>0.189835429852729</v>
      </c>
      <c r="I1624">
        <v>3.5775482102742502</v>
      </c>
      <c r="J1624">
        <v>3.4683226331193399E-4</v>
      </c>
      <c r="K1624">
        <v>2.8651639963048199E-3</v>
      </c>
      <c r="L1624" t="s">
        <v>26</v>
      </c>
      <c r="M1624" t="s">
        <v>27</v>
      </c>
      <c r="N1624">
        <v>236.07330453088099</v>
      </c>
      <c r="O1624">
        <v>171.82146750370501</v>
      </c>
      <c r="P1624">
        <v>284.26218230126301</v>
      </c>
      <c r="Q1624">
        <v>147.550024691517</v>
      </c>
      <c r="R1624">
        <v>133.497730482457</v>
      </c>
      <c r="S1624">
        <v>234.416647337142</v>
      </c>
      <c r="T1624">
        <v>302.47501122836297</v>
      </c>
      <c r="U1624">
        <v>276.222120219234</v>
      </c>
      <c r="V1624">
        <v>278.07706982823902</v>
      </c>
      <c r="W1624">
        <v>280.27452792921599</v>
      </c>
    </row>
    <row r="1625" spans="1:23" x14ac:dyDescent="0.2">
      <c r="A1625" t="s">
        <v>3258</v>
      </c>
      <c r="B1625" s="3" t="str">
        <f>HYPERLINK("http://www.ncbi.nlm.nih.gov/gene/12877","Cpeb1")</f>
        <v>Cpeb1</v>
      </c>
      <c r="C1625">
        <v>12877</v>
      </c>
      <c r="D1625" t="s">
        <v>3259</v>
      </c>
      <c r="E1625" s="3" t="str">
        <f>HYPERLINK("http://genome.ucsc.edu/cgi-bin/hgTracks?db=mm10&amp;lastVirtModeType=default&amp;lastVirtModeExtraState=&amp;virtModeType=default&amp;virtMode=0&amp;nonVirtPosition=&amp;position=chr7:81347025-81454758","chr7:81347025-81454758")</f>
        <v>chr7:81347025-81454758</v>
      </c>
      <c r="F1625" t="s">
        <v>25</v>
      </c>
      <c r="G1625">
        <v>0.57032579680631301</v>
      </c>
      <c r="H1625">
        <v>0.15947128497285301</v>
      </c>
      <c r="I1625">
        <v>3.5763541812772202</v>
      </c>
      <c r="J1625">
        <v>3.4841952131127099E-4</v>
      </c>
      <c r="K1625">
        <v>2.8765017323546401E-3</v>
      </c>
      <c r="L1625" t="s">
        <v>26</v>
      </c>
      <c r="M1625" t="s">
        <v>27</v>
      </c>
      <c r="N1625">
        <v>115.939882687207</v>
      </c>
      <c r="O1625">
        <v>90.844098530811095</v>
      </c>
      <c r="P1625">
        <v>134.76172080450499</v>
      </c>
      <c r="Q1625">
        <v>85.746052084881697</v>
      </c>
      <c r="R1625">
        <v>95.1929839519795</v>
      </c>
      <c r="S1625">
        <v>91.593259555572004</v>
      </c>
      <c r="T1625">
        <v>119.15682260511301</v>
      </c>
      <c r="U1625">
        <v>139.18168848255999</v>
      </c>
      <c r="V1625">
        <v>147.13072477684599</v>
      </c>
      <c r="W1625">
        <v>133.577647353499</v>
      </c>
    </row>
    <row r="1626" spans="1:23" x14ac:dyDescent="0.2">
      <c r="A1626" t="s">
        <v>3260</v>
      </c>
      <c r="B1626" s="3" t="str">
        <f>HYPERLINK("http://www.ncbi.nlm.nih.gov/gene/13007","Csrp1")</f>
        <v>Csrp1</v>
      </c>
      <c r="C1626">
        <v>13007</v>
      </c>
      <c r="D1626" t="s">
        <v>3261</v>
      </c>
      <c r="E1626" s="3" t="str">
        <f>HYPERLINK("http://genome.ucsc.edu/cgi-bin/hgTracks?db=mm10&amp;lastVirtModeType=default&amp;lastVirtModeExtraState=&amp;virtModeType=default&amp;virtMode=0&amp;nonVirtPosition=&amp;position=chr1:135729196-135752229","chr1:135729196-135752229")</f>
        <v>chr1:135729196-135752229</v>
      </c>
      <c r="F1626" t="s">
        <v>30</v>
      </c>
      <c r="G1626">
        <v>-0.44677666737884197</v>
      </c>
      <c r="H1626">
        <v>0.125022282487257</v>
      </c>
      <c r="I1626">
        <v>-3.5735763136813601</v>
      </c>
      <c r="J1626">
        <v>3.5213855188240999E-4</v>
      </c>
      <c r="K1626">
        <v>2.9054142626354601E-3</v>
      </c>
      <c r="L1626" t="s">
        <v>26</v>
      </c>
      <c r="M1626" t="s">
        <v>27</v>
      </c>
      <c r="N1626">
        <v>451.06638556509398</v>
      </c>
      <c r="O1626">
        <v>540.32651918546401</v>
      </c>
      <c r="P1626">
        <v>384.12128534981701</v>
      </c>
      <c r="Q1626">
        <v>555.67896091371404</v>
      </c>
      <c r="R1626">
        <v>534.37017684597299</v>
      </c>
      <c r="S1626">
        <v>530.93041979670602</v>
      </c>
      <c r="T1626">
        <v>293.30910179720098</v>
      </c>
      <c r="U1626">
        <v>421.82757893945001</v>
      </c>
      <c r="V1626">
        <v>423.00083373343199</v>
      </c>
      <c r="W1626">
        <v>398.347626929184</v>
      </c>
    </row>
    <row r="1627" spans="1:23" x14ac:dyDescent="0.2">
      <c r="A1627" t="s">
        <v>3262</v>
      </c>
      <c r="B1627" s="3" t="str">
        <f>HYPERLINK("http://www.ncbi.nlm.nih.gov/gene/52065","Mfhas1")</f>
        <v>Mfhas1</v>
      </c>
      <c r="C1627">
        <v>52065</v>
      </c>
      <c r="D1627" t="s">
        <v>3263</v>
      </c>
      <c r="E1627" s="3" t="str">
        <f>HYPERLINK("http://genome.ucsc.edu/cgi-bin/hgTracks?db=mm10&amp;lastVirtModeType=default&amp;lastVirtModeExtraState=&amp;virtModeType=default&amp;virtMode=0&amp;nonVirtPosition=&amp;position=chr8:35587797-35679449","chr8:35587797-35679449")</f>
        <v>chr8:35587797-35679449</v>
      </c>
      <c r="F1627" t="s">
        <v>30</v>
      </c>
      <c r="G1627">
        <v>-0.54995881145450898</v>
      </c>
      <c r="H1627">
        <v>0.15405941779031601</v>
      </c>
      <c r="I1627">
        <v>-3.5697837843515399</v>
      </c>
      <c r="J1627">
        <v>3.5727599214403999E-4</v>
      </c>
      <c r="K1627">
        <v>2.9449240995531299E-3</v>
      </c>
      <c r="L1627" t="s">
        <v>26</v>
      </c>
      <c r="M1627" t="s">
        <v>27</v>
      </c>
      <c r="N1627">
        <v>238.23970085980699</v>
      </c>
      <c r="O1627">
        <v>293.62163226262697</v>
      </c>
      <c r="P1627">
        <v>196.703252307691</v>
      </c>
      <c r="Q1627">
        <v>290.64570901498797</v>
      </c>
      <c r="R1627">
        <v>253.34228398375399</v>
      </c>
      <c r="S1627">
        <v>336.876903789138</v>
      </c>
      <c r="T1627">
        <v>183.31818862325099</v>
      </c>
      <c r="U1627">
        <v>205.56064760501101</v>
      </c>
      <c r="V1627">
        <v>177.292523356099</v>
      </c>
      <c r="W1627">
        <v>220.64164964640401</v>
      </c>
    </row>
    <row r="1628" spans="1:23" x14ac:dyDescent="0.2">
      <c r="A1628" t="s">
        <v>3264</v>
      </c>
      <c r="B1628" s="3" t="str">
        <f>HYPERLINK("http://www.ncbi.nlm.nih.gov/gene/276950","Slfn8")</f>
        <v>Slfn8</v>
      </c>
      <c r="C1628">
        <v>276950</v>
      </c>
      <c r="D1628" t="s">
        <v>3265</v>
      </c>
      <c r="E1628" s="3" t="str">
        <f>HYPERLINK("http://genome.ucsc.edu/cgi-bin/hgTracks?db=mm10&amp;lastVirtModeType=default&amp;lastVirtModeExtraState=&amp;virtModeType=default&amp;virtMode=0&amp;nonVirtPosition=&amp;position=chr11:83002157-83020810","chr11:83002157-83020810")</f>
        <v>chr11:83002157-83020810</v>
      </c>
      <c r="F1628" t="s">
        <v>25</v>
      </c>
      <c r="G1628">
        <v>1.21077763478821</v>
      </c>
      <c r="H1628">
        <v>0.33918028147325002</v>
      </c>
      <c r="I1628">
        <v>3.56971705291688</v>
      </c>
      <c r="J1628">
        <v>3.5736701230482001E-4</v>
      </c>
      <c r="K1628">
        <v>2.9449240995531299E-3</v>
      </c>
      <c r="L1628" t="s">
        <v>26</v>
      </c>
      <c r="M1628" t="s">
        <v>27</v>
      </c>
      <c r="N1628">
        <v>33.904481330258598</v>
      </c>
      <c r="O1628">
        <v>15.2658222885377</v>
      </c>
      <c r="P1628">
        <v>47.883475611549201</v>
      </c>
      <c r="Q1628">
        <v>18.930946564194599</v>
      </c>
      <c r="R1628">
        <v>12.894667148873699</v>
      </c>
      <c r="S1628">
        <v>13.971853152544901</v>
      </c>
      <c r="T1628">
        <v>77.910230164881497</v>
      </c>
      <c r="U1628">
        <v>17.130053967084301</v>
      </c>
      <c r="V1628">
        <v>30.8974522031377</v>
      </c>
      <c r="W1628">
        <v>65.596166111093197</v>
      </c>
    </row>
    <row r="1629" spans="1:23" x14ac:dyDescent="0.2">
      <c r="A1629" t="s">
        <v>3266</v>
      </c>
      <c r="B1629" s="3" t="str">
        <f>HYPERLINK("http://www.ncbi.nlm.nih.gov/gene/77300","Raph1")</f>
        <v>Raph1</v>
      </c>
      <c r="C1629">
        <v>77300</v>
      </c>
      <c r="D1629" t="s">
        <v>3267</v>
      </c>
      <c r="E1629" s="3" t="str">
        <f>HYPERLINK("http://genome.ucsc.edu/cgi-bin/hgTracks?db=mm10&amp;lastVirtModeType=default&amp;lastVirtModeExtraState=&amp;virtModeType=default&amp;virtMode=0&amp;nonVirtPosition=&amp;position=chr1:60483184-60566765","chr1:60483184-60566765")</f>
        <v>chr1:60483184-60566765</v>
      </c>
      <c r="F1629" t="s">
        <v>25</v>
      </c>
      <c r="G1629">
        <v>0.51807961249244605</v>
      </c>
      <c r="H1629">
        <v>0.14520537971095901</v>
      </c>
      <c r="I1629">
        <v>3.56790921606154</v>
      </c>
      <c r="J1629">
        <v>3.5984112779179701E-4</v>
      </c>
      <c r="K1629">
        <v>2.9634886483763498E-3</v>
      </c>
      <c r="L1629" t="s">
        <v>26</v>
      </c>
      <c r="M1629" t="s">
        <v>27</v>
      </c>
      <c r="N1629">
        <v>515.50537905765395</v>
      </c>
      <c r="O1629">
        <v>410.99885747071897</v>
      </c>
      <c r="P1629">
        <v>593.88527024785503</v>
      </c>
      <c r="Q1629">
        <v>437.08214861449397</v>
      </c>
      <c r="R1629">
        <v>342.08793436129702</v>
      </c>
      <c r="S1629">
        <v>453.82648943636502</v>
      </c>
      <c r="T1629">
        <v>614.11593188788902</v>
      </c>
      <c r="U1629">
        <v>507.47784877487197</v>
      </c>
      <c r="V1629">
        <v>673.123065854071</v>
      </c>
      <c r="W1629">
        <v>580.82423447458905</v>
      </c>
    </row>
    <row r="1630" spans="1:23" x14ac:dyDescent="0.2">
      <c r="A1630" t="s">
        <v>3268</v>
      </c>
      <c r="B1630" s="3" t="str">
        <f>HYPERLINK("http://www.ncbi.nlm.nih.gov/gene/231807","BC037034")</f>
        <v>BC037034</v>
      </c>
      <c r="C1630">
        <v>231807</v>
      </c>
      <c r="D1630" t="s">
        <v>3269</v>
      </c>
      <c r="E1630" s="3" t="str">
        <f>HYPERLINK("http://genome.ucsc.edu/cgi-bin/hgTracks?db=mm10&amp;lastVirtModeType=default&amp;lastVirtModeExtraState=&amp;virtModeType=default&amp;virtMode=0&amp;nonVirtPosition=&amp;position=chr5:138259657-138264052","chr5:138259657-138264052")</f>
        <v>chr5:138259657-138264052</v>
      </c>
      <c r="F1630" t="s">
        <v>25</v>
      </c>
      <c r="G1630">
        <v>0.64275497184139896</v>
      </c>
      <c r="H1630">
        <v>0.18021640225084401</v>
      </c>
      <c r="I1630">
        <v>3.5665730966415898</v>
      </c>
      <c r="J1630">
        <v>3.61679957832666E-4</v>
      </c>
      <c r="K1630">
        <v>2.9768016689226901E-3</v>
      </c>
      <c r="L1630" t="s">
        <v>26</v>
      </c>
      <c r="M1630" t="s">
        <v>27</v>
      </c>
      <c r="N1630">
        <v>147.563219223375</v>
      </c>
      <c r="O1630">
        <v>108.218811285131</v>
      </c>
      <c r="P1630">
        <v>177.07152517705899</v>
      </c>
      <c r="Q1630">
        <v>105.23379119508201</v>
      </c>
      <c r="R1630">
        <v>93.675964287406103</v>
      </c>
      <c r="S1630">
        <v>125.746678372904</v>
      </c>
      <c r="T1630">
        <v>210.81591691673799</v>
      </c>
      <c r="U1630">
        <v>162.735512687301</v>
      </c>
      <c r="V1630">
        <v>142.716803033541</v>
      </c>
      <c r="W1630">
        <v>192.017868070655</v>
      </c>
    </row>
    <row r="1631" spans="1:23" x14ac:dyDescent="0.2">
      <c r="A1631" t="s">
        <v>3270</v>
      </c>
      <c r="B1631" s="3" t="str">
        <f>HYPERLINK("http://www.ncbi.nlm.nih.gov/gene/226823","Kctd3")</f>
        <v>Kctd3</v>
      </c>
      <c r="C1631">
        <v>226823</v>
      </c>
      <c r="D1631" t="s">
        <v>3271</v>
      </c>
      <c r="E1631" s="3" t="str">
        <f>HYPERLINK("http://genome.ucsc.edu/cgi-bin/hgTracks?db=mm10&amp;lastVirtModeType=default&amp;lastVirtModeExtraState=&amp;virtModeType=default&amp;virtMode=0&amp;nonVirtPosition=&amp;position=chr1:188971097-189007840","chr1:188971097-189007840")</f>
        <v>chr1:188971097-189007840</v>
      </c>
      <c r="F1631" t="s">
        <v>25</v>
      </c>
      <c r="G1631">
        <v>-0.75800691194492198</v>
      </c>
      <c r="H1631">
        <v>0.21257237595122</v>
      </c>
      <c r="I1631">
        <v>-3.5658768386672399</v>
      </c>
      <c r="J1631">
        <v>3.6264165936735702E-4</v>
      </c>
      <c r="K1631">
        <v>2.9828835752999301E-3</v>
      </c>
      <c r="L1631" t="s">
        <v>26</v>
      </c>
      <c r="M1631" t="s">
        <v>27</v>
      </c>
      <c r="N1631">
        <v>445.96395123157498</v>
      </c>
      <c r="O1631">
        <v>591.96202466607201</v>
      </c>
      <c r="P1631">
        <v>336.46539615570202</v>
      </c>
      <c r="Q1631">
        <v>353.56326671363502</v>
      </c>
      <c r="R1631">
        <v>652.31845576655303</v>
      </c>
      <c r="S1631">
        <v>770.00435151802901</v>
      </c>
      <c r="T1631">
        <v>348.304558384176</v>
      </c>
      <c r="U1631">
        <v>361.872390054655</v>
      </c>
      <c r="V1631">
        <v>314.85975102244998</v>
      </c>
      <c r="W1631">
        <v>320.82488516152898</v>
      </c>
    </row>
    <row r="1632" spans="1:23" x14ac:dyDescent="0.2">
      <c r="A1632" t="s">
        <v>3272</v>
      </c>
      <c r="B1632" s="3" t="str">
        <f>HYPERLINK("http://www.ncbi.nlm.nih.gov/gene/77827","Krba1")</f>
        <v>Krba1</v>
      </c>
      <c r="C1632">
        <v>77827</v>
      </c>
      <c r="D1632" t="s">
        <v>3273</v>
      </c>
      <c r="E1632" s="3" t="str">
        <f>HYPERLINK("http://genome.ucsc.edu/cgi-bin/hgTracks?db=mm10&amp;lastVirtModeType=default&amp;lastVirtModeExtraState=&amp;virtModeType=default&amp;virtMode=0&amp;nonVirtPosition=&amp;position=chr6:48395585-48419855","chr6:48395585-48419855")</f>
        <v>chr6:48395585-48419855</v>
      </c>
      <c r="F1632" t="s">
        <v>30</v>
      </c>
      <c r="G1632">
        <v>0.51055063653262001</v>
      </c>
      <c r="H1632">
        <v>0.14318809625766701</v>
      </c>
      <c r="I1632">
        <v>3.5655941371961801</v>
      </c>
      <c r="J1632">
        <v>3.63032820918413E-4</v>
      </c>
      <c r="K1632">
        <v>2.9842679588204198E-3</v>
      </c>
      <c r="L1632" t="s">
        <v>26</v>
      </c>
      <c r="M1632" t="s">
        <v>27</v>
      </c>
      <c r="N1632">
        <v>306.71823181081697</v>
      </c>
      <c r="O1632">
        <v>245.56729553328401</v>
      </c>
      <c r="P1632">
        <v>352.58143401896803</v>
      </c>
      <c r="Q1632">
        <v>213.80833766619801</v>
      </c>
      <c r="R1632">
        <v>227.93220460214999</v>
      </c>
      <c r="S1632">
        <v>294.96134433150303</v>
      </c>
      <c r="T1632">
        <v>339.13864895301401</v>
      </c>
      <c r="U1632">
        <v>357.589876562884</v>
      </c>
      <c r="V1632">
        <v>364.14854382269402</v>
      </c>
      <c r="W1632">
        <v>349.44866673727802</v>
      </c>
    </row>
    <row r="1633" spans="1:23" x14ac:dyDescent="0.2">
      <c r="A1633" t="s">
        <v>3274</v>
      </c>
      <c r="B1633" s="3" t="str">
        <f>HYPERLINK("http://www.ncbi.nlm.nih.gov/gene/67247","Marc2")</f>
        <v>Marc2</v>
      </c>
      <c r="C1633">
        <v>67247</v>
      </c>
      <c r="D1633" t="s">
        <v>3275</v>
      </c>
      <c r="E1633" s="3" t="str">
        <f>HYPERLINK("http://genome.ucsc.edu/cgi-bin/hgTracks?db=mm10&amp;lastVirtModeType=default&amp;lastVirtModeExtraState=&amp;virtModeType=default&amp;virtMode=0&amp;nonVirtPosition=&amp;position=chr1:184813067-184845847","chr1:184813067-184845847")</f>
        <v>chr1:184813067-184845847</v>
      </c>
      <c r="F1633" t="s">
        <v>25</v>
      </c>
      <c r="G1633">
        <v>-0.47147393797612702</v>
      </c>
      <c r="H1633">
        <v>0.132259459435312</v>
      </c>
      <c r="I1633">
        <v>-3.56476534827154</v>
      </c>
      <c r="J1633">
        <v>3.6418185446158801E-4</v>
      </c>
      <c r="K1633">
        <v>2.9918768178497702E-3</v>
      </c>
      <c r="L1633" t="s">
        <v>26</v>
      </c>
      <c r="M1633" t="s">
        <v>27</v>
      </c>
      <c r="N1633">
        <v>452.05999311597401</v>
      </c>
      <c r="O1633">
        <v>534.63233007178201</v>
      </c>
      <c r="P1633">
        <v>390.13074039911902</v>
      </c>
      <c r="Q1633">
        <v>546.21348763161598</v>
      </c>
      <c r="R1633">
        <v>522.61327444552899</v>
      </c>
      <c r="S1633">
        <v>535.07022813820004</v>
      </c>
      <c r="T1633">
        <v>458.295471558126</v>
      </c>
      <c r="U1633">
        <v>415.40380870179399</v>
      </c>
      <c r="V1633">
        <v>370.76942643765199</v>
      </c>
      <c r="W1633">
        <v>316.05425489890399</v>
      </c>
    </row>
    <row r="1634" spans="1:23" x14ac:dyDescent="0.2">
      <c r="A1634" t="s">
        <v>3276</v>
      </c>
      <c r="B1634" s="3" t="str">
        <f>HYPERLINK("http://www.ncbi.nlm.nih.gov/gene/224432","Scaf4")</f>
        <v>Scaf4</v>
      </c>
      <c r="C1634">
        <v>224432</v>
      </c>
      <c r="D1634" t="s">
        <v>3277</v>
      </c>
      <c r="E1634" s="3" t="str">
        <f>HYPERLINK("http://genome.ucsc.edu/cgi-bin/hgTracks?db=mm10&amp;lastVirtModeType=default&amp;lastVirtModeExtraState=&amp;virtModeType=default&amp;virtMode=0&amp;nonVirtPosition=&amp;position=chr16:90229143-90284425","chr16:90229143-90284425")</f>
        <v>chr16:90229143-90284425</v>
      </c>
      <c r="F1634" t="s">
        <v>25</v>
      </c>
      <c r="G1634">
        <v>0.69877975333733799</v>
      </c>
      <c r="H1634">
        <v>0.19605794520115399</v>
      </c>
      <c r="I1634">
        <v>3.5641491224464001</v>
      </c>
      <c r="J1634">
        <v>3.6503839351719901E-4</v>
      </c>
      <c r="K1634">
        <v>2.9970748789631E-3</v>
      </c>
      <c r="L1634" t="s">
        <v>26</v>
      </c>
      <c r="M1634" t="s">
        <v>27</v>
      </c>
      <c r="N1634">
        <v>187.400390984886</v>
      </c>
      <c r="O1634">
        <v>135.13253241881301</v>
      </c>
      <c r="P1634">
        <v>226.60128490944001</v>
      </c>
      <c r="Q1634">
        <v>111.91530174715101</v>
      </c>
      <c r="R1634">
        <v>107.70839618471</v>
      </c>
      <c r="S1634">
        <v>185.773899324578</v>
      </c>
      <c r="T1634">
        <v>233.73069049464399</v>
      </c>
      <c r="U1634">
        <v>216.26693133443899</v>
      </c>
      <c r="V1634">
        <v>230.995237899648</v>
      </c>
      <c r="W1634">
        <v>225.412279909029</v>
      </c>
    </row>
    <row r="1635" spans="1:23" x14ac:dyDescent="0.2">
      <c r="A1635" t="s">
        <v>3278</v>
      </c>
      <c r="B1635" s="3" t="str">
        <f>HYPERLINK("http://www.ncbi.nlm.nih.gov/gene/269061","Cpsf7")</f>
        <v>Cpsf7</v>
      </c>
      <c r="C1635">
        <v>269061</v>
      </c>
      <c r="D1635" t="s">
        <v>3279</v>
      </c>
      <c r="E1635" s="3" t="str">
        <f>HYPERLINK("http://genome.ucsc.edu/cgi-bin/hgTracks?db=mm10&amp;lastVirtModeType=default&amp;lastVirtModeExtraState=&amp;virtModeType=default&amp;virtMode=0&amp;nonVirtPosition=&amp;position=chr19:10525243-10547735","chr19:10525243-10547735")</f>
        <v>chr19:10525243-10547735</v>
      </c>
      <c r="F1635" t="s">
        <v>30</v>
      </c>
      <c r="G1635">
        <v>0.45904992492680902</v>
      </c>
      <c r="H1635">
        <v>0.12888422981532399</v>
      </c>
      <c r="I1635">
        <v>3.5617229942295898</v>
      </c>
      <c r="J1635">
        <v>3.6842899311005E-4</v>
      </c>
      <c r="K1635">
        <v>3.0230592198141398E-3</v>
      </c>
      <c r="L1635" t="s">
        <v>26</v>
      </c>
      <c r="M1635" t="s">
        <v>27</v>
      </c>
      <c r="N1635">
        <v>330.10500974249902</v>
      </c>
      <c r="O1635">
        <v>273.43098194696802</v>
      </c>
      <c r="P1635">
        <v>372.61053058914598</v>
      </c>
      <c r="Q1635">
        <v>249.443060610565</v>
      </c>
      <c r="R1635">
        <v>279.51087319764503</v>
      </c>
      <c r="S1635">
        <v>291.339012032695</v>
      </c>
      <c r="T1635">
        <v>325.38978480626997</v>
      </c>
      <c r="U1635">
        <v>361.872390054655</v>
      </c>
      <c r="V1635">
        <v>421.52952648566401</v>
      </c>
      <c r="W1635">
        <v>381.65042100999699</v>
      </c>
    </row>
    <row r="1636" spans="1:23" x14ac:dyDescent="0.2">
      <c r="A1636" t="s">
        <v>3280</v>
      </c>
      <c r="B1636" s="3" t="str">
        <f>HYPERLINK("http://www.ncbi.nlm.nih.gov/gene/93876","Pcdhb5")</f>
        <v>Pcdhb5</v>
      </c>
      <c r="C1636">
        <v>93876</v>
      </c>
      <c r="D1636" t="s">
        <v>3281</v>
      </c>
      <c r="E1636" s="3" t="str">
        <f>HYPERLINK("http://genome.ucsc.edu/cgi-bin/hgTracks?db=mm10&amp;lastVirtModeType=default&amp;lastVirtModeExtraState=&amp;virtModeType=default&amp;virtMode=0&amp;nonVirtPosition=&amp;position=chr18:37320380-37323913","chr18:37320380-37323913")</f>
        <v>chr18:37320380-37323913</v>
      </c>
      <c r="F1636" t="s">
        <v>30</v>
      </c>
      <c r="G1636">
        <v>-0.80581996357139396</v>
      </c>
      <c r="H1636">
        <v>0.22628911945231001</v>
      </c>
      <c r="I1636">
        <v>-3.56101948481539</v>
      </c>
      <c r="J1636">
        <v>3.6941766535163498E-4</v>
      </c>
      <c r="K1636">
        <v>3.0293153439826998E-3</v>
      </c>
      <c r="L1636" t="s">
        <v>26</v>
      </c>
      <c r="M1636" t="s">
        <v>27</v>
      </c>
      <c r="N1636">
        <v>132.895076750626</v>
      </c>
      <c r="O1636">
        <v>179.34196842923001</v>
      </c>
      <c r="P1636">
        <v>98.059907991673697</v>
      </c>
      <c r="Q1636">
        <v>233.29607677639899</v>
      </c>
      <c r="R1636">
        <v>163.45886885778199</v>
      </c>
      <c r="S1636">
        <v>141.27095965350901</v>
      </c>
      <c r="T1636">
        <v>119.15682260511301</v>
      </c>
      <c r="U1636">
        <v>79.2264995977648</v>
      </c>
      <c r="V1636">
        <v>119.91154069312999</v>
      </c>
      <c r="W1636">
        <v>73.944769070686903</v>
      </c>
    </row>
    <row r="1637" spans="1:23" x14ac:dyDescent="0.2">
      <c r="A1637" t="s">
        <v>3282</v>
      </c>
      <c r="B1637" s="3" t="str">
        <f>HYPERLINK("http://www.ncbi.nlm.nih.gov/gene/73683","Atg16l2")</f>
        <v>Atg16l2</v>
      </c>
      <c r="C1637">
        <v>73683</v>
      </c>
      <c r="D1637" t="s">
        <v>3283</v>
      </c>
      <c r="E1637" s="3" t="str">
        <f>HYPERLINK("http://genome.ucsc.edu/cgi-bin/hgTracks?db=mm10&amp;lastVirtModeType=default&amp;lastVirtModeExtraState=&amp;virtModeType=default&amp;virtMode=0&amp;nonVirtPosition=&amp;position=chr7:101289615-101302088","chr7:101289615-101302088")</f>
        <v>chr7:101289615-101302088</v>
      </c>
      <c r="F1637" t="s">
        <v>25</v>
      </c>
      <c r="G1637">
        <v>0.68247322107203001</v>
      </c>
      <c r="H1637">
        <v>0.19166596941936301</v>
      </c>
      <c r="I1637">
        <v>3.5607428023844401</v>
      </c>
      <c r="J1637">
        <v>3.6980717829442999E-4</v>
      </c>
      <c r="K1637">
        <v>3.0306535645903999E-3</v>
      </c>
      <c r="L1637" t="s">
        <v>26</v>
      </c>
      <c r="M1637" t="s">
        <v>27</v>
      </c>
      <c r="N1637">
        <v>170.166446283976</v>
      </c>
      <c r="O1637">
        <v>125.71715592525899</v>
      </c>
      <c r="P1637">
        <v>203.50341405301401</v>
      </c>
      <c r="Q1637">
        <v>164.253801071689</v>
      </c>
      <c r="R1637">
        <v>101.640317526416</v>
      </c>
      <c r="S1637">
        <v>111.257349177672</v>
      </c>
      <c r="T1637">
        <v>164.98636976092499</v>
      </c>
      <c r="U1637">
        <v>205.56064760501101</v>
      </c>
      <c r="V1637">
        <v>228.788277027996</v>
      </c>
      <c r="W1637">
        <v>214.67836181812299</v>
      </c>
    </row>
    <row r="1638" spans="1:23" x14ac:dyDescent="0.2">
      <c r="A1638" t="s">
        <v>3284</v>
      </c>
      <c r="B1638" s="3" t="str">
        <f>HYPERLINK("http://www.ncbi.nlm.nih.gov/gene/232023","Vopp1")</f>
        <v>Vopp1</v>
      </c>
      <c r="C1638">
        <v>232023</v>
      </c>
      <c r="D1638" t="s">
        <v>3285</v>
      </c>
      <c r="E1638" s="3" t="str">
        <f>HYPERLINK("http://genome.ucsc.edu/cgi-bin/hgTracks?db=mm10&amp;lastVirtModeType=default&amp;lastVirtModeExtraState=&amp;virtModeType=default&amp;virtMode=0&amp;nonVirtPosition=&amp;position=chr6:57752263-57825125","chr6:57752263-57825125")</f>
        <v>chr6:57752263-57825125</v>
      </c>
      <c r="F1638" t="s">
        <v>25</v>
      </c>
      <c r="G1638">
        <v>-0.54236841266594604</v>
      </c>
      <c r="H1638">
        <v>0.152327704384912</v>
      </c>
      <c r="I1638">
        <v>-3.5605369020428101</v>
      </c>
      <c r="J1638">
        <v>3.7009729351071498E-4</v>
      </c>
      <c r="K1638">
        <v>3.03117605957308E-3</v>
      </c>
      <c r="L1638" t="s">
        <v>26</v>
      </c>
      <c r="M1638" t="s">
        <v>27</v>
      </c>
      <c r="N1638">
        <v>225.63778262970601</v>
      </c>
      <c r="O1638">
        <v>272.63224588582801</v>
      </c>
      <c r="P1638">
        <v>190.391935187614</v>
      </c>
      <c r="Q1638">
        <v>284.52099100892502</v>
      </c>
      <c r="R1638">
        <v>294.301814927235</v>
      </c>
      <c r="S1638">
        <v>239.07393172132399</v>
      </c>
      <c r="T1638">
        <v>229.147735779063</v>
      </c>
      <c r="U1638">
        <v>194.854363875584</v>
      </c>
      <c r="V1638">
        <v>176.55686973221501</v>
      </c>
      <c r="W1638">
        <v>161.00877136359199</v>
      </c>
    </row>
    <row r="1639" spans="1:23" x14ac:dyDescent="0.2">
      <c r="A1639" t="s">
        <v>3286</v>
      </c>
      <c r="B1639" s="3" t="str">
        <f>HYPERLINK("http://www.ncbi.nlm.nih.gov/gene/16008","Igfbp2")</f>
        <v>Igfbp2</v>
      </c>
      <c r="C1639">
        <v>16008</v>
      </c>
      <c r="D1639" t="s">
        <v>3287</v>
      </c>
      <c r="E1639" s="3" t="str">
        <f>HYPERLINK("http://genome.ucsc.edu/cgi-bin/hgTracks?db=mm10&amp;lastVirtModeType=default&amp;lastVirtModeExtraState=&amp;virtModeType=default&amp;virtMode=0&amp;nonVirtPosition=&amp;position=chr1:72825386-72852471","chr1:72825386-72852471")</f>
        <v>chr1:72825386-72852471</v>
      </c>
      <c r="F1639" t="s">
        <v>30</v>
      </c>
      <c r="G1639">
        <v>-1.18787975482444</v>
      </c>
      <c r="H1639">
        <v>0.33368855070549602</v>
      </c>
      <c r="I1639">
        <v>-3.5598457073608998</v>
      </c>
      <c r="J1639">
        <v>3.7107274908657197E-4</v>
      </c>
      <c r="K1639">
        <v>3.03730756908208E-3</v>
      </c>
      <c r="L1639" t="s">
        <v>26</v>
      </c>
      <c r="M1639" t="s">
        <v>27</v>
      </c>
      <c r="N1639">
        <v>724.68972620003296</v>
      </c>
      <c r="O1639">
        <v>1157.2430505641701</v>
      </c>
      <c r="P1639">
        <v>400.27473292693497</v>
      </c>
      <c r="Q1639">
        <v>619.15331115836602</v>
      </c>
      <c r="R1639">
        <v>1369.48950219362</v>
      </c>
      <c r="S1639">
        <v>1483.0863383405101</v>
      </c>
      <c r="T1639">
        <v>247.47955464138801</v>
      </c>
      <c r="U1639">
        <v>575.99806464320898</v>
      </c>
      <c r="V1639">
        <v>437.71390621111698</v>
      </c>
      <c r="W1639">
        <v>339.90740621202798</v>
      </c>
    </row>
    <row r="1640" spans="1:23" x14ac:dyDescent="0.2">
      <c r="A1640" t="s">
        <v>3288</v>
      </c>
      <c r="B1640" s="3" t="str">
        <f>HYPERLINK("http://www.ncbi.nlm.nih.gov/gene/231093","Agbl5")</f>
        <v>Agbl5</v>
      </c>
      <c r="C1640">
        <v>231093</v>
      </c>
      <c r="D1640" t="s">
        <v>3289</v>
      </c>
      <c r="E1640" s="3" t="str">
        <f>HYPERLINK("http://genome.ucsc.edu/cgi-bin/hgTracks?db=mm10&amp;lastVirtModeType=default&amp;lastVirtModeExtraState=&amp;virtModeType=default&amp;virtMode=0&amp;nonVirtPosition=&amp;position=chr5:30888934-30906666","chr5:30888934-30906666")</f>
        <v>chr5:30888934-30906666</v>
      </c>
      <c r="F1640" t="s">
        <v>30</v>
      </c>
      <c r="G1640">
        <v>0.69736587265886896</v>
      </c>
      <c r="H1640">
        <v>0.19603024011994899</v>
      </c>
      <c r="I1640">
        <v>3.5574402818266999</v>
      </c>
      <c r="J1640">
        <v>3.7448619933242198E-4</v>
      </c>
      <c r="K1640">
        <v>3.0633748902018699E-3</v>
      </c>
      <c r="L1640" t="s">
        <v>26</v>
      </c>
      <c r="M1640" t="s">
        <v>27</v>
      </c>
      <c r="N1640">
        <v>75.412427318656398</v>
      </c>
      <c r="O1640">
        <v>55.825939541501498</v>
      </c>
      <c r="P1640">
        <v>90.102293151522503</v>
      </c>
      <c r="Q1640">
        <v>57.906424784595401</v>
      </c>
      <c r="R1640">
        <v>50.0616489309215</v>
      </c>
      <c r="S1640">
        <v>59.5097449089875</v>
      </c>
      <c r="T1640">
        <v>64.161366018137699</v>
      </c>
      <c r="U1640">
        <v>104.92158054839101</v>
      </c>
      <c r="V1640">
        <v>97.106278352718405</v>
      </c>
      <c r="W1640">
        <v>94.2199476868429</v>
      </c>
    </row>
    <row r="1641" spans="1:23" x14ac:dyDescent="0.2">
      <c r="A1641" t="s">
        <v>3290</v>
      </c>
      <c r="B1641" s="3" t="str">
        <f>HYPERLINK("http://www.ncbi.nlm.nih.gov/gene/100039795","Ildr2")</f>
        <v>Ildr2</v>
      </c>
      <c r="C1641">
        <v>100039795</v>
      </c>
      <c r="D1641" t="s">
        <v>3291</v>
      </c>
      <c r="E1641" s="3" t="str">
        <f>HYPERLINK("http://genome.ucsc.edu/cgi-bin/hgTracks?db=mm10&amp;lastVirtModeType=default&amp;lastVirtModeExtraState=&amp;virtModeType=default&amp;virtMode=0&amp;nonVirtPosition=&amp;position=chr1:166254138-166316832","chr1:166254138-166316832")</f>
        <v>chr1:166254138-166316832</v>
      </c>
      <c r="F1641" t="s">
        <v>30</v>
      </c>
      <c r="G1641">
        <v>-0.72732724989012698</v>
      </c>
      <c r="H1641">
        <v>0.20446885048057301</v>
      </c>
      <c r="I1641">
        <v>-3.5571542960243301</v>
      </c>
      <c r="J1641">
        <v>3.7489397783154198E-4</v>
      </c>
      <c r="K1641">
        <v>3.06483837432367E-3</v>
      </c>
      <c r="L1641" t="s">
        <v>26</v>
      </c>
      <c r="M1641" t="s">
        <v>27</v>
      </c>
      <c r="N1641">
        <v>619.89020975315395</v>
      </c>
      <c r="O1641">
        <v>816.67374734253201</v>
      </c>
      <c r="P1641">
        <v>472.30255656112098</v>
      </c>
      <c r="Q1641">
        <v>1143.6518894957601</v>
      </c>
      <c r="R1641">
        <v>659.52429917327595</v>
      </c>
      <c r="S1641">
        <v>646.84505335855999</v>
      </c>
      <c r="T1641">
        <v>453.71251684254503</v>
      </c>
      <c r="U1641">
        <v>387.56747100528202</v>
      </c>
      <c r="V1641">
        <v>570.86721213416297</v>
      </c>
      <c r="W1641">
        <v>477.06302626249601</v>
      </c>
    </row>
    <row r="1642" spans="1:23" x14ac:dyDescent="0.2">
      <c r="A1642" t="s">
        <v>3292</v>
      </c>
      <c r="B1642" s="3" t="str">
        <f>HYPERLINK("http://www.ncbi.nlm.nih.gov/gene/17252","Rdh11")</f>
        <v>Rdh11</v>
      </c>
      <c r="C1642">
        <v>17252</v>
      </c>
      <c r="D1642" t="s">
        <v>3293</v>
      </c>
      <c r="E1642" s="3" t="str">
        <f>HYPERLINK("http://genome.ucsc.edu/cgi-bin/hgTracks?db=mm10&amp;lastVirtModeType=default&amp;lastVirtModeExtraState=&amp;virtModeType=default&amp;virtMode=0&amp;nonVirtPosition=&amp;position=chr12:79175550-79191819","chr12:79175550-79191819")</f>
        <v>chr12:79175550-79191819</v>
      </c>
      <c r="F1642" t="s">
        <v>25</v>
      </c>
      <c r="G1642">
        <v>-0.537949090463266</v>
      </c>
      <c r="H1642">
        <v>0.15125907988571399</v>
      </c>
      <c r="I1642">
        <v>-3.5564746980460402</v>
      </c>
      <c r="J1642">
        <v>3.7586466173904302E-4</v>
      </c>
      <c r="K1642">
        <v>3.07089913688073E-3</v>
      </c>
      <c r="L1642" t="s">
        <v>26</v>
      </c>
      <c r="M1642" t="s">
        <v>27</v>
      </c>
      <c r="N1642">
        <v>253.426414827689</v>
      </c>
      <c r="O1642">
        <v>313.85150714416301</v>
      </c>
      <c r="P1642">
        <v>208.107595590334</v>
      </c>
      <c r="Q1642">
        <v>286.19136864694298</v>
      </c>
      <c r="R1642">
        <v>350.05228760030701</v>
      </c>
      <c r="S1642">
        <v>305.31086518524</v>
      </c>
      <c r="T1642">
        <v>178.735233907669</v>
      </c>
      <c r="U1642">
        <v>201.27813411323999</v>
      </c>
      <c r="V1642">
        <v>250.85788574452201</v>
      </c>
      <c r="W1642">
        <v>201.55912859590501</v>
      </c>
    </row>
    <row r="1643" spans="1:23" x14ac:dyDescent="0.2">
      <c r="A1643" t="s">
        <v>3294</v>
      </c>
      <c r="B1643" s="3" t="str">
        <f>HYPERLINK("http://www.ncbi.nlm.nih.gov/gene/70508","Bbx")</f>
        <v>Bbx</v>
      </c>
      <c r="C1643">
        <v>70508</v>
      </c>
      <c r="D1643" t="s">
        <v>3295</v>
      </c>
      <c r="E1643" s="3" t="str">
        <f>HYPERLINK("http://genome.ucsc.edu/cgi-bin/hgTracks?db=mm10&amp;lastVirtModeType=default&amp;lastVirtModeExtraState=&amp;virtModeType=default&amp;virtMode=0&amp;nonVirtPosition=&amp;position=chr16:50191843-50432389","chr16:50191843-50432389")</f>
        <v>chr16:50191843-50432389</v>
      </c>
      <c r="F1643" t="s">
        <v>25</v>
      </c>
      <c r="G1643">
        <v>0.59394970201339103</v>
      </c>
      <c r="H1643">
        <v>0.16701469232226199</v>
      </c>
      <c r="I1643">
        <v>3.55627216836313</v>
      </c>
      <c r="J1643">
        <v>3.76154393173581E-4</v>
      </c>
      <c r="K1643">
        <v>3.0713923652362302E-3</v>
      </c>
      <c r="L1643" t="s">
        <v>26</v>
      </c>
      <c r="M1643" t="s">
        <v>27</v>
      </c>
      <c r="N1643">
        <v>372.72176804441801</v>
      </c>
      <c r="O1643">
        <v>286.97429299180402</v>
      </c>
      <c r="P1643">
        <v>437.03237433387898</v>
      </c>
      <c r="Q1643">
        <v>288.97533137697098</v>
      </c>
      <c r="R1643">
        <v>232.48326359587</v>
      </c>
      <c r="S1643">
        <v>339.46428400257201</v>
      </c>
      <c r="T1643">
        <v>407.882969686732</v>
      </c>
      <c r="U1643">
        <v>355.44861981699898</v>
      </c>
      <c r="V1643">
        <v>486.267045387476</v>
      </c>
      <c r="W1643">
        <v>498.53086244430801</v>
      </c>
    </row>
    <row r="1644" spans="1:23" x14ac:dyDescent="0.2">
      <c r="A1644" t="s">
        <v>3296</v>
      </c>
      <c r="B1644" s="3" t="str">
        <f>HYPERLINK("http://www.ncbi.nlm.nih.gov/gene/17248","Mdm4")</f>
        <v>Mdm4</v>
      </c>
      <c r="C1644">
        <v>17248</v>
      </c>
      <c r="D1644" t="s">
        <v>3297</v>
      </c>
      <c r="E1644" s="3" t="str">
        <f>HYPERLINK("http://genome.ucsc.edu/cgi-bin/hgTracks?db=mm10&amp;lastVirtModeType=default&amp;lastVirtModeExtraState=&amp;virtModeType=default&amp;virtMode=0&amp;nonVirtPosition=&amp;position=chr1:132986104-133025416","chr1:132986104-133025416")</f>
        <v>chr1:132986104-133025416</v>
      </c>
      <c r="F1644" t="s">
        <v>25</v>
      </c>
      <c r="G1644">
        <v>0.57865286980627395</v>
      </c>
      <c r="H1644">
        <v>0.16281349837502901</v>
      </c>
      <c r="I1644">
        <v>3.55408412436043</v>
      </c>
      <c r="J1644">
        <v>3.7929786673184299E-4</v>
      </c>
      <c r="K1644">
        <v>3.09517229336143E-3</v>
      </c>
      <c r="L1644" t="s">
        <v>26</v>
      </c>
      <c r="M1644" t="s">
        <v>27</v>
      </c>
      <c r="N1644">
        <v>532.33194490526705</v>
      </c>
      <c r="O1644">
        <v>412.96761872695203</v>
      </c>
      <c r="P1644">
        <v>621.85518953900305</v>
      </c>
      <c r="Q1644">
        <v>384.18685674394999</v>
      </c>
      <c r="R1644">
        <v>372.42832765276398</v>
      </c>
      <c r="S1644">
        <v>482.28767178414199</v>
      </c>
      <c r="T1644">
        <v>554.53752058533303</v>
      </c>
      <c r="U1644">
        <v>496.77156504544399</v>
      </c>
      <c r="V1644">
        <v>696.66398181836598</v>
      </c>
      <c r="W1644">
        <v>739.44769070686903</v>
      </c>
    </row>
    <row r="1645" spans="1:23" x14ac:dyDescent="0.2">
      <c r="A1645" t="s">
        <v>3298</v>
      </c>
      <c r="B1645" s="3" t="str">
        <f>HYPERLINK("http://www.ncbi.nlm.nih.gov/gene/246154","Vasn")</f>
        <v>Vasn</v>
      </c>
      <c r="C1645">
        <v>246154</v>
      </c>
      <c r="D1645" t="s">
        <v>3299</v>
      </c>
      <c r="E1645" s="3" t="str">
        <f>HYPERLINK("http://genome.ucsc.edu/cgi-bin/hgTracks?db=mm10&amp;lastVirtModeType=default&amp;lastVirtModeExtraState=&amp;virtModeType=default&amp;virtMode=0&amp;nonVirtPosition=&amp;position=chr16:4639944-4651166","chr16:4639944-4651166")</f>
        <v>chr16:4639944-4651166</v>
      </c>
      <c r="F1645" t="s">
        <v>30</v>
      </c>
      <c r="G1645">
        <v>0.74781454305030304</v>
      </c>
      <c r="H1645">
        <v>0.21045572222630601</v>
      </c>
      <c r="I1645">
        <v>3.5533105735474702</v>
      </c>
      <c r="J1645">
        <v>3.8041505814992102E-4</v>
      </c>
      <c r="K1645">
        <v>3.1023983213676002E-3</v>
      </c>
      <c r="L1645" t="s">
        <v>26</v>
      </c>
      <c r="M1645" t="s">
        <v>27</v>
      </c>
      <c r="N1645">
        <v>103.858164753739</v>
      </c>
      <c r="O1645">
        <v>74.425683950455493</v>
      </c>
      <c r="P1645">
        <v>125.93252535620201</v>
      </c>
      <c r="Q1645">
        <v>76.280578802784305</v>
      </c>
      <c r="R1645">
        <v>59.543021834505097</v>
      </c>
      <c r="S1645">
        <v>87.453451214077205</v>
      </c>
      <c r="T1645">
        <v>82.493184880462707</v>
      </c>
      <c r="U1645">
        <v>156.31174244964399</v>
      </c>
      <c r="V1645">
        <v>145.65941752907801</v>
      </c>
      <c r="W1645">
        <v>119.265756565624</v>
      </c>
    </row>
    <row r="1646" spans="1:23" x14ac:dyDescent="0.2">
      <c r="A1646" t="s">
        <v>3300</v>
      </c>
      <c r="B1646" s="3" t="str">
        <f>HYPERLINK("http://www.ncbi.nlm.nih.gov/gene/68585","Rtn4")</f>
        <v>Rtn4</v>
      </c>
      <c r="C1646">
        <v>68585</v>
      </c>
      <c r="D1646" t="s">
        <v>3301</v>
      </c>
      <c r="E1646" s="3" t="str">
        <f>HYPERLINK("http://genome.ucsc.edu/cgi-bin/hgTracks?db=mm10&amp;lastVirtModeType=default&amp;lastVirtModeExtraState=&amp;virtModeType=default&amp;virtMode=0&amp;nonVirtPosition=&amp;position=chr11:29693773-29744414","chr11:29693773-29744414")</f>
        <v>chr11:29693773-29744414</v>
      </c>
      <c r="F1646" t="s">
        <v>30</v>
      </c>
      <c r="G1646">
        <v>-0.49083331014262499</v>
      </c>
      <c r="H1646">
        <v>0.13820298791712701</v>
      </c>
      <c r="I1646">
        <v>-3.5515390625053</v>
      </c>
      <c r="J1646">
        <v>3.8298513880163302E-4</v>
      </c>
      <c r="K1646">
        <v>3.1210994940430799E-3</v>
      </c>
      <c r="L1646" t="s">
        <v>26</v>
      </c>
      <c r="M1646" t="s">
        <v>27</v>
      </c>
      <c r="N1646">
        <v>1295.5503206856799</v>
      </c>
      <c r="O1646">
        <v>1567.0091033589699</v>
      </c>
      <c r="P1646">
        <v>1091.9562336807101</v>
      </c>
      <c r="Q1646">
        <v>1578.5068679262299</v>
      </c>
      <c r="R1646">
        <v>1493.5058597724901</v>
      </c>
      <c r="S1646">
        <v>1629.0145823782</v>
      </c>
      <c r="T1646">
        <v>834.09775823579002</v>
      </c>
      <c r="U1646">
        <v>1092.04094040162</v>
      </c>
      <c r="V1646">
        <v>1201.3223678029501</v>
      </c>
      <c r="W1646">
        <v>1240.3638682824901</v>
      </c>
    </row>
    <row r="1647" spans="1:23" x14ac:dyDescent="0.2">
      <c r="A1647" t="s">
        <v>3302</v>
      </c>
      <c r="B1647" s="3" t="str">
        <f>HYPERLINK("http://www.ncbi.nlm.nih.gov/gene/26427","Creb3l1")</f>
        <v>Creb3l1</v>
      </c>
      <c r="C1647">
        <v>26427</v>
      </c>
      <c r="D1647" t="s">
        <v>3303</v>
      </c>
      <c r="E1647" s="3" t="str">
        <f>HYPERLINK("http://genome.ucsc.edu/cgi-bin/hgTracks?db=mm10&amp;lastVirtModeType=default&amp;lastVirtModeExtraState=&amp;virtModeType=default&amp;virtMode=0&amp;nonVirtPosition=&amp;position=chr2:91982327-92024170","chr2:91982327-92024170")</f>
        <v>chr2:91982327-92024170</v>
      </c>
      <c r="F1647" t="s">
        <v>25</v>
      </c>
      <c r="G1647">
        <v>0.91478888033581596</v>
      </c>
      <c r="H1647">
        <v>0.257584766265892</v>
      </c>
      <c r="I1647">
        <v>3.5514090898975099</v>
      </c>
      <c r="J1647">
        <v>3.8317433860106203E-4</v>
      </c>
      <c r="K1647">
        <v>3.1210994940430799E-3</v>
      </c>
      <c r="L1647" t="s">
        <v>26</v>
      </c>
      <c r="M1647" t="s">
        <v>27</v>
      </c>
      <c r="N1647">
        <v>52.578915965777398</v>
      </c>
      <c r="O1647">
        <v>32.432799669283497</v>
      </c>
      <c r="P1647">
        <v>67.688503188147806</v>
      </c>
      <c r="Q1647">
        <v>38.975478220400802</v>
      </c>
      <c r="R1647">
        <v>23.134549884744001</v>
      </c>
      <c r="S1647">
        <v>35.1883709027056</v>
      </c>
      <c r="T1647">
        <v>87.076139596044001</v>
      </c>
      <c r="U1647">
        <v>57.8139321389095</v>
      </c>
      <c r="V1647">
        <v>75.772323260075694</v>
      </c>
      <c r="W1647">
        <v>50.091617757562098</v>
      </c>
    </row>
    <row r="1648" spans="1:23" x14ac:dyDescent="0.2">
      <c r="A1648" t="s">
        <v>3304</v>
      </c>
      <c r="B1648" s="3" t="str">
        <f>HYPERLINK("http://www.ncbi.nlm.nih.gov/gene/57440","Ehd3")</f>
        <v>Ehd3</v>
      </c>
      <c r="C1648">
        <v>57440</v>
      </c>
      <c r="D1648" t="s">
        <v>3305</v>
      </c>
      <c r="E1648" s="3" t="str">
        <f>HYPERLINK("http://genome.ucsc.edu/cgi-bin/hgTracks?db=mm10&amp;lastVirtModeType=default&amp;lastVirtModeExtraState=&amp;virtModeType=default&amp;virtMode=0&amp;nonVirtPosition=&amp;position=chr17:73804840-73832093","chr17:73804840-73832093")</f>
        <v>chr17:73804840-73832093</v>
      </c>
      <c r="F1648" t="s">
        <v>30</v>
      </c>
      <c r="G1648">
        <v>-0.58168879536968698</v>
      </c>
      <c r="H1648">
        <v>0.16381750634486</v>
      </c>
      <c r="I1648">
        <v>-3.5508341467800499</v>
      </c>
      <c r="J1648">
        <v>3.8401232579769197E-4</v>
      </c>
      <c r="K1648">
        <v>3.1251774326442202E-3</v>
      </c>
      <c r="L1648" t="s">
        <v>26</v>
      </c>
      <c r="M1648" t="s">
        <v>27</v>
      </c>
      <c r="N1648">
        <v>549.07695842043495</v>
      </c>
      <c r="O1648">
        <v>685.83654187251398</v>
      </c>
      <c r="P1648">
        <v>446.50727083137599</v>
      </c>
      <c r="Q1648">
        <v>819.04183517442095</v>
      </c>
      <c r="R1648">
        <v>559.02174639529005</v>
      </c>
      <c r="S1648">
        <v>679.44604404783104</v>
      </c>
      <c r="T1648">
        <v>407.882969686732</v>
      </c>
      <c r="U1648">
        <v>462.511457111276</v>
      </c>
      <c r="V1648">
        <v>530.40626282052995</v>
      </c>
      <c r="W1648">
        <v>385.22839370696499</v>
      </c>
    </row>
    <row r="1649" spans="1:23" x14ac:dyDescent="0.2">
      <c r="A1649" t="s">
        <v>3306</v>
      </c>
      <c r="B1649" s="3" t="str">
        <f>HYPERLINK("http://www.ncbi.nlm.nih.gov/gene/78943","Ern1")</f>
        <v>Ern1</v>
      </c>
      <c r="C1649">
        <v>78943</v>
      </c>
      <c r="D1649" t="s">
        <v>3307</v>
      </c>
      <c r="E1649" s="3" t="str">
        <f>HYPERLINK("http://genome.ucsc.edu/cgi-bin/hgTracks?db=mm10&amp;lastVirtModeType=default&amp;lastVirtModeExtraState=&amp;virtModeType=default&amp;virtMode=0&amp;nonVirtPosition=&amp;position=chr11:106397619-106487796","chr11:106397619-106487796")</f>
        <v>chr11:106397619-106487796</v>
      </c>
      <c r="F1649" t="s">
        <v>25</v>
      </c>
      <c r="G1649">
        <v>0.64227098693137796</v>
      </c>
      <c r="H1649">
        <v>0.18088342131361301</v>
      </c>
      <c r="I1649">
        <v>3.55074545951793</v>
      </c>
      <c r="J1649">
        <v>3.8414174102997502E-4</v>
      </c>
      <c r="K1649">
        <v>3.1251774326442202E-3</v>
      </c>
      <c r="L1649" t="s">
        <v>26</v>
      </c>
      <c r="M1649" t="s">
        <v>27</v>
      </c>
      <c r="N1649">
        <v>125.599368581372</v>
      </c>
      <c r="O1649">
        <v>93.750152164051499</v>
      </c>
      <c r="P1649">
        <v>149.48628089436099</v>
      </c>
      <c r="Q1649">
        <v>103.006621011059</v>
      </c>
      <c r="R1649">
        <v>73.196198815665497</v>
      </c>
      <c r="S1649">
        <v>105.04763666543001</v>
      </c>
      <c r="T1649">
        <v>155.82046032976299</v>
      </c>
      <c r="U1649">
        <v>134.89917499078899</v>
      </c>
      <c r="V1649">
        <v>148.602032024614</v>
      </c>
      <c r="W1649">
        <v>158.62345623228001</v>
      </c>
    </row>
    <row r="1650" spans="1:23" x14ac:dyDescent="0.2">
      <c r="A1650" t="s">
        <v>3308</v>
      </c>
      <c r="B1650" s="3" t="str">
        <f>HYPERLINK("http://www.ncbi.nlm.nih.gov/gene/84585","Rnf123")</f>
        <v>Rnf123</v>
      </c>
      <c r="C1650">
        <v>84585</v>
      </c>
      <c r="D1650" t="s">
        <v>3309</v>
      </c>
      <c r="E1650" s="3" t="str">
        <f>HYPERLINK("http://genome.ucsc.edu/cgi-bin/hgTracks?db=mm10&amp;lastVirtModeType=default&amp;lastVirtModeExtraState=&amp;virtModeType=default&amp;virtMode=0&amp;nonVirtPosition=&amp;position=chr9:108051671-108079301","chr9:108051671-108079301")</f>
        <v>chr9:108051671-108079301</v>
      </c>
      <c r="F1650" t="s">
        <v>25</v>
      </c>
      <c r="G1650">
        <v>0.552650781839505</v>
      </c>
      <c r="H1650">
        <v>0.15565413268096001</v>
      </c>
      <c r="I1650">
        <v>3.5505050352389902</v>
      </c>
      <c r="J1650">
        <v>3.8449278072984601E-4</v>
      </c>
      <c r="K1650">
        <v>3.1261340781744799E-3</v>
      </c>
      <c r="L1650" t="s">
        <v>26</v>
      </c>
      <c r="M1650" t="s">
        <v>27</v>
      </c>
      <c r="N1650">
        <v>205.624203264822</v>
      </c>
      <c r="O1650">
        <v>159.33904163190999</v>
      </c>
      <c r="P1650">
        <v>240.338074489505</v>
      </c>
      <c r="Q1650">
        <v>150.890779967551</v>
      </c>
      <c r="R1650">
        <v>151.70196645733799</v>
      </c>
      <c r="S1650">
        <v>175.42437847084099</v>
      </c>
      <c r="T1650">
        <v>261.22841878813199</v>
      </c>
      <c r="U1650">
        <v>229.11447180975199</v>
      </c>
      <c r="V1650">
        <v>197.89082482485799</v>
      </c>
      <c r="W1650">
        <v>273.11858253527902</v>
      </c>
    </row>
    <row r="1651" spans="1:23" x14ac:dyDescent="0.2">
      <c r="A1651" t="s">
        <v>3310</v>
      </c>
      <c r="B1651" s="3" t="str">
        <f>HYPERLINK("http://www.ncbi.nlm.nih.gov/gene/59288","Dctn5")</f>
        <v>Dctn5</v>
      </c>
      <c r="C1651">
        <v>59288</v>
      </c>
      <c r="D1651" t="s">
        <v>3311</v>
      </c>
      <c r="E1651" s="3" t="str">
        <f>HYPERLINK("http://genome.ucsc.edu/cgi-bin/hgTracks?db=mm10&amp;lastVirtModeType=default&amp;lastVirtModeExtraState=&amp;virtModeType=default&amp;virtMode=0&amp;nonVirtPosition=&amp;position=chr7:122133040-122149044","chr7:122133040-122149044")</f>
        <v>chr7:122133040-122149044</v>
      </c>
      <c r="F1651" t="s">
        <v>30</v>
      </c>
      <c r="G1651">
        <v>-0.515628463460437</v>
      </c>
      <c r="H1651">
        <v>0.14524033291833999</v>
      </c>
      <c r="I1651">
        <v>-3.5501740673532098</v>
      </c>
      <c r="J1651">
        <v>3.8497651216342298E-4</v>
      </c>
      <c r="K1651">
        <v>3.1281677635803299E-3</v>
      </c>
      <c r="L1651" t="s">
        <v>26</v>
      </c>
      <c r="M1651" t="s">
        <v>27</v>
      </c>
      <c r="N1651">
        <v>233.62994210277299</v>
      </c>
      <c r="O1651">
        <v>285.284951366374</v>
      </c>
      <c r="P1651">
        <v>194.88868515507201</v>
      </c>
      <c r="Q1651">
        <v>317.371751223263</v>
      </c>
      <c r="R1651">
        <v>291.64703051423197</v>
      </c>
      <c r="S1651">
        <v>246.83607236162601</v>
      </c>
      <c r="T1651">
        <v>178.735233907669</v>
      </c>
      <c r="U1651">
        <v>205.56064760501101</v>
      </c>
      <c r="V1651">
        <v>210.39693643089001</v>
      </c>
      <c r="W1651">
        <v>184.861922676717</v>
      </c>
    </row>
    <row r="1652" spans="1:23" x14ac:dyDescent="0.2">
      <c r="A1652" t="s">
        <v>3312</v>
      </c>
      <c r="B1652" s="3" t="str">
        <f>HYPERLINK("http://www.ncbi.nlm.nih.gov/gene/57296","Psmd8")</f>
        <v>Psmd8</v>
      </c>
      <c r="C1652">
        <v>57296</v>
      </c>
      <c r="D1652" t="s">
        <v>3313</v>
      </c>
      <c r="E1652" s="3" t="str">
        <f>HYPERLINK("http://genome.ucsc.edu/cgi-bin/hgTracks?db=mm10&amp;lastVirtModeType=default&amp;lastVirtModeExtraState=&amp;virtModeType=default&amp;virtMode=0&amp;nonVirtPosition=&amp;position=chr7:29174186-29180673","chr7:29174186-29180673")</f>
        <v>chr7:29174186-29180673</v>
      </c>
      <c r="F1652" t="s">
        <v>25</v>
      </c>
      <c r="G1652">
        <v>-0.42308128390806898</v>
      </c>
      <c r="H1652">
        <v>0.119232460575508</v>
      </c>
      <c r="I1652">
        <v>-3.5483733361364198</v>
      </c>
      <c r="J1652">
        <v>3.8761838058497001E-4</v>
      </c>
      <c r="K1652">
        <v>3.1477245205660002E-3</v>
      </c>
      <c r="L1652" t="s">
        <v>26</v>
      </c>
      <c r="M1652" t="s">
        <v>27</v>
      </c>
      <c r="N1652">
        <v>457.67425560890899</v>
      </c>
      <c r="O1652">
        <v>539.99859601064395</v>
      </c>
      <c r="P1652">
        <v>395.93100030760797</v>
      </c>
      <c r="Q1652">
        <v>496.65895103710699</v>
      </c>
      <c r="R1652">
        <v>575.32970778945401</v>
      </c>
      <c r="S1652">
        <v>548.00712920537205</v>
      </c>
      <c r="T1652">
        <v>357.47046781533902</v>
      </c>
      <c r="U1652">
        <v>417.54506544767901</v>
      </c>
      <c r="V1652">
        <v>431.82867722004301</v>
      </c>
      <c r="W1652">
        <v>376.879790747372</v>
      </c>
    </row>
    <row r="1653" spans="1:23" x14ac:dyDescent="0.2">
      <c r="A1653" t="s">
        <v>3314</v>
      </c>
      <c r="B1653" s="3" t="str">
        <f>HYPERLINK("http://www.ncbi.nlm.nih.gov/gene/353342","Peg13")</f>
        <v>Peg13</v>
      </c>
      <c r="C1653">
        <v>353342</v>
      </c>
      <c r="D1653" t="s">
        <v>3315</v>
      </c>
      <c r="E1653" s="3" t="str">
        <f>HYPERLINK("http://genome.ucsc.edu/cgi-bin/hgTracks?db=mm10&amp;lastVirtModeType=default&amp;lastVirtModeExtraState=&amp;virtModeType=default&amp;virtMode=0&amp;nonVirtPosition=&amp;position=chr15:72805599-72810324","chr15:72805599-72810324")</f>
        <v>chr15:72805599-72810324</v>
      </c>
      <c r="F1653" t="s">
        <v>25</v>
      </c>
      <c r="G1653">
        <v>-0.46367945806001098</v>
      </c>
      <c r="H1653">
        <v>0.130714275572966</v>
      </c>
      <c r="I1653">
        <v>-3.5472748177468998</v>
      </c>
      <c r="J1653">
        <v>3.8923833663902501E-4</v>
      </c>
      <c r="K1653">
        <v>3.1589639793534502E-3</v>
      </c>
      <c r="L1653" t="s">
        <v>26</v>
      </c>
      <c r="M1653" t="s">
        <v>27</v>
      </c>
      <c r="N1653">
        <v>486.77113259460299</v>
      </c>
      <c r="O1653">
        <v>581.51231142047402</v>
      </c>
      <c r="P1653">
        <v>415.71524847519902</v>
      </c>
      <c r="Q1653">
        <v>590.756891312074</v>
      </c>
      <c r="R1653">
        <v>606.80786582935104</v>
      </c>
      <c r="S1653">
        <v>546.97217711999804</v>
      </c>
      <c r="T1653">
        <v>352.88751309975697</v>
      </c>
      <c r="U1653">
        <v>498.91282179132997</v>
      </c>
      <c r="V1653">
        <v>378.125962676494</v>
      </c>
      <c r="W1653">
        <v>432.93469633321502</v>
      </c>
    </row>
    <row r="1654" spans="1:23" x14ac:dyDescent="0.2">
      <c r="A1654" t="s">
        <v>3316</v>
      </c>
      <c r="B1654" s="3" t="str">
        <f>HYPERLINK("http://www.ncbi.nlm.nih.gov/gene/237073","Rbm41")</f>
        <v>Rbm41</v>
      </c>
      <c r="C1654">
        <v>237073</v>
      </c>
      <c r="D1654" t="s">
        <v>3317</v>
      </c>
      <c r="E1654" s="3" t="str">
        <f>HYPERLINK("http://genome.ucsc.edu/cgi-bin/hgTracks?db=mm10&amp;lastVirtModeType=default&amp;lastVirtModeExtraState=&amp;virtModeType=default&amp;virtMode=0&amp;nonVirtPosition=&amp;position=chrX:139941527-139998595","chrX:139941527-139998595")</f>
        <v>chrX:139941527-139998595</v>
      </c>
      <c r="F1654" t="s">
        <v>25</v>
      </c>
      <c r="G1654">
        <v>-0.66949838634717995</v>
      </c>
      <c r="H1654">
        <v>0.188865720607307</v>
      </c>
      <c r="I1654">
        <v>-3.5448380161014801</v>
      </c>
      <c r="J1654">
        <v>3.9285443307877699E-4</v>
      </c>
      <c r="K1654">
        <v>3.18638020191272E-3</v>
      </c>
      <c r="L1654" t="s">
        <v>26</v>
      </c>
      <c r="M1654" t="s">
        <v>27</v>
      </c>
      <c r="N1654">
        <v>96.493781062422002</v>
      </c>
      <c r="O1654">
        <v>124.83688814962299</v>
      </c>
      <c r="P1654">
        <v>75.236450747021195</v>
      </c>
      <c r="Q1654">
        <v>139.19813650143101</v>
      </c>
      <c r="R1654">
        <v>116.81051417214999</v>
      </c>
      <c r="S1654">
        <v>118.50201377528801</v>
      </c>
      <c r="T1654">
        <v>77.910230164881497</v>
      </c>
      <c r="U1654">
        <v>57.8139321389095</v>
      </c>
      <c r="V1654">
        <v>75.772323260075694</v>
      </c>
      <c r="W1654">
        <v>89.449317424217995</v>
      </c>
    </row>
    <row r="1655" spans="1:23" x14ac:dyDescent="0.2">
      <c r="A1655" t="s">
        <v>3318</v>
      </c>
      <c r="B1655" s="3" t="str">
        <f>HYPERLINK("http://www.ncbi.nlm.nih.gov/gene/14969","H2-Eb1")</f>
        <v>H2-Eb1</v>
      </c>
      <c r="C1655">
        <v>14969</v>
      </c>
      <c r="D1655" t="s">
        <v>3319</v>
      </c>
      <c r="E1655" s="3" t="str">
        <f>HYPERLINK("http://genome.ucsc.edu/cgi-bin/hgTracks?db=mm10&amp;lastVirtModeType=default&amp;lastVirtModeExtraState=&amp;virtModeType=default&amp;virtMode=0&amp;nonVirtPosition=&amp;position=chr17:34305866-34316674","chr17:34305866-34316674")</f>
        <v>chr17:34305866-34316674</v>
      </c>
      <c r="F1655" t="s">
        <v>30</v>
      </c>
      <c r="G1655">
        <v>1.41119854541773</v>
      </c>
      <c r="H1655">
        <v>0.39815585688265598</v>
      </c>
      <c r="I1655">
        <v>3.5443370253715498</v>
      </c>
      <c r="J1655">
        <v>3.9360175892685901E-4</v>
      </c>
      <c r="K1655">
        <v>3.1896152935662102E-3</v>
      </c>
      <c r="L1655" t="s">
        <v>26</v>
      </c>
      <c r="M1655" t="s">
        <v>27</v>
      </c>
      <c r="N1655">
        <v>401.63777321432298</v>
      </c>
      <c r="O1655">
        <v>52.145772554036498</v>
      </c>
      <c r="P1655">
        <v>663.75677370953895</v>
      </c>
      <c r="Q1655">
        <v>107.460961379105</v>
      </c>
      <c r="R1655">
        <v>18.962745807167199</v>
      </c>
      <c r="S1655">
        <v>30.013610475837201</v>
      </c>
      <c r="T1655">
        <v>1402.38414296787</v>
      </c>
      <c r="U1655">
        <v>182.00682340027001</v>
      </c>
      <c r="V1655">
        <v>432.564330843927</v>
      </c>
      <c r="W1655">
        <v>638.07179762608803</v>
      </c>
    </row>
    <row r="1656" spans="1:23" x14ac:dyDescent="0.2">
      <c r="A1656" t="s">
        <v>3320</v>
      </c>
      <c r="B1656" s="3" t="str">
        <f>HYPERLINK("http://www.ncbi.nlm.nih.gov/gene/387285","Hcrtr2")</f>
        <v>Hcrtr2</v>
      </c>
      <c r="C1656">
        <v>387285</v>
      </c>
      <c r="D1656" t="s">
        <v>3321</v>
      </c>
      <c r="E1656" s="3" t="str">
        <f>HYPERLINK("http://genome.ucsc.edu/cgi-bin/hgTracks?db=mm10&amp;lastVirtModeType=default&amp;lastVirtModeExtraState=&amp;virtModeType=default&amp;virtMode=0&amp;nonVirtPosition=&amp;position=chr9:76225879-76323578","chr9:76225879-76323578")</f>
        <v>chr9:76225879-76323578</v>
      </c>
      <c r="F1656" t="s">
        <v>25</v>
      </c>
      <c r="G1656">
        <v>-1.3295523203106501</v>
      </c>
      <c r="H1656">
        <v>0.375129240119284</v>
      </c>
      <c r="I1656">
        <v>-3.5442513622448701</v>
      </c>
      <c r="J1656">
        <v>3.9372967517474001E-4</v>
      </c>
      <c r="K1656">
        <v>3.1896152935662102E-3</v>
      </c>
      <c r="L1656" t="s">
        <v>26</v>
      </c>
      <c r="M1656" t="s">
        <v>27</v>
      </c>
      <c r="N1656">
        <v>19.9209736633657</v>
      </c>
      <c r="O1656">
        <v>35.486140894935801</v>
      </c>
      <c r="P1656">
        <v>8.2470982396881301</v>
      </c>
      <c r="Q1656">
        <v>17.260568926177498</v>
      </c>
      <c r="R1656">
        <v>25.0308244654607</v>
      </c>
      <c r="S1656">
        <v>64.167029293169094</v>
      </c>
      <c r="T1656">
        <v>4.58295471558126</v>
      </c>
      <c r="U1656">
        <v>8.5650269835421398</v>
      </c>
      <c r="V1656">
        <v>10.2991507343792</v>
      </c>
      <c r="W1656">
        <v>9.5412605252499194</v>
      </c>
    </row>
    <row r="1657" spans="1:23" x14ac:dyDescent="0.2">
      <c r="A1657" t="s">
        <v>3322</v>
      </c>
      <c r="B1657" s="3" t="str">
        <f>HYPERLINK("http://www.ncbi.nlm.nih.gov/gene/208146","Yeats2")</f>
        <v>Yeats2</v>
      </c>
      <c r="C1657">
        <v>208146</v>
      </c>
      <c r="D1657" t="s">
        <v>3323</v>
      </c>
      <c r="E1657" s="3" t="str">
        <f>HYPERLINK("http://genome.ucsc.edu/cgi-bin/hgTracks?db=mm10&amp;lastVirtModeType=default&amp;lastVirtModeExtraState=&amp;virtModeType=default&amp;virtMode=0&amp;nonVirtPosition=&amp;position=chr16:20141062-20172530","chr16:20141062-20172530")</f>
        <v>chr16:20141062-20172530</v>
      </c>
      <c r="F1657" t="s">
        <v>30</v>
      </c>
      <c r="G1657">
        <v>0.45318465889633502</v>
      </c>
      <c r="H1657">
        <v>0.127870797948066</v>
      </c>
      <c r="I1657">
        <v>3.5440825127281501</v>
      </c>
      <c r="J1657">
        <v>3.9398192303694501E-4</v>
      </c>
      <c r="K1657">
        <v>3.1897290999925798E-3</v>
      </c>
      <c r="L1657" t="s">
        <v>26</v>
      </c>
      <c r="M1657" t="s">
        <v>27</v>
      </c>
      <c r="N1657">
        <v>510.62383697296099</v>
      </c>
      <c r="O1657">
        <v>420.17729422341802</v>
      </c>
      <c r="P1657">
        <v>578.458744035118</v>
      </c>
      <c r="Q1657">
        <v>373.60779836984102</v>
      </c>
      <c r="R1657">
        <v>394.80436770522198</v>
      </c>
      <c r="S1657">
        <v>492.11971659519202</v>
      </c>
      <c r="T1657">
        <v>554.53752058533303</v>
      </c>
      <c r="U1657">
        <v>590.98686186440796</v>
      </c>
      <c r="V1657">
        <v>576.75244112523603</v>
      </c>
      <c r="W1657">
        <v>591.55815256549499</v>
      </c>
    </row>
    <row r="1658" spans="1:23" x14ac:dyDescent="0.2">
      <c r="A1658" t="s">
        <v>3324</v>
      </c>
      <c r="B1658" s="3" t="str">
        <f>HYPERLINK("http://www.ncbi.nlm.nih.gov/gene/64339","Fndc4")</f>
        <v>Fndc4</v>
      </c>
      <c r="C1658">
        <v>64339</v>
      </c>
      <c r="D1658" t="s">
        <v>3325</v>
      </c>
      <c r="E1658" s="3" t="str">
        <f>HYPERLINK("http://genome.ucsc.edu/cgi-bin/hgTracks?db=mm10&amp;lastVirtModeType=default&amp;lastVirtModeExtraState=&amp;virtModeType=default&amp;virtMode=0&amp;nonVirtPosition=&amp;position=chr5:31292245-31295877","chr5:31292245-31295877")</f>
        <v>chr5:31292245-31295877</v>
      </c>
      <c r="F1658" t="s">
        <v>25</v>
      </c>
      <c r="G1658">
        <v>-0.41564628843004198</v>
      </c>
      <c r="H1658">
        <v>0.11729168755623</v>
      </c>
      <c r="I1658">
        <v>-3.54369774269622</v>
      </c>
      <c r="J1658">
        <v>3.9455730333790701E-4</v>
      </c>
      <c r="K1658">
        <v>3.1924573105727599E-3</v>
      </c>
      <c r="L1658" t="s">
        <v>26</v>
      </c>
      <c r="M1658" t="s">
        <v>27</v>
      </c>
      <c r="N1658">
        <v>370.64345258945502</v>
      </c>
      <c r="O1658">
        <v>433.89114408442998</v>
      </c>
      <c r="P1658">
        <v>323.20768396822302</v>
      </c>
      <c r="Q1658">
        <v>466.03536100679202</v>
      </c>
      <c r="R1658">
        <v>430.45432982269602</v>
      </c>
      <c r="S1658">
        <v>405.18374142380202</v>
      </c>
      <c r="T1658">
        <v>316.22387537510701</v>
      </c>
      <c r="U1658">
        <v>329.75353886637203</v>
      </c>
      <c r="V1658">
        <v>304.56060028807099</v>
      </c>
      <c r="W1658">
        <v>342.29272134334099</v>
      </c>
    </row>
    <row r="1659" spans="1:23" x14ac:dyDescent="0.2">
      <c r="A1659" t="s">
        <v>3326</v>
      </c>
      <c r="B1659" s="3" t="str">
        <f>HYPERLINK("http://www.ncbi.nlm.nih.gov/gene/211401","Mtss1")</f>
        <v>Mtss1</v>
      </c>
      <c r="C1659">
        <v>211401</v>
      </c>
      <c r="D1659" t="s">
        <v>3327</v>
      </c>
      <c r="E1659" s="3" t="str">
        <f>HYPERLINK("http://genome.ucsc.edu/cgi-bin/hgTracks?db=mm10&amp;lastVirtModeType=default&amp;lastVirtModeExtraState=&amp;virtModeType=default&amp;virtMode=0&amp;nonVirtPosition=&amp;position=chr15:58941233-59082026","chr15:58941233-59082026")</f>
        <v>chr15:58941233-59082026</v>
      </c>
      <c r="F1659" t="s">
        <v>25</v>
      </c>
      <c r="G1659">
        <v>0.49026944598739503</v>
      </c>
      <c r="H1659">
        <v>0.13838262043615701</v>
      </c>
      <c r="I1659">
        <v>3.5428541853171698</v>
      </c>
      <c r="J1659">
        <v>3.9582149717490598E-4</v>
      </c>
      <c r="K1659">
        <v>3.2007522153799299E-3</v>
      </c>
      <c r="L1659" t="s">
        <v>26</v>
      </c>
      <c r="M1659" t="s">
        <v>27</v>
      </c>
      <c r="N1659">
        <v>786.28692816498506</v>
      </c>
      <c r="O1659">
        <v>634.74850372311698</v>
      </c>
      <c r="P1659">
        <v>899.94074649638799</v>
      </c>
      <c r="Q1659">
        <v>753.89710729175204</v>
      </c>
      <c r="R1659">
        <v>576.46747253788396</v>
      </c>
      <c r="S1659">
        <v>573.88093133971404</v>
      </c>
      <c r="T1659">
        <v>834.09775823579002</v>
      </c>
      <c r="U1659">
        <v>1023.52072453329</v>
      </c>
      <c r="V1659">
        <v>845.26601384297999</v>
      </c>
      <c r="W1659">
        <v>896.87848937349202</v>
      </c>
    </row>
    <row r="1660" spans="1:23" x14ac:dyDescent="0.2">
      <c r="A1660" t="s">
        <v>3328</v>
      </c>
      <c r="B1660" s="3" t="str">
        <f>HYPERLINK("http://www.ncbi.nlm.nih.gov/gene/280411","Lix1l")</f>
        <v>Lix1l</v>
      </c>
      <c r="C1660">
        <v>280411</v>
      </c>
      <c r="D1660" t="s">
        <v>3329</v>
      </c>
      <c r="E1660" s="3" t="str">
        <f>HYPERLINK("http://genome.ucsc.edu/cgi-bin/hgTracks?db=mm10&amp;lastVirtModeType=default&amp;lastVirtModeExtraState=&amp;virtModeType=default&amp;virtMode=0&amp;nonVirtPosition=&amp;position=chr3:96601132-96625352","chr3:96601132-96625352")</f>
        <v>chr3:96601132-96625352</v>
      </c>
      <c r="F1660" t="s">
        <v>30</v>
      </c>
      <c r="G1660">
        <v>-0.52892017696440397</v>
      </c>
      <c r="H1660">
        <v>0.14936128911928101</v>
      </c>
      <c r="I1660">
        <v>-3.5412132560131</v>
      </c>
      <c r="J1660">
        <v>3.9829151782936901E-4</v>
      </c>
      <c r="K1660">
        <v>3.2168817144843302E-3</v>
      </c>
      <c r="L1660" t="s">
        <v>26</v>
      </c>
      <c r="M1660" t="s">
        <v>27</v>
      </c>
      <c r="N1660">
        <v>791.57713958649299</v>
      </c>
      <c r="O1660">
        <v>972.79745190716505</v>
      </c>
      <c r="P1660">
        <v>655.66190534598798</v>
      </c>
      <c r="Q1660">
        <v>858.01731339482205</v>
      </c>
      <c r="R1660">
        <v>990.23458605027304</v>
      </c>
      <c r="S1660">
        <v>1070.1404562764001</v>
      </c>
      <c r="T1660">
        <v>481.210245136033</v>
      </c>
      <c r="U1660">
        <v>693.76718566691295</v>
      </c>
      <c r="V1660">
        <v>735.65362388423</v>
      </c>
      <c r="W1660">
        <v>712.01656669677504</v>
      </c>
    </row>
    <row r="1661" spans="1:23" x14ac:dyDescent="0.2">
      <c r="A1661" t="s">
        <v>3330</v>
      </c>
      <c r="B1661" s="3" t="str">
        <f>HYPERLINK("http://www.ncbi.nlm.nih.gov/gene/56382","Rab9")</f>
        <v>Rab9</v>
      </c>
      <c r="C1661">
        <v>56382</v>
      </c>
      <c r="D1661" t="s">
        <v>3331</v>
      </c>
      <c r="E1661" s="3" t="str">
        <f>HYPERLINK("http://genome.ucsc.edu/cgi-bin/hgTracks?db=mm10&amp;lastVirtModeType=default&amp;lastVirtModeExtraState=&amp;virtModeType=default&amp;virtMode=0&amp;nonVirtPosition=&amp;position=chrX:166457251-166479867","chrX:166457251-166479867")</f>
        <v>chrX:166457251-166479867</v>
      </c>
      <c r="F1661" t="s">
        <v>25</v>
      </c>
      <c r="G1661">
        <v>-0.59156725466303395</v>
      </c>
      <c r="H1661">
        <v>0.16705229964912399</v>
      </c>
      <c r="I1661">
        <v>-3.5412098840037598</v>
      </c>
      <c r="J1661">
        <v>3.9829660836494801E-4</v>
      </c>
      <c r="K1661">
        <v>3.2168817144843302E-3</v>
      </c>
      <c r="L1661" t="s">
        <v>26</v>
      </c>
      <c r="M1661" t="s">
        <v>27</v>
      </c>
      <c r="N1661">
        <v>131.378137896189</v>
      </c>
      <c r="O1661">
        <v>162.140513215303</v>
      </c>
      <c r="P1661">
        <v>108.306356406853</v>
      </c>
      <c r="Q1661">
        <v>163.14021597967701</v>
      </c>
      <c r="R1661">
        <v>177.870555671229</v>
      </c>
      <c r="S1661">
        <v>145.41076799500399</v>
      </c>
      <c r="T1661">
        <v>128.322732036275</v>
      </c>
      <c r="U1661">
        <v>94.215296818963594</v>
      </c>
      <c r="V1661">
        <v>98.577585600486799</v>
      </c>
      <c r="W1661">
        <v>112.109811171687</v>
      </c>
    </row>
    <row r="1662" spans="1:23" x14ac:dyDescent="0.2">
      <c r="A1662" t="s">
        <v>3332</v>
      </c>
      <c r="B1662" s="3" t="str">
        <f>HYPERLINK("http://www.ncbi.nlm.nih.gov/gene/100732","Mapre3")</f>
        <v>Mapre3</v>
      </c>
      <c r="C1662">
        <v>100732</v>
      </c>
      <c r="D1662" t="s">
        <v>3333</v>
      </c>
      <c r="E1662" s="3" t="str">
        <f>HYPERLINK("http://genome.ucsc.edu/cgi-bin/hgTracks?db=mm10&amp;lastVirtModeType=default&amp;lastVirtModeExtraState=&amp;virtModeType=default&amp;virtMode=0&amp;nonVirtPosition=&amp;position=chr5:30861806-30866106","chr5:30861806-30866106")</f>
        <v>chr5:30861806-30866106</v>
      </c>
      <c r="F1662" t="s">
        <v>30</v>
      </c>
      <c r="G1662">
        <v>0.56673256284634099</v>
      </c>
      <c r="H1662">
        <v>0.16007666374073201</v>
      </c>
      <c r="I1662">
        <v>3.5403821494196701</v>
      </c>
      <c r="J1662">
        <v>3.99548033879422E-4</v>
      </c>
      <c r="K1662">
        <v>3.2250438346469799E-3</v>
      </c>
      <c r="L1662" t="s">
        <v>26</v>
      </c>
      <c r="M1662" t="s">
        <v>27</v>
      </c>
      <c r="N1662">
        <v>174.29231746452999</v>
      </c>
      <c r="O1662">
        <v>136.05400384419099</v>
      </c>
      <c r="P1662">
        <v>202.97105267978401</v>
      </c>
      <c r="Q1662">
        <v>129.17587067332801</v>
      </c>
      <c r="R1662">
        <v>119.08604366901</v>
      </c>
      <c r="S1662">
        <v>159.90009719023601</v>
      </c>
      <c r="T1662">
        <v>201.650007485576</v>
      </c>
      <c r="U1662">
        <v>177.72430990849901</v>
      </c>
      <c r="V1662">
        <v>211.86824367865799</v>
      </c>
      <c r="W1662">
        <v>220.64164964640401</v>
      </c>
    </row>
    <row r="1663" spans="1:23" x14ac:dyDescent="0.2">
      <c r="A1663" t="s">
        <v>3334</v>
      </c>
      <c r="B1663" s="3" t="str">
        <f>HYPERLINK("http://www.ncbi.nlm.nih.gov/gene/74477","4933427D14Rik")</f>
        <v>4933427D14Rik</v>
      </c>
      <c r="C1663">
        <v>74477</v>
      </c>
      <c r="D1663" t="s">
        <v>3335</v>
      </c>
      <c r="E1663" s="3" t="str">
        <f>HYPERLINK("http://genome.ucsc.edu/cgi-bin/hgTracks?db=mm10&amp;lastVirtModeType=default&amp;lastVirtModeExtraState=&amp;virtModeType=default&amp;virtMode=0&amp;nonVirtPosition=&amp;position=chr11:72154096-72203371","chr11:72154096-72203371")</f>
        <v>chr11:72154096-72203371</v>
      </c>
      <c r="F1663" t="s">
        <v>25</v>
      </c>
      <c r="G1663">
        <v>0.61671465624819599</v>
      </c>
      <c r="H1663">
        <v>0.17421471640488101</v>
      </c>
      <c r="I1663">
        <v>3.5399687751689801</v>
      </c>
      <c r="J1663">
        <v>4.00174375671085E-4</v>
      </c>
      <c r="K1663">
        <v>3.2281536533804202E-3</v>
      </c>
      <c r="L1663" t="s">
        <v>26</v>
      </c>
      <c r="M1663" t="s">
        <v>27</v>
      </c>
      <c r="N1663">
        <v>104.98542248912401</v>
      </c>
      <c r="O1663">
        <v>79.545183659587494</v>
      </c>
      <c r="P1663">
        <v>124.06560161127599</v>
      </c>
      <c r="Q1663">
        <v>70.712653342727094</v>
      </c>
      <c r="R1663">
        <v>83.056826635392497</v>
      </c>
      <c r="S1663">
        <v>84.866071000643004</v>
      </c>
      <c r="T1663">
        <v>128.322732036275</v>
      </c>
      <c r="U1663">
        <v>102.780323802506</v>
      </c>
      <c r="V1663">
        <v>128.00373055585601</v>
      </c>
      <c r="W1663">
        <v>137.155620050468</v>
      </c>
    </row>
    <row r="1664" spans="1:23" x14ac:dyDescent="0.2">
      <c r="A1664" t="s">
        <v>3336</v>
      </c>
      <c r="B1664" s="3" t="str">
        <f>HYPERLINK("http://www.ncbi.nlm.nih.gov/gene/12895","Cpt1b")</f>
        <v>Cpt1b</v>
      </c>
      <c r="C1664">
        <v>12895</v>
      </c>
      <c r="D1664" t="s">
        <v>3337</v>
      </c>
      <c r="E1664" s="3" t="str">
        <f>HYPERLINK("http://genome.ucsc.edu/cgi-bin/hgTracks?db=mm10&amp;lastVirtModeType=default&amp;lastVirtModeExtraState=&amp;virtModeType=default&amp;virtMode=0&amp;nonVirtPosition=&amp;position=chr15:89416404-89425862","chr15:89416404-89425862")</f>
        <v>chr15:89416404-89425862</v>
      </c>
      <c r="F1664" t="s">
        <v>25</v>
      </c>
      <c r="G1664">
        <v>1.0262484855991101</v>
      </c>
      <c r="H1664">
        <v>0.28995818217104002</v>
      </c>
      <c r="I1664">
        <v>3.53929824609587</v>
      </c>
      <c r="J1664">
        <v>4.01192307785501E-4</v>
      </c>
      <c r="K1664">
        <v>3.23423887034619E-3</v>
      </c>
      <c r="L1664" t="s">
        <v>26</v>
      </c>
      <c r="M1664" t="s">
        <v>27</v>
      </c>
      <c r="N1664">
        <v>25.207821674027599</v>
      </c>
      <c r="O1664">
        <v>14.0668469843596</v>
      </c>
      <c r="P1664">
        <v>33.563552691278602</v>
      </c>
      <c r="Q1664">
        <v>13.9198136501431</v>
      </c>
      <c r="R1664">
        <v>13.2739220650171</v>
      </c>
      <c r="S1664">
        <v>15.0068052379186</v>
      </c>
      <c r="T1664">
        <v>41.246592440231403</v>
      </c>
      <c r="U1664">
        <v>25.695080950626402</v>
      </c>
      <c r="V1664">
        <v>27.954837707600699</v>
      </c>
      <c r="W1664">
        <v>39.357699666655897</v>
      </c>
    </row>
    <row r="1665" spans="1:23" x14ac:dyDescent="0.2">
      <c r="A1665" t="s">
        <v>3338</v>
      </c>
      <c r="B1665" s="3" t="str">
        <f>HYPERLINK("http://www.ncbi.nlm.nih.gov/gene/57317","Srsf4")</f>
        <v>Srsf4</v>
      </c>
      <c r="C1665">
        <v>57317</v>
      </c>
      <c r="D1665" t="s">
        <v>3339</v>
      </c>
      <c r="E1665" s="3" t="str">
        <f>HYPERLINK("http://genome.ucsc.edu/cgi-bin/hgTracks?db=mm10&amp;lastVirtModeType=default&amp;lastVirtModeExtraState=&amp;virtModeType=default&amp;virtMode=0&amp;nonVirtPosition=&amp;position=chr4:131873638-131901725","chr4:131873638-131901725")</f>
        <v>chr4:131873638-131901725</v>
      </c>
      <c r="F1665" t="s">
        <v>30</v>
      </c>
      <c r="G1665">
        <v>0.79559133202862997</v>
      </c>
      <c r="H1665">
        <v>0.22480636908991899</v>
      </c>
      <c r="I1665">
        <v>3.5390070808465701</v>
      </c>
      <c r="J1665">
        <v>4.0163507942576502E-4</v>
      </c>
      <c r="K1665">
        <v>3.23423887034619E-3</v>
      </c>
      <c r="L1665" t="s">
        <v>26</v>
      </c>
      <c r="M1665" t="s">
        <v>27</v>
      </c>
      <c r="N1665">
        <v>125.366024885389</v>
      </c>
      <c r="O1665">
        <v>84.671917733481294</v>
      </c>
      <c r="P1665">
        <v>155.88660524932001</v>
      </c>
      <c r="Q1665">
        <v>61.247180060629802</v>
      </c>
      <c r="R1665">
        <v>71.6791791510921</v>
      </c>
      <c r="S1665">
        <v>121.08939398872199</v>
      </c>
      <c r="T1665">
        <v>160.40341504534399</v>
      </c>
      <c r="U1665">
        <v>169.15928292495701</v>
      </c>
      <c r="V1665">
        <v>135.36026679469799</v>
      </c>
      <c r="W1665">
        <v>158.62345623228001</v>
      </c>
    </row>
    <row r="1666" spans="1:23" x14ac:dyDescent="0.2">
      <c r="A1666" t="s">
        <v>3340</v>
      </c>
      <c r="B1666" s="3" t="str">
        <f>HYPERLINK("http://www.ncbi.nlm.nih.gov/gene/217351","Tnrc6c")</f>
        <v>Tnrc6c</v>
      </c>
      <c r="C1666">
        <v>217351</v>
      </c>
      <c r="D1666" t="s">
        <v>3341</v>
      </c>
      <c r="E1666" s="3" t="str">
        <f>HYPERLINK("http://genome.ucsc.edu/cgi-bin/hgTracks?db=mm10&amp;lastVirtModeType=default&amp;lastVirtModeExtraState=&amp;virtModeType=default&amp;virtMode=0&amp;nonVirtPosition=&amp;position=chr11:117654288-117763441","chr11:117654288-117763441")</f>
        <v>chr11:117654288-117763441</v>
      </c>
      <c r="F1666" t="s">
        <v>30</v>
      </c>
      <c r="G1666">
        <v>0.49566348277549099</v>
      </c>
      <c r="H1666">
        <v>0.14005769076317601</v>
      </c>
      <c r="I1666">
        <v>3.53899511033356</v>
      </c>
      <c r="J1666">
        <v>4.0165329261337599E-4</v>
      </c>
      <c r="K1666">
        <v>3.23423887034619E-3</v>
      </c>
      <c r="L1666" t="s">
        <v>26</v>
      </c>
      <c r="M1666" t="s">
        <v>27</v>
      </c>
      <c r="N1666">
        <v>685.88669244369396</v>
      </c>
      <c r="O1666">
        <v>552.098205090291</v>
      </c>
      <c r="P1666">
        <v>786.22805795874694</v>
      </c>
      <c r="Q1666">
        <v>451.55875481064299</v>
      </c>
      <c r="R1666">
        <v>546.50633416256005</v>
      </c>
      <c r="S1666">
        <v>658.22952629766996</v>
      </c>
      <c r="T1666">
        <v>783.68525636439597</v>
      </c>
      <c r="U1666">
        <v>747.298604314052</v>
      </c>
      <c r="V1666">
        <v>823.19640512645401</v>
      </c>
      <c r="W1666">
        <v>790.73196603008705</v>
      </c>
    </row>
    <row r="1667" spans="1:23" x14ac:dyDescent="0.2">
      <c r="A1667" t="s">
        <v>3342</v>
      </c>
      <c r="B1667" s="3" t="str">
        <f>HYPERLINK("http://www.ncbi.nlm.nih.gov/gene/74284","1700086L19Rik")</f>
        <v>1700086L19Rik</v>
      </c>
      <c r="C1667">
        <v>74284</v>
      </c>
      <c r="D1667" t="s">
        <v>3343</v>
      </c>
      <c r="E1667" s="3" t="str">
        <f>HYPERLINK("http://genome.ucsc.edu/cgi-bin/hgTracks?db=mm10&amp;lastVirtModeType=default&amp;lastVirtModeExtraState=&amp;virtModeType=default&amp;virtMode=0&amp;nonVirtPosition=&amp;position=chr12:74284275-74295950","chr12:74284275-74295950")</f>
        <v>chr12:74284275-74295950</v>
      </c>
      <c r="F1667" t="s">
        <v>30</v>
      </c>
      <c r="G1667">
        <v>-0.82076472494383901</v>
      </c>
      <c r="H1667">
        <v>0.231959312979927</v>
      </c>
      <c r="I1667">
        <v>-3.5383995339513099</v>
      </c>
      <c r="J1667">
        <v>4.02560439490291E-4</v>
      </c>
      <c r="K1667">
        <v>3.2395954598644799E-3</v>
      </c>
      <c r="L1667" t="s">
        <v>26</v>
      </c>
      <c r="M1667" t="s">
        <v>27</v>
      </c>
      <c r="N1667">
        <v>83.141294554789795</v>
      </c>
      <c r="O1667">
        <v>113.71029743690799</v>
      </c>
      <c r="P1667">
        <v>60.214542393201</v>
      </c>
      <c r="Q1667">
        <v>140.868514139448</v>
      </c>
      <c r="R1667">
        <v>116.431259256007</v>
      </c>
      <c r="S1667">
        <v>83.8311189152693</v>
      </c>
      <c r="T1667">
        <v>64.161366018137699</v>
      </c>
      <c r="U1667">
        <v>51.390161901252803</v>
      </c>
      <c r="V1667">
        <v>72.829708764538793</v>
      </c>
      <c r="W1667">
        <v>52.4769328888746</v>
      </c>
    </row>
    <row r="1668" spans="1:23" x14ac:dyDescent="0.2">
      <c r="A1668" t="s">
        <v>3344</v>
      </c>
      <c r="B1668" s="3" t="str">
        <f>HYPERLINK("http://www.ncbi.nlm.nih.gov/gene/11421","Ace")</f>
        <v>Ace</v>
      </c>
      <c r="C1668">
        <v>11421</v>
      </c>
      <c r="D1668" t="s">
        <v>3345</v>
      </c>
      <c r="E1668" s="3" t="str">
        <f>HYPERLINK("http://genome.ucsc.edu/cgi-bin/hgTracks?db=mm10&amp;lastVirtModeType=default&amp;lastVirtModeExtraState=&amp;virtModeType=default&amp;virtMode=0&amp;nonVirtPosition=&amp;position=chr11:105967944-105989964","chr11:105967944-105989964")</f>
        <v>chr11:105967944-105989964</v>
      </c>
      <c r="F1668" t="s">
        <v>30</v>
      </c>
      <c r="G1668">
        <v>-1.1814424856706101</v>
      </c>
      <c r="H1668">
        <v>0.33396339948347298</v>
      </c>
      <c r="I1668">
        <v>-3.5376406142047201</v>
      </c>
      <c r="J1668">
        <v>4.0371915484379699E-4</v>
      </c>
      <c r="K1668">
        <v>3.2469688903983699E-3</v>
      </c>
      <c r="L1668" t="s">
        <v>26</v>
      </c>
      <c r="M1668" t="s">
        <v>27</v>
      </c>
      <c r="N1668">
        <v>46.7018749656891</v>
      </c>
      <c r="O1668">
        <v>74.887102360274596</v>
      </c>
      <c r="P1668">
        <v>25.562954419750199</v>
      </c>
      <c r="Q1668">
        <v>65.144727882669798</v>
      </c>
      <c r="R1668">
        <v>121.740828082014</v>
      </c>
      <c r="S1668">
        <v>37.775751116139901</v>
      </c>
      <c r="T1668">
        <v>27.497728293487601</v>
      </c>
      <c r="U1668">
        <v>12.847540475313201</v>
      </c>
      <c r="V1668">
        <v>30.8974522031377</v>
      </c>
      <c r="W1668">
        <v>31.009096707062199</v>
      </c>
    </row>
    <row r="1669" spans="1:23" x14ac:dyDescent="0.2">
      <c r="A1669" t="s">
        <v>3346</v>
      </c>
      <c r="B1669" s="3" t="str">
        <f>HYPERLINK("http://www.ncbi.nlm.nih.gov/gene/13543","Dvl2")</f>
        <v>Dvl2</v>
      </c>
      <c r="C1669">
        <v>13543</v>
      </c>
      <c r="D1669" t="s">
        <v>3347</v>
      </c>
      <c r="E1669" s="3" t="str">
        <f>HYPERLINK("http://genome.ucsc.edu/cgi-bin/hgTracks?db=mm10&amp;lastVirtModeType=default&amp;lastVirtModeExtraState=&amp;virtModeType=default&amp;virtMode=0&amp;nonVirtPosition=&amp;position=chr11:70000625-70010109","chr11:70000625-70010109")</f>
        <v>chr11:70000625-70010109</v>
      </c>
      <c r="F1669" t="s">
        <v>30</v>
      </c>
      <c r="G1669">
        <v>0.579301852938227</v>
      </c>
      <c r="H1669">
        <v>0.163799394245837</v>
      </c>
      <c r="I1669">
        <v>3.5366544278471999</v>
      </c>
      <c r="J1669">
        <v>4.0522951503771599E-4</v>
      </c>
      <c r="K1669">
        <v>3.25585061799141E-3</v>
      </c>
      <c r="L1669" t="s">
        <v>26</v>
      </c>
      <c r="M1669" t="s">
        <v>27</v>
      </c>
      <c r="N1669">
        <v>130.63229228852401</v>
      </c>
      <c r="O1669">
        <v>99.873027584812704</v>
      </c>
      <c r="P1669">
        <v>153.70174081630699</v>
      </c>
      <c r="Q1669">
        <v>86.859637176893102</v>
      </c>
      <c r="R1669">
        <v>102.01957244256</v>
      </c>
      <c r="S1669">
        <v>110.739873134985</v>
      </c>
      <c r="T1669">
        <v>155.82046032976299</v>
      </c>
      <c r="U1669">
        <v>171.30053967084299</v>
      </c>
      <c r="V1669">
        <v>149.33768564849899</v>
      </c>
      <c r="W1669">
        <v>138.34827761612399</v>
      </c>
    </row>
    <row r="1670" spans="1:23" x14ac:dyDescent="0.2">
      <c r="A1670" t="s">
        <v>3348</v>
      </c>
      <c r="B1670" s="3" t="str">
        <f>HYPERLINK("http://www.ncbi.nlm.nih.gov/gene/100048534","Cfap43")</f>
        <v>Cfap43</v>
      </c>
      <c r="C1670">
        <v>100048534</v>
      </c>
      <c r="D1670" t="s">
        <v>3349</v>
      </c>
      <c r="E1670" s="3" t="str">
        <f>HYPERLINK("http://genome.ucsc.edu/cgi-bin/hgTracks?db=mm10&amp;lastVirtModeType=default&amp;lastVirtModeExtraState=&amp;virtModeType=default&amp;virtMode=0&amp;nonVirtPosition=&amp;position=chr19:47736856-47837361","chr19:47736856-47837361")</f>
        <v>chr19:47736856-47837361</v>
      </c>
      <c r="F1670" t="s">
        <v>25</v>
      </c>
      <c r="G1670">
        <v>0.69968985328547995</v>
      </c>
      <c r="H1670">
        <v>0.19784240006950601</v>
      </c>
      <c r="I1670">
        <v>3.5366021289655998</v>
      </c>
      <c r="J1670">
        <v>4.0530975880753299E-4</v>
      </c>
      <c r="K1670">
        <v>3.25585061799141E-3</v>
      </c>
      <c r="L1670" t="s">
        <v>26</v>
      </c>
      <c r="M1670" t="s">
        <v>27</v>
      </c>
      <c r="N1670">
        <v>96.093372098041996</v>
      </c>
      <c r="O1670">
        <v>68.800610626238196</v>
      </c>
      <c r="P1670">
        <v>116.562943201895</v>
      </c>
      <c r="Q1670">
        <v>63.474350244652598</v>
      </c>
      <c r="R1670">
        <v>56.508982505358297</v>
      </c>
      <c r="S1670">
        <v>86.418499128703601</v>
      </c>
      <c r="T1670">
        <v>123.739777320694</v>
      </c>
      <c r="U1670">
        <v>117.769121023704</v>
      </c>
      <c r="V1670">
        <v>106.669775463213</v>
      </c>
      <c r="W1670">
        <v>118.073098999968</v>
      </c>
    </row>
    <row r="1671" spans="1:23" x14ac:dyDescent="0.2">
      <c r="A1671" t="s">
        <v>3348</v>
      </c>
      <c r="B1671" s="3" t="str">
        <f>HYPERLINK("http://www.ncbi.nlm.nih.gov/gene/414801","Itprip")</f>
        <v>Itprip</v>
      </c>
      <c r="C1671">
        <v>414801</v>
      </c>
      <c r="D1671" t="s">
        <v>3350</v>
      </c>
      <c r="E1671" s="3" t="str">
        <f>HYPERLINK("http://genome.ucsc.edu/cgi-bin/hgTracks?db=mm10&amp;lastVirtModeType=default&amp;lastVirtModeExtraState=&amp;virtModeType=default&amp;virtMode=0&amp;nonVirtPosition=&amp;position=chr19:47894595-47919299","chr19:47894595-47919299")</f>
        <v>chr19:47894595-47919299</v>
      </c>
      <c r="F1671" t="s">
        <v>25</v>
      </c>
      <c r="G1671">
        <v>0.69968985328547995</v>
      </c>
      <c r="H1671">
        <v>0.19784240006950601</v>
      </c>
      <c r="I1671">
        <v>3.5366021289655998</v>
      </c>
      <c r="J1671">
        <v>4.0530975880753299E-4</v>
      </c>
      <c r="K1671">
        <v>3.25585061799141E-3</v>
      </c>
      <c r="L1671" t="s">
        <v>26</v>
      </c>
      <c r="M1671" t="s">
        <v>27</v>
      </c>
      <c r="N1671">
        <v>96.093372098041996</v>
      </c>
      <c r="O1671">
        <v>68.800610626238196</v>
      </c>
      <c r="P1671">
        <v>116.562943201895</v>
      </c>
      <c r="Q1671">
        <v>63.474350244652598</v>
      </c>
      <c r="R1671">
        <v>56.508982505358297</v>
      </c>
      <c r="S1671">
        <v>86.418499128703601</v>
      </c>
      <c r="T1671">
        <v>123.739777320694</v>
      </c>
      <c r="U1671">
        <v>117.769121023704</v>
      </c>
      <c r="V1671">
        <v>106.669775463213</v>
      </c>
      <c r="W1671">
        <v>118.073098999968</v>
      </c>
    </row>
    <row r="1672" spans="1:23" x14ac:dyDescent="0.2">
      <c r="A1672" t="s">
        <v>3351</v>
      </c>
      <c r="B1672" s="3" t="str">
        <f>HYPERLINK("http://www.ncbi.nlm.nih.gov/gene/230996","9430015G10Rik")</f>
        <v>9430015G10Rik</v>
      </c>
      <c r="C1672">
        <v>230996</v>
      </c>
      <c r="D1672" t="s">
        <v>3352</v>
      </c>
      <c r="E1672" s="3" t="str">
        <f>HYPERLINK("http://genome.ucsc.edu/cgi-bin/hgTracks?db=mm10&amp;lastVirtModeType=default&amp;lastVirtModeExtraState=&amp;virtModeType=default&amp;virtMode=0&amp;nonVirtPosition=&amp;position=chr4:156109997-156127263","chr4:156109997-156127263")</f>
        <v>chr4:156109997-156127263</v>
      </c>
      <c r="F1672" t="s">
        <v>30</v>
      </c>
      <c r="G1672">
        <v>0.76471099320032199</v>
      </c>
      <c r="H1672">
        <v>0.216259186705655</v>
      </c>
      <c r="I1672">
        <v>3.5360855871577499</v>
      </c>
      <c r="J1672">
        <v>4.0610310234704002E-4</v>
      </c>
      <c r="K1672">
        <v>3.2602677719000099E-3</v>
      </c>
      <c r="L1672" t="s">
        <v>26</v>
      </c>
      <c r="M1672" t="s">
        <v>27</v>
      </c>
      <c r="N1672">
        <v>114.320240636213</v>
      </c>
      <c r="O1672">
        <v>79.227472259054807</v>
      </c>
      <c r="P1672">
        <v>140.639816919081</v>
      </c>
      <c r="Q1672">
        <v>59.576802422612602</v>
      </c>
      <c r="R1672">
        <v>73.575453731808807</v>
      </c>
      <c r="S1672">
        <v>104.530160622743</v>
      </c>
      <c r="T1672">
        <v>123.739777320694</v>
      </c>
      <c r="U1672">
        <v>164.87676943318601</v>
      </c>
      <c r="V1672">
        <v>117.704579821477</v>
      </c>
      <c r="W1672">
        <v>156.238141100967</v>
      </c>
    </row>
    <row r="1673" spans="1:23" x14ac:dyDescent="0.2">
      <c r="A1673" t="s">
        <v>3353</v>
      </c>
      <c r="B1673" s="3" t="str">
        <f>HYPERLINK("http://www.ncbi.nlm.nih.gov/gene/434234","2610020H08Rik")</f>
        <v>2610020H08Rik</v>
      </c>
      <c r="C1673">
        <v>434234</v>
      </c>
      <c r="D1673" t="s">
        <v>3354</v>
      </c>
      <c r="E1673" s="3" t="str">
        <f>HYPERLINK("http://genome.ucsc.edu/cgi-bin/hgTracks?db=mm10&amp;lastVirtModeType=default&amp;lastVirtModeExtraState=&amp;virtModeType=default&amp;virtMode=0&amp;nonVirtPosition=&amp;position=chr7:119794186-119848941","chr7:119794186-119848941")</f>
        <v>chr7:119794186-119848941</v>
      </c>
      <c r="F1673" t="s">
        <v>30</v>
      </c>
      <c r="G1673">
        <v>0.74763200121156204</v>
      </c>
      <c r="H1673">
        <v>0.21144949085519901</v>
      </c>
      <c r="I1673">
        <v>3.5357474647387201</v>
      </c>
      <c r="J1673">
        <v>4.0662320133674301E-4</v>
      </c>
      <c r="K1673">
        <v>3.2624872912524398E-3</v>
      </c>
      <c r="L1673" t="s">
        <v>26</v>
      </c>
      <c r="M1673" t="s">
        <v>27</v>
      </c>
      <c r="N1673">
        <v>67.2884999955794</v>
      </c>
      <c r="O1673">
        <v>46.9649549501001</v>
      </c>
      <c r="P1673">
        <v>82.531158779688894</v>
      </c>
      <c r="Q1673">
        <v>39.532270766406498</v>
      </c>
      <c r="R1673">
        <v>47.027609601774699</v>
      </c>
      <c r="S1673">
        <v>54.334984482118998</v>
      </c>
      <c r="T1673">
        <v>91.659094311625296</v>
      </c>
      <c r="U1673">
        <v>64.237702376566105</v>
      </c>
      <c r="V1673">
        <v>82.3932058750338</v>
      </c>
      <c r="W1673">
        <v>91.834632555530504</v>
      </c>
    </row>
    <row r="1674" spans="1:23" x14ac:dyDescent="0.2">
      <c r="A1674" t="s">
        <v>3355</v>
      </c>
      <c r="B1674" s="3" t="str">
        <f>HYPERLINK("http://www.ncbi.nlm.nih.gov/gene/78832","Cacul1")</f>
        <v>Cacul1</v>
      </c>
      <c r="C1674">
        <v>78832</v>
      </c>
      <c r="D1674" t="s">
        <v>3356</v>
      </c>
      <c r="E1674" s="3" t="str">
        <f>HYPERLINK("http://genome.ucsc.edu/cgi-bin/hgTracks?db=mm10&amp;lastVirtModeType=default&amp;lastVirtModeExtraState=&amp;virtModeType=default&amp;virtMode=0&amp;nonVirtPosition=&amp;position=chr19:60524695-60581023","chr19:60524695-60581023")</f>
        <v>chr19:60524695-60581023</v>
      </c>
      <c r="F1674" t="s">
        <v>25</v>
      </c>
      <c r="G1674">
        <v>-0.44982716942724799</v>
      </c>
      <c r="H1674">
        <v>0.12728274606443299</v>
      </c>
      <c r="I1674">
        <v>-3.5340781318430601</v>
      </c>
      <c r="J1674">
        <v>4.0920009611127402E-4</v>
      </c>
      <c r="K1674">
        <v>3.2811966988180001E-3</v>
      </c>
      <c r="L1674" t="s">
        <v>26</v>
      </c>
      <c r="M1674" t="s">
        <v>27</v>
      </c>
      <c r="N1674">
        <v>332.60835170698198</v>
      </c>
      <c r="O1674">
        <v>399.19795451676498</v>
      </c>
      <c r="P1674">
        <v>282.66614959964397</v>
      </c>
      <c r="Q1674">
        <v>414.81044677426502</v>
      </c>
      <c r="R1674">
        <v>378.11715139491503</v>
      </c>
      <c r="S1674">
        <v>404.66626538111501</v>
      </c>
      <c r="T1674">
        <v>242.89659992580701</v>
      </c>
      <c r="U1674">
        <v>263.374579743921</v>
      </c>
      <c r="V1674">
        <v>311.91713652691402</v>
      </c>
      <c r="W1674">
        <v>312.47628220193502</v>
      </c>
    </row>
    <row r="1675" spans="1:23" x14ac:dyDescent="0.2">
      <c r="A1675" t="s">
        <v>3357</v>
      </c>
      <c r="B1675" s="3" t="str">
        <f>HYPERLINK("http://www.ncbi.nlm.nih.gov/gene/77929","Yipf6")</f>
        <v>Yipf6</v>
      </c>
      <c r="C1675">
        <v>77929</v>
      </c>
      <c r="D1675" t="s">
        <v>3358</v>
      </c>
      <c r="E1675" s="3" t="str">
        <f>HYPERLINK("http://genome.ucsc.edu/cgi-bin/hgTracks?db=mm10&amp;lastVirtModeType=default&amp;lastVirtModeExtraState=&amp;virtModeType=default&amp;virtMode=0&amp;nonVirtPosition=&amp;position=chrX:98937780-98949020","chrX:98937780-98949020")</f>
        <v>chrX:98937780-98949020</v>
      </c>
      <c r="F1675" t="s">
        <v>30</v>
      </c>
      <c r="G1675">
        <v>-0.505920944651297</v>
      </c>
      <c r="H1675">
        <v>0.14318401641633999</v>
      </c>
      <c r="I1675">
        <v>-3.5333618745559998</v>
      </c>
      <c r="J1675">
        <v>4.1031042892690402E-4</v>
      </c>
      <c r="K1675">
        <v>3.2863488048429498E-3</v>
      </c>
      <c r="L1675" t="s">
        <v>26</v>
      </c>
      <c r="M1675" t="s">
        <v>27</v>
      </c>
      <c r="N1675">
        <v>438.83595294259101</v>
      </c>
      <c r="O1675">
        <v>527.375540145527</v>
      </c>
      <c r="P1675">
        <v>372.43126254038998</v>
      </c>
      <c r="Q1675">
        <v>555.67896091371404</v>
      </c>
      <c r="R1675">
        <v>547.26484399484605</v>
      </c>
      <c r="S1675">
        <v>479.18281552802102</v>
      </c>
      <c r="T1675">
        <v>462.87842627370799</v>
      </c>
      <c r="U1675">
        <v>295.49343093220398</v>
      </c>
      <c r="V1675">
        <v>385.48249891533698</v>
      </c>
      <c r="W1675">
        <v>345.87069404031001</v>
      </c>
    </row>
    <row r="1676" spans="1:23" x14ac:dyDescent="0.2">
      <c r="A1676" t="s">
        <v>3359</v>
      </c>
      <c r="B1676" s="3" t="str">
        <f>HYPERLINK("http://www.ncbi.nlm.nih.gov/gene/77286","Nkrf")</f>
        <v>Nkrf</v>
      </c>
      <c r="C1676">
        <v>77286</v>
      </c>
      <c r="D1676" t="s">
        <v>3360</v>
      </c>
      <c r="E1676" s="3" t="str">
        <f>HYPERLINK("http://genome.ucsc.edu/cgi-bin/hgTracks?db=mm10&amp;lastVirtModeType=default&amp;lastVirtModeExtraState=&amp;virtModeType=default&amp;virtMode=0&amp;nonVirtPosition=&amp;position=chrX:36887541-36902899","chrX:36887541-36902899")</f>
        <v>chrX:36887541-36902899</v>
      </c>
      <c r="F1676" t="s">
        <v>25</v>
      </c>
      <c r="G1676">
        <v>-0.58445987882425998</v>
      </c>
      <c r="H1676">
        <v>0.16541253136474199</v>
      </c>
      <c r="I1676">
        <v>-3.5333470445204598</v>
      </c>
      <c r="J1676">
        <v>4.10333447964858E-4</v>
      </c>
      <c r="K1676">
        <v>3.2863488048429498E-3</v>
      </c>
      <c r="L1676" t="s">
        <v>26</v>
      </c>
      <c r="M1676" t="s">
        <v>27</v>
      </c>
      <c r="N1676">
        <v>132.82376391060501</v>
      </c>
      <c r="O1676">
        <v>164.43973750854099</v>
      </c>
      <c r="P1676">
        <v>109.111783712152</v>
      </c>
      <c r="Q1676">
        <v>151.44757251355699</v>
      </c>
      <c r="R1676">
        <v>185.076399077952</v>
      </c>
      <c r="S1676">
        <v>156.79524093411499</v>
      </c>
      <c r="T1676">
        <v>123.739777320694</v>
      </c>
      <c r="U1676">
        <v>98.497810310734593</v>
      </c>
      <c r="V1676">
        <v>114.02631170205601</v>
      </c>
      <c r="W1676">
        <v>100.183235515124</v>
      </c>
    </row>
    <row r="1677" spans="1:23" x14ac:dyDescent="0.2">
      <c r="A1677" t="s">
        <v>3361</v>
      </c>
      <c r="B1677" s="3" t="str">
        <f>HYPERLINK("http://www.ncbi.nlm.nih.gov/gene/12021","Bard1")</f>
        <v>Bard1</v>
      </c>
      <c r="C1677">
        <v>12021</v>
      </c>
      <c r="D1677" t="s">
        <v>3362</v>
      </c>
      <c r="E1677" s="3" t="str">
        <f>HYPERLINK("http://genome.ucsc.edu/cgi-bin/hgTracks?db=mm10&amp;lastVirtModeType=default&amp;lastVirtModeExtraState=&amp;virtModeType=default&amp;virtMode=0&amp;nonVirtPosition=&amp;position=chr1:71027534-71102972","chr1:71027534-71102972")</f>
        <v>chr1:71027534-71102972</v>
      </c>
      <c r="F1677" t="s">
        <v>25</v>
      </c>
      <c r="G1677">
        <v>0.97468920577541796</v>
      </c>
      <c r="H1677">
        <v>0.27587922298770701</v>
      </c>
      <c r="I1677">
        <v>3.5330286754463098</v>
      </c>
      <c r="J1677">
        <v>4.1082790836546499E-4</v>
      </c>
      <c r="K1677">
        <v>3.2883422121470001E-3</v>
      </c>
      <c r="L1677" t="s">
        <v>26</v>
      </c>
      <c r="M1677" t="s">
        <v>27</v>
      </c>
      <c r="N1677">
        <v>106.18894280313199</v>
      </c>
      <c r="O1677">
        <v>62.5887253204098</v>
      </c>
      <c r="P1677">
        <v>138.88910591517299</v>
      </c>
      <c r="Q1677">
        <v>27.8396273002862</v>
      </c>
      <c r="R1677">
        <v>70.920669318805395</v>
      </c>
      <c r="S1677">
        <v>89.005879342137803</v>
      </c>
      <c r="T1677">
        <v>160.40341504534399</v>
      </c>
      <c r="U1677">
        <v>132.75791824490301</v>
      </c>
      <c r="V1677">
        <v>122.854155188666</v>
      </c>
      <c r="W1677">
        <v>139.54093518177999</v>
      </c>
    </row>
    <row r="1678" spans="1:23" x14ac:dyDescent="0.2">
      <c r="A1678" t="s">
        <v>3363</v>
      </c>
      <c r="B1678" s="3" t="str">
        <f>HYPERLINK("http://www.ncbi.nlm.nih.gov/gene/15512","Hspa2")</f>
        <v>Hspa2</v>
      </c>
      <c r="C1678">
        <v>15512</v>
      </c>
      <c r="D1678" t="s">
        <v>3364</v>
      </c>
      <c r="E1678" s="3" t="str">
        <f>HYPERLINK("http://genome.ucsc.edu/cgi-bin/hgTracks?db=mm10&amp;lastVirtModeType=default&amp;lastVirtModeExtraState=&amp;virtModeType=default&amp;virtMode=0&amp;nonVirtPosition=&amp;position=chr12:76404369-76406936","chr12:76404369-76406936")</f>
        <v>chr12:76404369-76406936</v>
      </c>
      <c r="F1678" t="s">
        <v>30</v>
      </c>
      <c r="G1678">
        <v>-0.71589430366406404</v>
      </c>
      <c r="H1678">
        <v>0.20269963081598699</v>
      </c>
      <c r="I1678">
        <v>-3.5317987545520499</v>
      </c>
      <c r="J1678">
        <v>4.12743336519044E-4</v>
      </c>
      <c r="K1678">
        <v>3.30170013101942E-3</v>
      </c>
      <c r="L1678" t="s">
        <v>26</v>
      </c>
      <c r="M1678" t="s">
        <v>27</v>
      </c>
      <c r="N1678">
        <v>140.24148055847201</v>
      </c>
      <c r="O1678">
        <v>187.01518063771101</v>
      </c>
      <c r="P1678">
        <v>105.161205499042</v>
      </c>
      <c r="Q1678">
        <v>159.24266815763701</v>
      </c>
      <c r="R1678">
        <v>172.560986845222</v>
      </c>
      <c r="S1678">
        <v>229.24188691027399</v>
      </c>
      <c r="T1678">
        <v>59.578411302556397</v>
      </c>
      <c r="U1678">
        <v>130.61666149901799</v>
      </c>
      <c r="V1678">
        <v>114.76196532594</v>
      </c>
      <c r="W1678">
        <v>115.687783868655</v>
      </c>
    </row>
    <row r="1679" spans="1:23" x14ac:dyDescent="0.2">
      <c r="A1679" t="s">
        <v>3365</v>
      </c>
      <c r="B1679" s="3" t="str">
        <f>HYPERLINK("http://www.ncbi.nlm.nih.gov/gene/20318","Sdf4")</f>
        <v>Sdf4</v>
      </c>
      <c r="C1679">
        <v>20318</v>
      </c>
      <c r="D1679" t="s">
        <v>3366</v>
      </c>
      <c r="E1679" s="3" t="str">
        <f>HYPERLINK("http://genome.ucsc.edu/cgi-bin/hgTracks?db=mm10&amp;lastVirtModeType=default&amp;lastVirtModeExtraState=&amp;virtModeType=default&amp;virtMode=0&amp;nonVirtPosition=&amp;position=chr4:155993336-156013610","chr4:155993336-156013610")</f>
        <v>chr4:155993336-156013610</v>
      </c>
      <c r="F1679" t="s">
        <v>30</v>
      </c>
      <c r="G1679">
        <v>-0.46556186582395498</v>
      </c>
      <c r="H1679">
        <v>0.13182747696789299</v>
      </c>
      <c r="I1679">
        <v>-3.53159960679019</v>
      </c>
      <c r="J1679">
        <v>4.1305426454731601E-4</v>
      </c>
      <c r="K1679">
        <v>3.3022147203302199E-3</v>
      </c>
      <c r="L1679" t="s">
        <v>26</v>
      </c>
      <c r="M1679" t="s">
        <v>27</v>
      </c>
      <c r="N1679">
        <v>646.82801171478695</v>
      </c>
      <c r="O1679">
        <v>772.42795949285505</v>
      </c>
      <c r="P1679">
        <v>552.62805088123605</v>
      </c>
      <c r="Q1679">
        <v>805.12202152427801</v>
      </c>
      <c r="R1679">
        <v>816.15657954047799</v>
      </c>
      <c r="S1679">
        <v>696.00527741380995</v>
      </c>
      <c r="T1679">
        <v>485.79319985161402</v>
      </c>
      <c r="U1679">
        <v>668.07210471628696</v>
      </c>
      <c r="V1679">
        <v>531.87757006829804</v>
      </c>
      <c r="W1679">
        <v>524.76932888874603</v>
      </c>
    </row>
    <row r="1680" spans="1:23" x14ac:dyDescent="0.2">
      <c r="A1680" t="s">
        <v>3367</v>
      </c>
      <c r="B1680" s="3" t="str">
        <f>HYPERLINK("http://www.ncbi.nlm.nih.gov/gene/360213","Trim46")</f>
        <v>Trim46</v>
      </c>
      <c r="C1680">
        <v>360213</v>
      </c>
      <c r="D1680" t="s">
        <v>3368</v>
      </c>
      <c r="E1680" s="3" t="str">
        <f>HYPERLINK("http://genome.ucsc.edu/cgi-bin/hgTracks?db=mm10&amp;lastVirtModeType=default&amp;lastVirtModeExtraState=&amp;virtModeType=default&amp;virtMode=0&amp;nonVirtPosition=&amp;position=chr3:89234176-89245897","chr3:89234176-89245897")</f>
        <v>chr3:89234176-89245897</v>
      </c>
      <c r="F1680" t="s">
        <v>25</v>
      </c>
      <c r="G1680">
        <v>0.63317890547218103</v>
      </c>
      <c r="H1680">
        <v>0.179379817421294</v>
      </c>
      <c r="I1680">
        <v>3.52982244365367</v>
      </c>
      <c r="J1680">
        <v>4.1583864005166702E-4</v>
      </c>
      <c r="K1680">
        <v>3.32249118671353E-3</v>
      </c>
      <c r="L1680" t="s">
        <v>26</v>
      </c>
      <c r="M1680" t="s">
        <v>27</v>
      </c>
      <c r="N1680">
        <v>143.99060028934301</v>
      </c>
      <c r="O1680">
        <v>109.684048457076</v>
      </c>
      <c r="P1680">
        <v>169.72051416354299</v>
      </c>
      <c r="Q1680">
        <v>118.596812299219</v>
      </c>
      <c r="R1680">
        <v>89.883415125972704</v>
      </c>
      <c r="S1680">
        <v>120.571917946035</v>
      </c>
      <c r="T1680">
        <v>128.322732036275</v>
      </c>
      <c r="U1680">
        <v>182.00682340027001</v>
      </c>
      <c r="V1680">
        <v>166.99337262172</v>
      </c>
      <c r="W1680">
        <v>201.55912859590501</v>
      </c>
    </row>
    <row r="1681" spans="1:23" x14ac:dyDescent="0.2">
      <c r="A1681" t="s">
        <v>3369</v>
      </c>
      <c r="B1681" s="3" t="str">
        <f>HYPERLINK("http://www.ncbi.nlm.nih.gov/gene/76007","Zmym2")</f>
        <v>Zmym2</v>
      </c>
      <c r="C1681">
        <v>76007</v>
      </c>
      <c r="D1681" t="s">
        <v>3370</v>
      </c>
      <c r="E1681" s="3" t="str">
        <f>HYPERLINK("http://genome.ucsc.edu/cgi-bin/hgTracks?db=mm10&amp;lastVirtModeType=default&amp;lastVirtModeExtraState=&amp;virtModeType=default&amp;virtMode=0&amp;nonVirtPosition=&amp;position=chr14:56887794-56962579","chr14:56887794-56962579")</f>
        <v>chr14:56887794-56962579</v>
      </c>
      <c r="F1681" t="s">
        <v>30</v>
      </c>
      <c r="G1681">
        <v>-0.40699656943179602</v>
      </c>
      <c r="H1681">
        <v>0.115311020539114</v>
      </c>
      <c r="I1681">
        <v>-3.5295548294426999</v>
      </c>
      <c r="J1681">
        <v>4.1625944080730899E-4</v>
      </c>
      <c r="K1681">
        <v>3.3238701084380901E-3</v>
      </c>
      <c r="L1681" t="s">
        <v>26</v>
      </c>
      <c r="M1681" t="s">
        <v>27</v>
      </c>
      <c r="N1681">
        <v>608.11817413777499</v>
      </c>
      <c r="O1681">
        <v>710.72175121387397</v>
      </c>
      <c r="P1681">
        <v>531.165491330701</v>
      </c>
      <c r="Q1681">
        <v>711.58087379531696</v>
      </c>
      <c r="R1681">
        <v>732.34124307279797</v>
      </c>
      <c r="S1681">
        <v>688.24313677350699</v>
      </c>
      <c r="T1681">
        <v>554.53752058533303</v>
      </c>
      <c r="U1681">
        <v>451.80517338184802</v>
      </c>
      <c r="V1681">
        <v>580.43070924465803</v>
      </c>
      <c r="W1681">
        <v>537.88856211096402</v>
      </c>
    </row>
    <row r="1682" spans="1:23" x14ac:dyDescent="0.2">
      <c r="A1682" t="s">
        <v>3371</v>
      </c>
      <c r="B1682" s="3" t="str">
        <f>HYPERLINK("http://www.ncbi.nlm.nih.gov/gene/85029","Rpph1")</f>
        <v>Rpph1</v>
      </c>
      <c r="C1682">
        <v>85029</v>
      </c>
      <c r="D1682" t="s">
        <v>3372</v>
      </c>
      <c r="E1682" s="3" t="str">
        <f>HYPERLINK("http://genome.ucsc.edu/cgi-bin/hgTracks?db=mm10&amp;lastVirtModeType=default&amp;lastVirtModeExtraState=&amp;virtModeType=default&amp;virtMode=0&amp;nonVirtPosition=&amp;position=chr14:50807446-50807771","chr14:50807446-50807771")</f>
        <v>chr14:50807446-50807771</v>
      </c>
      <c r="F1682" t="s">
        <v>25</v>
      </c>
      <c r="G1682">
        <v>1.3444548739140201</v>
      </c>
      <c r="H1682">
        <v>0.38096082743965998</v>
      </c>
      <c r="I1682">
        <v>3.5291157963661299</v>
      </c>
      <c r="J1682">
        <v>4.16950644733948E-4</v>
      </c>
      <c r="K1682">
        <v>3.3274052941789601E-3</v>
      </c>
      <c r="L1682" t="s">
        <v>26</v>
      </c>
      <c r="M1682" t="s">
        <v>27</v>
      </c>
      <c r="N1682">
        <v>1079.6628848610601</v>
      </c>
      <c r="O1682">
        <v>374.69227905032898</v>
      </c>
      <c r="P1682">
        <v>1608.3908392191099</v>
      </c>
      <c r="Q1682">
        <v>203.22927929209001</v>
      </c>
      <c r="R1682">
        <v>260.54812739047799</v>
      </c>
      <c r="S1682">
        <v>660.299430468418</v>
      </c>
      <c r="T1682">
        <v>1746.10574663646</v>
      </c>
      <c r="U1682">
        <v>1552.41114076701</v>
      </c>
      <c r="V1682">
        <v>753.30931085745203</v>
      </c>
      <c r="W1682">
        <v>2381.73715861551</v>
      </c>
    </row>
    <row r="1683" spans="1:23" x14ac:dyDescent="0.2">
      <c r="A1683" t="s">
        <v>3373</v>
      </c>
      <c r="B1683" s="3" t="str">
        <f>HYPERLINK("http://www.ncbi.nlm.nih.gov/gene/26941","Slc9a3r1")</f>
        <v>Slc9a3r1</v>
      </c>
      <c r="C1683">
        <v>26941</v>
      </c>
      <c r="D1683" t="s">
        <v>3374</v>
      </c>
      <c r="E1683" s="3" t="str">
        <f>HYPERLINK("http://genome.ucsc.edu/cgi-bin/hgTracks?db=mm10&amp;lastVirtModeType=default&amp;lastVirtModeExtraState=&amp;virtModeType=default&amp;virtMode=0&amp;nonVirtPosition=&amp;position=chr11:115163340-115181178","chr11:115163340-115181178")</f>
        <v>chr11:115163340-115181178</v>
      </c>
      <c r="F1683" t="s">
        <v>30</v>
      </c>
      <c r="G1683">
        <v>0.87270121426724001</v>
      </c>
      <c r="H1683">
        <v>0.247327763202741</v>
      </c>
      <c r="I1683">
        <v>3.5285210320357998</v>
      </c>
      <c r="J1683">
        <v>4.1788873824740298E-4</v>
      </c>
      <c r="K1683">
        <v>3.3329053566831298E-3</v>
      </c>
      <c r="L1683" t="s">
        <v>26</v>
      </c>
      <c r="M1683" t="s">
        <v>27</v>
      </c>
      <c r="N1683">
        <v>66.4477454181783</v>
      </c>
      <c r="O1683">
        <v>41.940294421026501</v>
      </c>
      <c r="P1683">
        <v>84.828333666042198</v>
      </c>
      <c r="Q1683">
        <v>51.781706778532403</v>
      </c>
      <c r="R1683">
        <v>48.1653743502048</v>
      </c>
      <c r="S1683">
        <v>25.873802134342402</v>
      </c>
      <c r="T1683">
        <v>100.825003742788</v>
      </c>
      <c r="U1683">
        <v>85.650269835421398</v>
      </c>
      <c r="V1683">
        <v>76.507976883959898</v>
      </c>
      <c r="W1683">
        <v>76.330084201999398</v>
      </c>
    </row>
    <row r="1684" spans="1:23" x14ac:dyDescent="0.2">
      <c r="A1684" t="s">
        <v>3375</v>
      </c>
      <c r="B1684" s="3" t="str">
        <f>HYPERLINK("http://www.ncbi.nlm.nih.gov/gene/215351","Senp6")</f>
        <v>Senp6</v>
      </c>
      <c r="C1684">
        <v>215351</v>
      </c>
      <c r="D1684" t="s">
        <v>3376</v>
      </c>
      <c r="E1684" s="3" t="str">
        <f>HYPERLINK("http://genome.ucsc.edu/cgi-bin/hgTracks?db=mm10&amp;lastVirtModeType=default&amp;lastVirtModeExtraState=&amp;virtModeType=default&amp;virtMode=0&amp;nonVirtPosition=&amp;position=chr9:80066902-80144781","chr9:80066902-80144781")</f>
        <v>chr9:80066902-80144781</v>
      </c>
      <c r="F1684" t="s">
        <v>30</v>
      </c>
      <c r="G1684">
        <v>-0.39246078738878798</v>
      </c>
      <c r="H1684">
        <v>0.111245008350075</v>
      </c>
      <c r="I1684">
        <v>-3.5278957070483399</v>
      </c>
      <c r="J1684">
        <v>4.1887715898802501E-4</v>
      </c>
      <c r="K1684">
        <v>3.33768927502166E-3</v>
      </c>
      <c r="L1684" t="s">
        <v>26</v>
      </c>
      <c r="M1684" t="s">
        <v>27</v>
      </c>
      <c r="N1684">
        <v>639.677721202258</v>
      </c>
      <c r="O1684">
        <v>745.061299197165</v>
      </c>
      <c r="P1684">
        <v>560.64003770607906</v>
      </c>
      <c r="Q1684">
        <v>797.88371842620404</v>
      </c>
      <c r="R1684">
        <v>758.88908720283303</v>
      </c>
      <c r="S1684">
        <v>678.41109196245702</v>
      </c>
      <c r="T1684">
        <v>536.20570172300802</v>
      </c>
      <c r="U1684">
        <v>533.17292972549797</v>
      </c>
      <c r="V1684">
        <v>580.43070924465803</v>
      </c>
      <c r="W1684">
        <v>592.75081013115096</v>
      </c>
    </row>
    <row r="1685" spans="1:23" x14ac:dyDescent="0.2">
      <c r="A1685" t="s">
        <v>3377</v>
      </c>
      <c r="B1685" s="3" t="str">
        <f>HYPERLINK("http://www.ncbi.nlm.nih.gov/gene/22190","Ubc")</f>
        <v>Ubc</v>
      </c>
      <c r="C1685">
        <v>22190</v>
      </c>
      <c r="D1685" t="s">
        <v>3378</v>
      </c>
      <c r="E1685" s="3" t="str">
        <f>HYPERLINK("http://genome.ucsc.edu/cgi-bin/hgTracks?db=mm10&amp;lastVirtModeType=default&amp;lastVirtModeExtraState=&amp;virtModeType=default&amp;virtMode=0&amp;nonVirtPosition=&amp;position=chr5:125385964-125390017","chr5:125385964-125390017")</f>
        <v>chr5:125385964-125390017</v>
      </c>
      <c r="F1685" t="s">
        <v>25</v>
      </c>
      <c r="G1685">
        <v>-0.44826919954386502</v>
      </c>
      <c r="H1685">
        <v>0.12707234928966099</v>
      </c>
      <c r="I1685">
        <v>-3.5276690959890602</v>
      </c>
      <c r="J1685">
        <v>4.1923589069232101E-4</v>
      </c>
      <c r="K1685">
        <v>3.33768927502166E-3</v>
      </c>
      <c r="L1685" t="s">
        <v>26</v>
      </c>
      <c r="M1685" t="s">
        <v>27</v>
      </c>
      <c r="N1685">
        <v>504.36959819917399</v>
      </c>
      <c r="O1685">
        <v>599.64533754578099</v>
      </c>
      <c r="P1685">
        <v>432.91279368921897</v>
      </c>
      <c r="Q1685">
        <v>629.73236953247499</v>
      </c>
      <c r="R1685">
        <v>544.61005958184296</v>
      </c>
      <c r="S1685">
        <v>624.59358352302502</v>
      </c>
      <c r="T1685">
        <v>435.38069798022002</v>
      </c>
      <c r="U1685">
        <v>389.70872775116698</v>
      </c>
      <c r="V1685">
        <v>495.09488887408702</v>
      </c>
      <c r="W1685">
        <v>411.46686015140301</v>
      </c>
    </row>
    <row r="1686" spans="1:23" x14ac:dyDescent="0.2">
      <c r="A1686" t="s">
        <v>3379</v>
      </c>
      <c r="B1686" s="3" t="str">
        <f>HYPERLINK("http://www.ncbi.nlm.nih.gov/gene/108837","Ibtk")</f>
        <v>Ibtk</v>
      </c>
      <c r="C1686">
        <v>108837</v>
      </c>
      <c r="D1686" t="s">
        <v>3380</v>
      </c>
      <c r="E1686" s="3" t="str">
        <f>HYPERLINK("http://genome.ucsc.edu/cgi-bin/hgTracks?db=mm10&amp;lastVirtModeType=default&amp;lastVirtModeExtraState=&amp;virtModeType=default&amp;virtMode=0&amp;nonVirtPosition=&amp;position=chr9:85687359-85749334","chr9:85687359-85749334")</f>
        <v>chr9:85687359-85749334</v>
      </c>
      <c r="F1686" t="s">
        <v>25</v>
      </c>
      <c r="G1686">
        <v>0.44841628731099897</v>
      </c>
      <c r="H1686">
        <v>0.12711405417180799</v>
      </c>
      <c r="I1686">
        <v>3.5276688343596998</v>
      </c>
      <c r="J1686">
        <v>4.1923630502475E-4</v>
      </c>
      <c r="K1686">
        <v>3.33768927502166E-3</v>
      </c>
      <c r="L1686" t="s">
        <v>26</v>
      </c>
      <c r="M1686" t="s">
        <v>27</v>
      </c>
      <c r="N1686">
        <v>285.47158881292802</v>
      </c>
      <c r="O1686">
        <v>238.16291146268301</v>
      </c>
      <c r="P1686">
        <v>320.95309682561202</v>
      </c>
      <c r="Q1686">
        <v>230.51211404636999</v>
      </c>
      <c r="R1686">
        <v>232.48326359587</v>
      </c>
      <c r="S1686">
        <v>251.493356745808</v>
      </c>
      <c r="T1686">
        <v>256.64546407255102</v>
      </c>
      <c r="U1686">
        <v>351.16610632522799</v>
      </c>
      <c r="V1686">
        <v>332.51543799567202</v>
      </c>
      <c r="W1686">
        <v>343.48537890899701</v>
      </c>
    </row>
    <row r="1687" spans="1:23" x14ac:dyDescent="0.2">
      <c r="A1687" t="s">
        <v>3381</v>
      </c>
      <c r="B1687" s="3" t="str">
        <f>HYPERLINK("http://www.ncbi.nlm.nih.gov/gene/227195","Ino80d")</f>
        <v>Ino80d</v>
      </c>
      <c r="C1687">
        <v>227195</v>
      </c>
      <c r="D1687" t="s">
        <v>3382</v>
      </c>
      <c r="E1687" s="3" t="str">
        <f>HYPERLINK("http://genome.ucsc.edu/cgi-bin/hgTracks?db=mm10&amp;lastVirtModeType=default&amp;lastVirtModeExtraState=&amp;virtModeType=default&amp;virtMode=0&amp;nonVirtPosition=&amp;position=chr1:63047800-63114267","chr1:63047800-63114267")</f>
        <v>chr1:63047800-63114267</v>
      </c>
      <c r="F1687" t="s">
        <v>25</v>
      </c>
      <c r="G1687">
        <v>0.52394303853156099</v>
      </c>
      <c r="H1687">
        <v>0.14854294577534699</v>
      </c>
      <c r="I1687">
        <v>3.5272158889588798</v>
      </c>
      <c r="J1687">
        <v>4.1995419104262898E-4</v>
      </c>
      <c r="K1687">
        <v>3.3414180464954499E-3</v>
      </c>
      <c r="L1687" t="s">
        <v>26</v>
      </c>
      <c r="M1687" t="s">
        <v>27</v>
      </c>
      <c r="N1687">
        <v>489.32874732166101</v>
      </c>
      <c r="O1687">
        <v>388.14959615547002</v>
      </c>
      <c r="P1687">
        <v>565.21311069630406</v>
      </c>
      <c r="Q1687">
        <v>371.93742073182398</v>
      </c>
      <c r="R1687">
        <v>321.608168889556</v>
      </c>
      <c r="S1687">
        <v>470.903198845031</v>
      </c>
      <c r="T1687">
        <v>591.20115830998304</v>
      </c>
      <c r="U1687">
        <v>516.04287575841397</v>
      </c>
      <c r="V1687">
        <v>606.17858608060601</v>
      </c>
      <c r="W1687">
        <v>547.429822636214</v>
      </c>
    </row>
    <row r="1688" spans="1:23" x14ac:dyDescent="0.2">
      <c r="A1688" t="s">
        <v>3383</v>
      </c>
      <c r="B1688" s="3" t="str">
        <f>HYPERLINK("http://www.ncbi.nlm.nih.gov/gene/19654","Rbm6")</f>
        <v>Rbm6</v>
      </c>
      <c r="C1688">
        <v>19654</v>
      </c>
      <c r="D1688" t="s">
        <v>3384</v>
      </c>
      <c r="E1688" s="3" t="str">
        <f>HYPERLINK("http://genome.ucsc.edu/cgi-bin/hgTracks?db=mm10&amp;lastVirtModeType=default&amp;lastVirtModeExtraState=&amp;virtModeType=default&amp;virtMode=0&amp;nonVirtPosition=&amp;position=chr9:107773558-107872819","chr9:107773558-107872819")</f>
        <v>chr9:107773558-107872819</v>
      </c>
      <c r="F1688" t="s">
        <v>25</v>
      </c>
      <c r="G1688">
        <v>0.41070005128237302</v>
      </c>
      <c r="H1688">
        <v>0.116473670998139</v>
      </c>
      <c r="I1688">
        <v>3.52611923160674</v>
      </c>
      <c r="J1688">
        <v>4.21697071607894E-4</v>
      </c>
      <c r="K1688">
        <v>3.3532930438843799E-3</v>
      </c>
      <c r="L1688" t="s">
        <v>26</v>
      </c>
      <c r="M1688" t="s">
        <v>27</v>
      </c>
      <c r="N1688">
        <v>403.51386697514198</v>
      </c>
      <c r="O1688">
        <v>336.10846014267202</v>
      </c>
      <c r="P1688">
        <v>454.06792209949498</v>
      </c>
      <c r="Q1688">
        <v>357.46081453567501</v>
      </c>
      <c r="R1688">
        <v>315.54009023126298</v>
      </c>
      <c r="S1688">
        <v>335.32447566107697</v>
      </c>
      <c r="T1688">
        <v>508.70797342952</v>
      </c>
      <c r="U1688">
        <v>413.26255195590801</v>
      </c>
      <c r="V1688">
        <v>430.35736997227502</v>
      </c>
      <c r="W1688">
        <v>463.943793040277</v>
      </c>
    </row>
    <row r="1689" spans="1:23" x14ac:dyDescent="0.2">
      <c r="A1689" t="s">
        <v>3385</v>
      </c>
      <c r="B1689" s="3" t="str">
        <f>HYPERLINK("http://www.ncbi.nlm.nih.gov/gene/13864","Nr2f6")</f>
        <v>Nr2f6</v>
      </c>
      <c r="C1689">
        <v>13864</v>
      </c>
      <c r="D1689" t="s">
        <v>3386</v>
      </c>
      <c r="E1689" s="3" t="str">
        <f>HYPERLINK("http://genome.ucsc.edu/cgi-bin/hgTracks?db=mm10&amp;lastVirtModeType=default&amp;lastVirtModeExtraState=&amp;virtModeType=default&amp;virtMode=0&amp;nonVirtPosition=&amp;position=chr8:71374118-71381952","chr8:71374118-71381952")</f>
        <v>chr8:71374118-71381952</v>
      </c>
      <c r="F1689" t="s">
        <v>25</v>
      </c>
      <c r="G1689">
        <v>1.0722009689938301</v>
      </c>
      <c r="H1689">
        <v>0.30410111991713101</v>
      </c>
      <c r="I1689">
        <v>3.5258040788735299</v>
      </c>
      <c r="J1689">
        <v>4.2219918127950101E-4</v>
      </c>
      <c r="K1689">
        <v>3.3552933154384502E-3</v>
      </c>
      <c r="L1689" t="s">
        <v>26</v>
      </c>
      <c r="M1689" t="s">
        <v>27</v>
      </c>
      <c r="N1689">
        <v>32.053806659440703</v>
      </c>
      <c r="O1689">
        <v>17.582623684421701</v>
      </c>
      <c r="P1689">
        <v>42.907193890705003</v>
      </c>
      <c r="Q1689">
        <v>12.8062285581317</v>
      </c>
      <c r="R1689">
        <v>12.5154122327304</v>
      </c>
      <c r="S1689">
        <v>27.4262302624029</v>
      </c>
      <c r="T1689">
        <v>36.663637724650101</v>
      </c>
      <c r="U1689">
        <v>51.390161901252803</v>
      </c>
      <c r="V1689">
        <v>38.253988441979999</v>
      </c>
      <c r="W1689">
        <v>45.3209874949371</v>
      </c>
    </row>
    <row r="1690" spans="1:23" x14ac:dyDescent="0.2">
      <c r="A1690" t="s">
        <v>3387</v>
      </c>
      <c r="B1690" s="3" t="str">
        <f>HYPERLINK("http://www.ncbi.nlm.nih.gov/gene/16976","Lrpap1")</f>
        <v>Lrpap1</v>
      </c>
      <c r="C1690">
        <v>16976</v>
      </c>
      <c r="D1690" t="s">
        <v>3388</v>
      </c>
      <c r="E1690" s="3" t="str">
        <f>HYPERLINK("http://genome.ucsc.edu/cgi-bin/hgTracks?db=mm10&amp;lastVirtModeType=default&amp;lastVirtModeExtraState=&amp;virtModeType=default&amp;virtMode=0&amp;nonVirtPosition=&amp;position=chr5:35091505-35105697","chr5:35091505-35105697")</f>
        <v>chr5:35091505-35105697</v>
      </c>
      <c r="F1690" t="s">
        <v>25</v>
      </c>
      <c r="G1690">
        <v>-0.60296156175240101</v>
      </c>
      <c r="H1690">
        <v>0.171050450997735</v>
      </c>
      <c r="I1690">
        <v>-3.52505099071844</v>
      </c>
      <c r="J1690">
        <v>4.2340128312032401E-4</v>
      </c>
      <c r="K1690">
        <v>3.3628508791602998E-3</v>
      </c>
      <c r="L1690" t="s">
        <v>26</v>
      </c>
      <c r="M1690" t="s">
        <v>27</v>
      </c>
      <c r="N1690">
        <v>358.55611814631698</v>
      </c>
      <c r="O1690">
        <v>454.29782521021002</v>
      </c>
      <c r="P1690">
        <v>286.74983784839702</v>
      </c>
      <c r="Q1690">
        <v>552.89499818368495</v>
      </c>
      <c r="R1690">
        <v>442.59048713928303</v>
      </c>
      <c r="S1690">
        <v>367.40799030766198</v>
      </c>
      <c r="T1690">
        <v>215.39887163231899</v>
      </c>
      <c r="U1690">
        <v>293.352174186318</v>
      </c>
      <c r="V1690">
        <v>312.65279015079801</v>
      </c>
      <c r="W1690">
        <v>325.59551542415301</v>
      </c>
    </row>
    <row r="1691" spans="1:23" x14ac:dyDescent="0.2">
      <c r="A1691" t="s">
        <v>3389</v>
      </c>
      <c r="B1691" s="3" t="str">
        <f>HYPERLINK("http://www.ncbi.nlm.nih.gov/gene/223922","Atf7")</f>
        <v>Atf7</v>
      </c>
      <c r="C1691">
        <v>223922</v>
      </c>
      <c r="D1691" t="s">
        <v>3390</v>
      </c>
      <c r="E1691" s="3" t="str">
        <f>HYPERLINK("http://genome.ucsc.edu/cgi-bin/hgTracks?db=mm10&amp;lastVirtModeType=default&amp;lastVirtModeExtraState=&amp;virtModeType=default&amp;virtMode=0&amp;nonVirtPosition=&amp;position=chr15:102528635-102625464","chr15:102528635-102625464")</f>
        <v>chr15:102528635-102625464</v>
      </c>
      <c r="F1691" t="s">
        <v>25</v>
      </c>
      <c r="G1691">
        <v>0.63619704883337203</v>
      </c>
      <c r="H1691">
        <v>0.18060185107667301</v>
      </c>
      <c r="I1691">
        <v>3.5226496574682402</v>
      </c>
      <c r="J1691">
        <v>4.2725574042575502E-4</v>
      </c>
      <c r="K1691">
        <v>3.3866823968275901E-3</v>
      </c>
      <c r="L1691" t="s">
        <v>26</v>
      </c>
      <c r="M1691" t="s">
        <v>27</v>
      </c>
      <c r="N1691">
        <v>300.93466376693499</v>
      </c>
      <c r="O1691">
        <v>225.90691748971599</v>
      </c>
      <c r="P1691">
        <v>357.20547347485001</v>
      </c>
      <c r="Q1691">
        <v>234.96645441441601</v>
      </c>
      <c r="R1691">
        <v>169.52694751607501</v>
      </c>
      <c r="S1691">
        <v>273.22735053865603</v>
      </c>
      <c r="T1691">
        <v>357.47046781533902</v>
      </c>
      <c r="U1691">
        <v>291.21091744043298</v>
      </c>
      <c r="V1691">
        <v>416.37995111847403</v>
      </c>
      <c r="W1691">
        <v>363.76055752515299</v>
      </c>
    </row>
    <row r="1692" spans="1:23" x14ac:dyDescent="0.2">
      <c r="A1692" t="s">
        <v>3391</v>
      </c>
      <c r="B1692" s="3" t="str">
        <f>HYPERLINK("http://www.ncbi.nlm.nih.gov/gene/381110","Rmdn2")</f>
        <v>Rmdn2</v>
      </c>
      <c r="C1692">
        <v>381110</v>
      </c>
      <c r="D1692" t="s">
        <v>3392</v>
      </c>
      <c r="E1692" s="3" t="str">
        <f>HYPERLINK("http://genome.ucsc.edu/cgi-bin/hgTracks?db=mm10&amp;lastVirtModeType=default&amp;lastVirtModeExtraState=&amp;virtModeType=default&amp;virtMode=0&amp;nonVirtPosition=&amp;position=chr17:79614899-79682152","chr17:79614899-79682152")</f>
        <v>chr17:79614899-79682152</v>
      </c>
      <c r="F1692" t="s">
        <v>30</v>
      </c>
      <c r="G1692">
        <v>-0.73035711573253204</v>
      </c>
      <c r="H1692">
        <v>0.20734048122739401</v>
      </c>
      <c r="I1692">
        <v>-3.5225013051432801</v>
      </c>
      <c r="J1692">
        <v>4.2749493681928599E-4</v>
      </c>
      <c r="K1692">
        <v>3.3866823968275901E-3</v>
      </c>
      <c r="L1692" t="s">
        <v>26</v>
      </c>
      <c r="M1692" t="s">
        <v>27</v>
      </c>
      <c r="N1692">
        <v>84.484801899577604</v>
      </c>
      <c r="O1692">
        <v>112.280877638402</v>
      </c>
      <c r="P1692">
        <v>63.637745095459401</v>
      </c>
      <c r="Q1692">
        <v>123.60794521327099</v>
      </c>
      <c r="R1692">
        <v>114.914239591433</v>
      </c>
      <c r="S1692">
        <v>98.320448110501104</v>
      </c>
      <c r="T1692">
        <v>59.578411302556397</v>
      </c>
      <c r="U1692">
        <v>64.237702376566105</v>
      </c>
      <c r="V1692">
        <v>79.450591379496899</v>
      </c>
      <c r="W1692">
        <v>51.284275323218303</v>
      </c>
    </row>
    <row r="1693" spans="1:23" x14ac:dyDescent="0.2">
      <c r="A1693" t="s">
        <v>3393</v>
      </c>
      <c r="B1693" s="3" t="str">
        <f>HYPERLINK("http://www.ncbi.nlm.nih.gov/gene/51789","Tnk2")</f>
        <v>Tnk2</v>
      </c>
      <c r="C1693">
        <v>51789</v>
      </c>
      <c r="D1693" t="s">
        <v>3394</v>
      </c>
      <c r="E1693" s="3" t="str">
        <f>HYPERLINK("http://genome.ucsc.edu/cgi-bin/hgTracks?db=mm10&amp;lastVirtModeType=default&amp;lastVirtModeExtraState=&amp;virtModeType=default&amp;virtMode=0&amp;nonVirtPosition=&amp;position=chr16:32673153-32683493","chr16:32673153-32683493")</f>
        <v>chr16:32673153-32683493</v>
      </c>
      <c r="F1693" t="s">
        <v>30</v>
      </c>
      <c r="G1693">
        <v>0.551481448384744</v>
      </c>
      <c r="H1693">
        <v>0.15656454066436401</v>
      </c>
      <c r="I1693">
        <v>3.5223904853844701</v>
      </c>
      <c r="J1693">
        <v>4.2767369902746498E-4</v>
      </c>
      <c r="K1693">
        <v>3.3866823968275901E-3</v>
      </c>
      <c r="L1693" t="s">
        <v>26</v>
      </c>
      <c r="M1693" t="s">
        <v>27</v>
      </c>
      <c r="N1693">
        <v>519.08682973044301</v>
      </c>
      <c r="O1693">
        <v>406.382669429033</v>
      </c>
      <c r="P1693">
        <v>603.61494995650105</v>
      </c>
      <c r="Q1693">
        <v>437.08214861449397</v>
      </c>
      <c r="R1693">
        <v>309.092756656826</v>
      </c>
      <c r="S1693">
        <v>472.97310301577897</v>
      </c>
      <c r="T1693">
        <v>568.28638473207695</v>
      </c>
      <c r="U1693">
        <v>655.22456424097402</v>
      </c>
      <c r="V1693">
        <v>567.18894401474097</v>
      </c>
      <c r="W1693">
        <v>623.75990683821306</v>
      </c>
    </row>
    <row r="1694" spans="1:23" x14ac:dyDescent="0.2">
      <c r="A1694" t="s">
        <v>3395</v>
      </c>
      <c r="B1694" s="3" t="str">
        <f>HYPERLINK("http://www.ncbi.nlm.nih.gov/gene/11928","Atp1a1")</f>
        <v>Atp1a1</v>
      </c>
      <c r="C1694">
        <v>11928</v>
      </c>
      <c r="D1694" t="s">
        <v>3396</v>
      </c>
      <c r="E1694" s="3" t="str">
        <f>HYPERLINK("http://genome.ucsc.edu/cgi-bin/hgTracks?db=mm10&amp;lastVirtModeType=default&amp;lastVirtModeExtraState=&amp;virtModeType=default&amp;virtMode=0&amp;nonVirtPosition=&amp;position=chr3:101576218-101604707","chr3:101576218-101604707")</f>
        <v>chr3:101576218-101604707</v>
      </c>
      <c r="F1694" t="s">
        <v>25</v>
      </c>
      <c r="G1694">
        <v>-0.73859485621570997</v>
      </c>
      <c r="H1694">
        <v>0.20968774806059501</v>
      </c>
      <c r="I1694">
        <v>-3.5223558030785602</v>
      </c>
      <c r="J1694">
        <v>4.2772965903497802E-4</v>
      </c>
      <c r="K1694">
        <v>3.3866823968275901E-3</v>
      </c>
      <c r="L1694" t="s">
        <v>26</v>
      </c>
      <c r="M1694" t="s">
        <v>27</v>
      </c>
      <c r="N1694">
        <v>2747.57007739439</v>
      </c>
      <c r="O1694">
        <v>3631.8081944431201</v>
      </c>
      <c r="P1694">
        <v>2084.39148960784</v>
      </c>
      <c r="Q1694">
        <v>2482.73796263953</v>
      </c>
      <c r="R1694">
        <v>4009.4829734674399</v>
      </c>
      <c r="S1694">
        <v>4403.2036472223899</v>
      </c>
      <c r="T1694">
        <v>1484.87732784833</v>
      </c>
      <c r="U1694">
        <v>2372.5124744411701</v>
      </c>
      <c r="V1694">
        <v>2408.5299645969699</v>
      </c>
      <c r="W1694">
        <v>2071.6461915448899</v>
      </c>
    </row>
    <row r="1695" spans="1:23" x14ac:dyDescent="0.2">
      <c r="A1695" t="s">
        <v>3397</v>
      </c>
      <c r="B1695" s="3" t="str">
        <f>HYPERLINK("http://www.ncbi.nlm.nih.gov/gene/68969","Eif1b")</f>
        <v>Eif1b</v>
      </c>
      <c r="C1695">
        <v>68969</v>
      </c>
      <c r="D1695" t="s">
        <v>3398</v>
      </c>
      <c r="E1695" s="3" t="str">
        <f>HYPERLINK("http://genome.ucsc.edu/cgi-bin/hgTracks?db=mm10&amp;lastVirtModeType=default&amp;lastVirtModeExtraState=&amp;virtModeType=default&amp;virtMode=0&amp;nonVirtPosition=&amp;position=chr9:120492605-120495327","chr9:120492605-120495327")</f>
        <v>chr9:120492605-120495327</v>
      </c>
      <c r="F1695" t="s">
        <v>30</v>
      </c>
      <c r="G1695">
        <v>-0.52848759187161798</v>
      </c>
      <c r="H1695">
        <v>0.15004243451716101</v>
      </c>
      <c r="I1695">
        <v>-3.5222541781083301</v>
      </c>
      <c r="J1695">
        <v>4.2789367060638698E-4</v>
      </c>
      <c r="K1695">
        <v>3.3866823968275901E-3</v>
      </c>
      <c r="L1695" t="s">
        <v>26</v>
      </c>
      <c r="M1695" t="s">
        <v>27</v>
      </c>
      <c r="N1695">
        <v>235.09289350504801</v>
      </c>
      <c r="O1695">
        <v>283.79057807642999</v>
      </c>
      <c r="P1695">
        <v>198.569630076512</v>
      </c>
      <c r="Q1695">
        <v>293.98646429102303</v>
      </c>
      <c r="R1695">
        <v>296.57734442409497</v>
      </c>
      <c r="S1695">
        <v>260.80792551417102</v>
      </c>
      <c r="T1695">
        <v>247.47955464138801</v>
      </c>
      <c r="U1695">
        <v>154.170485703759</v>
      </c>
      <c r="V1695">
        <v>183.91340597105801</v>
      </c>
      <c r="W1695">
        <v>208.71507398984201</v>
      </c>
    </row>
    <row r="1696" spans="1:23" x14ac:dyDescent="0.2">
      <c r="A1696" t="s">
        <v>3399</v>
      </c>
      <c r="B1696" s="3" t="str">
        <f>HYPERLINK("http://www.ncbi.nlm.nih.gov/gene/51813","Ccnc")</f>
        <v>Ccnc</v>
      </c>
      <c r="C1696">
        <v>51813</v>
      </c>
      <c r="D1696" t="s">
        <v>3400</v>
      </c>
      <c r="E1696" s="3" t="str">
        <f>HYPERLINK("http://genome.ucsc.edu/cgi-bin/hgTracks?db=mm10&amp;lastVirtModeType=default&amp;lastVirtModeExtraState=&amp;virtModeType=default&amp;virtMode=0&amp;nonVirtPosition=&amp;position=chr4:21727700-21750547","chr4:21727700-21750547")</f>
        <v>chr4:21727700-21750547</v>
      </c>
      <c r="F1696" t="s">
        <v>30</v>
      </c>
      <c r="G1696">
        <v>-0.55026890381754601</v>
      </c>
      <c r="H1696">
        <v>0.156227049826904</v>
      </c>
      <c r="I1696">
        <v>-3.5222383347008699</v>
      </c>
      <c r="J1696">
        <v>4.2791924542097501E-4</v>
      </c>
      <c r="K1696">
        <v>3.3866823968275901E-3</v>
      </c>
      <c r="L1696" t="s">
        <v>26</v>
      </c>
      <c r="M1696" t="s">
        <v>27</v>
      </c>
      <c r="N1696">
        <v>205.937477357505</v>
      </c>
      <c r="O1696">
        <v>250.34838735980199</v>
      </c>
      <c r="P1696">
        <v>172.629294855783</v>
      </c>
      <c r="Q1696">
        <v>247.21589042654199</v>
      </c>
      <c r="R1696">
        <v>263.20291180348102</v>
      </c>
      <c r="S1696">
        <v>240.62635984938399</v>
      </c>
      <c r="T1696">
        <v>197.06705276999401</v>
      </c>
      <c r="U1696">
        <v>190.571850383813</v>
      </c>
      <c r="V1696">
        <v>172.878601612794</v>
      </c>
      <c r="W1696">
        <v>129.99967465653</v>
      </c>
    </row>
    <row r="1697" spans="1:23" x14ac:dyDescent="0.2">
      <c r="A1697" t="s">
        <v>3401</v>
      </c>
      <c r="B1697" s="3" t="str">
        <f>HYPERLINK("http://www.ncbi.nlm.nih.gov/gene/53412","Ppp1r3c")</f>
        <v>Ppp1r3c</v>
      </c>
      <c r="C1697">
        <v>53412</v>
      </c>
      <c r="D1697" t="s">
        <v>3402</v>
      </c>
      <c r="E1697" s="3" t="str">
        <f>HYPERLINK("http://genome.ucsc.edu/cgi-bin/hgTracks?db=mm10&amp;lastVirtModeType=default&amp;lastVirtModeExtraState=&amp;virtModeType=default&amp;virtMode=0&amp;nonVirtPosition=&amp;position=chr19:36731730-36736604","chr19:36731730-36736604")</f>
        <v>chr19:36731730-36736604</v>
      </c>
      <c r="F1697" t="s">
        <v>25</v>
      </c>
      <c r="G1697">
        <v>-0.60048641368344702</v>
      </c>
      <c r="H1697">
        <v>0.17054050630207501</v>
      </c>
      <c r="I1697">
        <v>-3.5210779345278702</v>
      </c>
      <c r="J1697">
        <v>4.2979627680891301E-4</v>
      </c>
      <c r="K1697">
        <v>3.3994712303281002E-3</v>
      </c>
      <c r="L1697" t="s">
        <v>26</v>
      </c>
      <c r="M1697" t="s">
        <v>27</v>
      </c>
      <c r="N1697">
        <v>121.994653501108</v>
      </c>
      <c r="O1697">
        <v>155.969876152149</v>
      </c>
      <c r="P1697">
        <v>96.513236512827405</v>
      </c>
      <c r="Q1697">
        <v>152.00436505956301</v>
      </c>
      <c r="R1697">
        <v>166.87216310307201</v>
      </c>
      <c r="S1697">
        <v>149.033100293812</v>
      </c>
      <c r="T1697">
        <v>77.910230164881497</v>
      </c>
      <c r="U1697">
        <v>87.791526581306996</v>
      </c>
      <c r="V1697">
        <v>111.819350830403</v>
      </c>
      <c r="W1697">
        <v>108.531838474718</v>
      </c>
    </row>
    <row r="1698" spans="1:23" x14ac:dyDescent="0.2">
      <c r="A1698" t="s">
        <v>3403</v>
      </c>
      <c r="B1698" s="3" t="str">
        <f>HYPERLINK("http://www.ncbi.nlm.nih.gov/gene/320116","Fndc9")</f>
        <v>Fndc9</v>
      </c>
      <c r="C1698">
        <v>320116</v>
      </c>
      <c r="D1698" t="s">
        <v>3404</v>
      </c>
      <c r="E1698" s="3" t="str">
        <f>HYPERLINK("http://genome.ucsc.edu/cgi-bin/hgTracks?db=mm10&amp;lastVirtModeType=default&amp;lastVirtModeExtraState=&amp;virtModeType=default&amp;virtMode=0&amp;nonVirtPosition=&amp;position=chr11:46235556-46239871","chr11:46235556-46239871")</f>
        <v>chr11:46235556-46239871</v>
      </c>
      <c r="F1698" t="s">
        <v>30</v>
      </c>
      <c r="G1698">
        <v>1.0114235129390601</v>
      </c>
      <c r="H1698">
        <v>0.28726066991544602</v>
      </c>
      <c r="I1698">
        <v>3.5209258310118501</v>
      </c>
      <c r="J1698">
        <v>4.3004288433842101E-4</v>
      </c>
      <c r="K1698">
        <v>3.3994712303281002E-3</v>
      </c>
      <c r="L1698" t="s">
        <v>26</v>
      </c>
      <c r="M1698" t="s">
        <v>27</v>
      </c>
      <c r="N1698">
        <v>33.392213543216499</v>
      </c>
      <c r="O1698">
        <v>20.149323371317401</v>
      </c>
      <c r="P1698">
        <v>43.324381172140797</v>
      </c>
      <c r="Q1698">
        <v>21.7149092942233</v>
      </c>
      <c r="R1698">
        <v>14.411686813447099</v>
      </c>
      <c r="S1698">
        <v>24.3213740062818</v>
      </c>
      <c r="T1698">
        <v>22.914773577906299</v>
      </c>
      <c r="U1698">
        <v>55.672675393023901</v>
      </c>
      <c r="V1698">
        <v>52.967060919664597</v>
      </c>
      <c r="W1698">
        <v>41.743014797968399</v>
      </c>
    </row>
    <row r="1699" spans="1:23" x14ac:dyDescent="0.2">
      <c r="A1699" t="s">
        <v>3405</v>
      </c>
      <c r="B1699" s="3" t="str">
        <f>HYPERLINK("http://www.ncbi.nlm.nih.gov/gene/751865","Sap25")</f>
        <v>Sap25</v>
      </c>
      <c r="C1699">
        <v>751865</v>
      </c>
      <c r="D1699" t="s">
        <v>3406</v>
      </c>
      <c r="E1699" s="3" t="str">
        <f>HYPERLINK("http://genome.ucsc.edu/cgi-bin/hgTracks?db=mm10&amp;lastVirtModeType=default&amp;lastVirtModeExtraState=&amp;virtModeType=default&amp;virtMode=0&amp;nonVirtPosition=&amp;position=chr5:137641472-137642902","chr5:137641472-137642902")</f>
        <v>chr5:137641472-137642902</v>
      </c>
      <c r="F1699" t="s">
        <v>30</v>
      </c>
      <c r="G1699">
        <v>1.1656495514112</v>
      </c>
      <c r="H1699">
        <v>0.331095999051507</v>
      </c>
      <c r="I1699">
        <v>3.5205787890836602</v>
      </c>
      <c r="J1699">
        <v>4.3060604287012801E-4</v>
      </c>
      <c r="K1699">
        <v>3.4019147611055399E-3</v>
      </c>
      <c r="L1699" t="s">
        <v>26</v>
      </c>
      <c r="M1699" t="s">
        <v>27</v>
      </c>
      <c r="N1699">
        <v>23.7993884740903</v>
      </c>
      <c r="O1699">
        <v>11.4117428154577</v>
      </c>
      <c r="P1699">
        <v>33.090122718064798</v>
      </c>
      <c r="Q1699">
        <v>6.1247180060629702</v>
      </c>
      <c r="R1699">
        <v>9.4813729035836207</v>
      </c>
      <c r="S1699">
        <v>18.6291375367265</v>
      </c>
      <c r="T1699">
        <v>41.246592440231403</v>
      </c>
      <c r="U1699">
        <v>27.836337696512</v>
      </c>
      <c r="V1699">
        <v>28.690491331484999</v>
      </c>
      <c r="W1699">
        <v>34.587069404030998</v>
      </c>
    </row>
    <row r="1700" spans="1:23" x14ac:dyDescent="0.2">
      <c r="A1700" t="s">
        <v>3407</v>
      </c>
      <c r="B1700" s="3" t="str">
        <f>HYPERLINK("http://www.ncbi.nlm.nih.gov/gene/268822","Adck5")</f>
        <v>Adck5</v>
      </c>
      <c r="C1700">
        <v>268822</v>
      </c>
      <c r="D1700" t="s">
        <v>3408</v>
      </c>
      <c r="E1700" s="3" t="str">
        <f>HYPERLINK("http://genome.ucsc.edu/cgi-bin/hgTracks?db=mm10&amp;lastVirtModeType=default&amp;lastVirtModeExtraState=&amp;virtModeType=default&amp;virtMode=0&amp;nonVirtPosition=&amp;position=chr15:76576358-76595811","chr15:76576358-76595811")</f>
        <v>chr15:76576358-76595811</v>
      </c>
      <c r="F1700" t="s">
        <v>30</v>
      </c>
      <c r="G1700">
        <v>0.80078646078648097</v>
      </c>
      <c r="H1700">
        <v>0.22747818943468301</v>
      </c>
      <c r="I1700">
        <v>3.5202779781945499</v>
      </c>
      <c r="J1700">
        <v>4.3109473747236001E-4</v>
      </c>
      <c r="K1700">
        <v>3.4037674702195602E-3</v>
      </c>
      <c r="L1700" t="s">
        <v>26</v>
      </c>
      <c r="M1700" t="s">
        <v>27</v>
      </c>
      <c r="N1700">
        <v>54.500196190871002</v>
      </c>
      <c r="O1700">
        <v>36.114321630431398</v>
      </c>
      <c r="P1700">
        <v>68.289602111200793</v>
      </c>
      <c r="Q1700">
        <v>32.850760214337797</v>
      </c>
      <c r="R1700">
        <v>41.338785859624601</v>
      </c>
      <c r="S1700">
        <v>34.153418817331897</v>
      </c>
      <c r="T1700">
        <v>68.744320733718993</v>
      </c>
      <c r="U1700">
        <v>85.650269835421398</v>
      </c>
      <c r="V1700">
        <v>60.3235971585069</v>
      </c>
      <c r="W1700">
        <v>58.440220717155803</v>
      </c>
    </row>
    <row r="1701" spans="1:23" x14ac:dyDescent="0.2">
      <c r="A1701" t="s">
        <v>3409</v>
      </c>
      <c r="B1701" s="3" t="str">
        <f>HYPERLINK("http://www.ncbi.nlm.nih.gov/gene/76972","Snhg20")</f>
        <v>Snhg20</v>
      </c>
      <c r="C1701">
        <v>76972</v>
      </c>
      <c r="D1701" t="s">
        <v>3410</v>
      </c>
      <c r="E1701" s="3" t="str">
        <f>HYPERLINK("http://genome.ucsc.edu/cgi-bin/hgTracks?db=mm10&amp;lastVirtModeType=default&amp;lastVirtModeExtraState=&amp;virtModeType=default&amp;virtMode=0&amp;nonVirtPosition=&amp;position=chr11:117076782-117078955","chr11:117076782-117078955")</f>
        <v>chr11:117076782-117078955</v>
      </c>
      <c r="F1701" t="s">
        <v>30</v>
      </c>
      <c r="G1701">
        <v>0.94734563956364903</v>
      </c>
      <c r="H1701">
        <v>0.26917876286524201</v>
      </c>
      <c r="I1701">
        <v>3.5193922041982</v>
      </c>
      <c r="J1701">
        <v>4.3253676671806802E-4</v>
      </c>
      <c r="K1701">
        <v>3.4131407443262502E-3</v>
      </c>
      <c r="L1701" t="s">
        <v>26</v>
      </c>
      <c r="M1701" t="s">
        <v>27</v>
      </c>
      <c r="N1701">
        <v>40.123888615267397</v>
      </c>
      <c r="O1701">
        <v>25.222904023357799</v>
      </c>
      <c r="P1701">
        <v>51.299627059199601</v>
      </c>
      <c r="Q1701">
        <v>23.385286932240501</v>
      </c>
      <c r="R1701">
        <v>26.927099046177499</v>
      </c>
      <c r="S1701">
        <v>25.3563260916555</v>
      </c>
      <c r="T1701">
        <v>32.0806830090688</v>
      </c>
      <c r="U1701">
        <v>49.248905155367297</v>
      </c>
      <c r="V1701">
        <v>46.346178304706498</v>
      </c>
      <c r="W1701">
        <v>77.522741767655603</v>
      </c>
    </row>
    <row r="1702" spans="1:23" x14ac:dyDescent="0.2">
      <c r="A1702" t="s">
        <v>3411</v>
      </c>
      <c r="B1702" s="3" t="str">
        <f>HYPERLINK("http://www.ncbi.nlm.nih.gov/gene/407819","BC031181")</f>
        <v>BC031181</v>
      </c>
      <c r="C1702">
        <v>407819</v>
      </c>
      <c r="D1702" t="s">
        <v>3412</v>
      </c>
      <c r="E1702" s="3" t="str">
        <f>HYPERLINK("http://genome.ucsc.edu/cgi-bin/hgTracks?db=mm10&amp;lastVirtModeType=default&amp;lastVirtModeExtraState=&amp;virtModeType=default&amp;virtMode=0&amp;nonVirtPosition=&amp;position=chr18:75005899-75009933","chr18:75005899-75009933")</f>
        <v>chr18:75005899-75009933</v>
      </c>
      <c r="F1702" t="s">
        <v>30</v>
      </c>
      <c r="G1702">
        <v>-0.55726989636996305</v>
      </c>
      <c r="H1702">
        <v>0.15838941329248099</v>
      </c>
      <c r="I1702">
        <v>-3.5183531827402499</v>
      </c>
      <c r="J1702">
        <v>4.34234020099218E-4</v>
      </c>
      <c r="K1702">
        <v>3.4245157615716299E-3</v>
      </c>
      <c r="L1702" t="s">
        <v>26</v>
      </c>
      <c r="M1702" t="s">
        <v>27</v>
      </c>
      <c r="N1702">
        <v>138.612898540884</v>
      </c>
      <c r="O1702">
        <v>169.656396142267</v>
      </c>
      <c r="P1702">
        <v>115.33027533984701</v>
      </c>
      <c r="Q1702">
        <v>184.855125273901</v>
      </c>
      <c r="R1702">
        <v>169.90620243221801</v>
      </c>
      <c r="S1702">
        <v>154.207860720681</v>
      </c>
      <c r="T1702">
        <v>128.322732036275</v>
      </c>
      <c r="U1702">
        <v>107.062837294277</v>
      </c>
      <c r="V1702">
        <v>106.669775463213</v>
      </c>
      <c r="W1702">
        <v>119.265756565624</v>
      </c>
    </row>
    <row r="1703" spans="1:23" x14ac:dyDescent="0.2">
      <c r="A1703" t="s">
        <v>3413</v>
      </c>
      <c r="B1703" s="3" t="str">
        <f>HYPERLINK("http://www.ncbi.nlm.nih.gov/gene/263406","Plekhg3")</f>
        <v>Plekhg3</v>
      </c>
      <c r="C1703">
        <v>263406</v>
      </c>
      <c r="D1703" t="s">
        <v>3414</v>
      </c>
      <c r="E1703" s="3" t="str">
        <f>HYPERLINK("http://genome.ucsc.edu/cgi-bin/hgTracks?db=mm10&amp;lastVirtModeType=default&amp;lastVirtModeExtraState=&amp;virtModeType=default&amp;virtMode=0&amp;nonVirtPosition=&amp;position=chr12:76533559-76579039","chr12:76533559-76579039")</f>
        <v>chr12:76533559-76579039</v>
      </c>
      <c r="F1703" t="s">
        <v>30</v>
      </c>
      <c r="G1703">
        <v>0.76530868245963302</v>
      </c>
      <c r="H1703">
        <v>0.21762911731311901</v>
      </c>
      <c r="I1703">
        <v>3.5165730206888002</v>
      </c>
      <c r="J1703">
        <v>4.3715639466221899E-4</v>
      </c>
      <c r="K1703">
        <v>3.4455334202011601E-3</v>
      </c>
      <c r="L1703" t="s">
        <v>26</v>
      </c>
      <c r="M1703" t="s">
        <v>27</v>
      </c>
      <c r="N1703">
        <v>78.131453348989595</v>
      </c>
      <c r="O1703">
        <v>55.504637105457398</v>
      </c>
      <c r="P1703">
        <v>95.101565531638897</v>
      </c>
      <c r="Q1703">
        <v>70.155860796721299</v>
      </c>
      <c r="R1703">
        <v>50.820158763208198</v>
      </c>
      <c r="S1703">
        <v>45.537891756442598</v>
      </c>
      <c r="T1703">
        <v>68.744320733718993</v>
      </c>
      <c r="U1703">
        <v>102.780323802506</v>
      </c>
      <c r="V1703">
        <v>111.08369720651901</v>
      </c>
      <c r="W1703">
        <v>97.7979203838117</v>
      </c>
    </row>
    <row r="1704" spans="1:23" x14ac:dyDescent="0.2">
      <c r="A1704" t="s">
        <v>3415</v>
      </c>
      <c r="B1704" s="3" t="str">
        <f>HYPERLINK("http://www.ncbi.nlm.nih.gov/gene/12814","Col11a1")</f>
        <v>Col11a1</v>
      </c>
      <c r="C1704">
        <v>12814</v>
      </c>
      <c r="D1704" t="s">
        <v>3416</v>
      </c>
      <c r="E1704" s="3" t="str">
        <f>HYPERLINK("http://genome.ucsc.edu/cgi-bin/hgTracks?db=mm10&amp;lastVirtModeType=default&amp;lastVirtModeExtraState=&amp;virtModeType=default&amp;virtMode=0&amp;nonVirtPosition=&amp;position=chr3:114030539-114220756","chr3:114030539-114220756")</f>
        <v>chr3:114030539-114220756</v>
      </c>
      <c r="F1704" t="s">
        <v>30</v>
      </c>
      <c r="G1704">
        <v>0.77373892286466694</v>
      </c>
      <c r="H1704">
        <v>0.22006601708579401</v>
      </c>
      <c r="I1704">
        <v>3.5159400488582602</v>
      </c>
      <c r="J1704">
        <v>4.3819992001957703E-4</v>
      </c>
      <c r="K1704">
        <v>3.4517265464600899E-3</v>
      </c>
      <c r="L1704" t="s">
        <v>26</v>
      </c>
      <c r="M1704" t="s">
        <v>27</v>
      </c>
      <c r="N1704">
        <v>4993.0513696179596</v>
      </c>
      <c r="O1704">
        <v>3436.5427624848198</v>
      </c>
      <c r="P1704">
        <v>6160.4328249678201</v>
      </c>
      <c r="Q1704">
        <v>2932.06954726615</v>
      </c>
      <c r="R1704">
        <v>2692.3306497016001</v>
      </c>
      <c r="S1704">
        <v>4685.2280904867202</v>
      </c>
      <c r="T1704">
        <v>4289.6456137840596</v>
      </c>
      <c r="U1704">
        <v>6423.7702376566103</v>
      </c>
      <c r="V1704">
        <v>7024.0208008466298</v>
      </c>
      <c r="W1704">
        <v>6904.2946475839699</v>
      </c>
    </row>
    <row r="1705" spans="1:23" x14ac:dyDescent="0.2">
      <c r="A1705" t="s">
        <v>3417</v>
      </c>
      <c r="B1705" s="3" t="str">
        <f>HYPERLINK("http://www.ncbi.nlm.nih.gov/gene/16426","Itih3")</f>
        <v>Itih3</v>
      </c>
      <c r="C1705">
        <v>16426</v>
      </c>
      <c r="D1705" t="s">
        <v>3418</v>
      </c>
      <c r="E1705" s="3" t="str">
        <f>HYPERLINK("http://genome.ucsc.edu/cgi-bin/hgTracks?db=mm10&amp;lastVirtModeType=default&amp;lastVirtModeExtraState=&amp;virtModeType=default&amp;virtMode=0&amp;nonVirtPosition=&amp;position=chr14:30908573-30923587","chr14:30908573-30923587")</f>
        <v>chr14:30908573-30923587</v>
      </c>
      <c r="F1705" t="s">
        <v>25</v>
      </c>
      <c r="G1705">
        <v>-1.19206878714384</v>
      </c>
      <c r="H1705">
        <v>0.33907192734821601</v>
      </c>
      <c r="I1705">
        <v>-3.5156811608282199</v>
      </c>
      <c r="J1705">
        <v>4.38627395745497E-4</v>
      </c>
      <c r="K1705">
        <v>3.4522311870937399E-3</v>
      </c>
      <c r="L1705" t="s">
        <v>26</v>
      </c>
      <c r="M1705" t="s">
        <v>27</v>
      </c>
      <c r="N1705">
        <v>34.073744829534597</v>
      </c>
      <c r="O1705">
        <v>54.739634778223</v>
      </c>
      <c r="P1705">
        <v>18.574327368018299</v>
      </c>
      <c r="Q1705">
        <v>54.008876962555298</v>
      </c>
      <c r="R1705">
        <v>78.126512725528997</v>
      </c>
      <c r="S1705">
        <v>32.083514646584597</v>
      </c>
      <c r="T1705">
        <v>13.7488641467438</v>
      </c>
      <c r="U1705">
        <v>23.553824204740899</v>
      </c>
      <c r="V1705">
        <v>9.5634971104949908</v>
      </c>
      <c r="W1705">
        <v>27.431124010093502</v>
      </c>
    </row>
    <row r="1706" spans="1:23" x14ac:dyDescent="0.2">
      <c r="A1706" t="s">
        <v>3419</v>
      </c>
      <c r="B1706" s="3" t="str">
        <f>HYPERLINK("http://www.ncbi.nlm.nih.gov/gene/259302","Srgap3")</f>
        <v>Srgap3</v>
      </c>
      <c r="C1706">
        <v>259302</v>
      </c>
      <c r="D1706" t="s">
        <v>3420</v>
      </c>
      <c r="E1706" s="3" t="str">
        <f>HYPERLINK("http://genome.ucsc.edu/cgi-bin/hgTracks?db=mm10&amp;lastVirtModeType=default&amp;lastVirtModeExtraState=&amp;virtModeType=default&amp;virtMode=0&amp;nonVirtPosition=&amp;position=chr6:112717971-112947266","chr6:112717971-112947266")</f>
        <v>chr6:112717971-112947266</v>
      </c>
      <c r="F1706" t="s">
        <v>25</v>
      </c>
      <c r="G1706">
        <v>0.47014784348226801</v>
      </c>
      <c r="H1706">
        <v>0.13373230980943601</v>
      </c>
      <c r="I1706">
        <v>3.5155890461490702</v>
      </c>
      <c r="J1706">
        <v>4.3877958930875499E-4</v>
      </c>
      <c r="K1706">
        <v>3.4522311870937399E-3</v>
      </c>
      <c r="L1706" t="s">
        <v>26</v>
      </c>
      <c r="M1706" t="s">
        <v>27</v>
      </c>
      <c r="N1706">
        <v>651.28085759730197</v>
      </c>
      <c r="O1706">
        <v>532.38365384050996</v>
      </c>
      <c r="P1706">
        <v>740.45376041489601</v>
      </c>
      <c r="Q1706">
        <v>545.65669508561098</v>
      </c>
      <c r="R1706">
        <v>488.48033199262801</v>
      </c>
      <c r="S1706">
        <v>563.01393444329005</v>
      </c>
      <c r="T1706">
        <v>623.28184131905198</v>
      </c>
      <c r="U1706">
        <v>869.35023882952703</v>
      </c>
      <c r="V1706">
        <v>676.06568034960799</v>
      </c>
      <c r="W1706">
        <v>793.11728116139898</v>
      </c>
    </row>
    <row r="1707" spans="1:23" x14ac:dyDescent="0.2">
      <c r="A1707" t="s">
        <v>3421</v>
      </c>
      <c r="B1707" s="3" t="str">
        <f>HYPERLINK("http://www.ncbi.nlm.nih.gov/gene/243219","2900026A02Rik")</f>
        <v>2900026A02Rik</v>
      </c>
      <c r="C1707">
        <v>243219</v>
      </c>
      <c r="D1707" t="s">
        <v>3422</v>
      </c>
      <c r="E1707" s="3" t="str">
        <f>HYPERLINK("http://genome.ucsc.edu/cgi-bin/hgTracks?db=mm10&amp;lastVirtModeType=default&amp;lastVirtModeExtraState=&amp;virtModeType=default&amp;virtMode=0&amp;nonVirtPosition=&amp;position=chr5:113086322-113163313","chr5:113086322-113163313")</f>
        <v>chr5:113086322-113163313</v>
      </c>
      <c r="F1707" t="s">
        <v>25</v>
      </c>
      <c r="G1707">
        <v>0.80223334979132799</v>
      </c>
      <c r="H1707">
        <v>0.22827526426858299</v>
      </c>
      <c r="I1707">
        <v>3.5143244817250099</v>
      </c>
      <c r="J1707">
        <v>4.4087391553406901E-4</v>
      </c>
      <c r="K1707">
        <v>3.4657440947523299E-3</v>
      </c>
      <c r="L1707" t="s">
        <v>26</v>
      </c>
      <c r="M1707" t="s">
        <v>27</v>
      </c>
      <c r="N1707">
        <v>148.142465393246</v>
      </c>
      <c r="O1707">
        <v>100.05125977178901</v>
      </c>
      <c r="P1707">
        <v>184.210869609338</v>
      </c>
      <c r="Q1707">
        <v>129.732663219334</v>
      </c>
      <c r="R1707">
        <v>59.163766918361802</v>
      </c>
      <c r="S1707">
        <v>111.257349177672</v>
      </c>
      <c r="T1707">
        <v>187.90114333883199</v>
      </c>
      <c r="U1707">
        <v>201.27813411323999</v>
      </c>
      <c r="V1707">
        <v>179.49948422775199</v>
      </c>
      <c r="W1707">
        <v>168.16471675752999</v>
      </c>
    </row>
    <row r="1708" spans="1:23" x14ac:dyDescent="0.2">
      <c r="A1708" t="s">
        <v>3423</v>
      </c>
      <c r="B1708" s="3" t="str">
        <f>HYPERLINK("http://www.ncbi.nlm.nih.gov/gene/223691","Eif3l")</f>
        <v>Eif3l</v>
      </c>
      <c r="C1708">
        <v>223691</v>
      </c>
      <c r="D1708" t="s">
        <v>3424</v>
      </c>
      <c r="E1708" s="3" t="str">
        <f>HYPERLINK("http://genome.ucsc.edu/cgi-bin/hgTracks?db=mm10&amp;lastVirtModeType=default&amp;lastVirtModeExtraState=&amp;virtModeType=default&amp;virtMode=0&amp;nonVirtPosition=&amp;position=chr15:79075222-79094400","chr15:79075222-79094400")</f>
        <v>chr15:79075222-79094400</v>
      </c>
      <c r="F1708" t="s">
        <v>30</v>
      </c>
      <c r="G1708">
        <v>-0.47359568525631901</v>
      </c>
      <c r="H1708">
        <v>0.13476476546201399</v>
      </c>
      <c r="I1708">
        <v>-3.5142396726079701</v>
      </c>
      <c r="J1708">
        <v>4.4101470670285698E-4</v>
      </c>
      <c r="K1708">
        <v>3.4657440947523299E-3</v>
      </c>
      <c r="L1708" t="s">
        <v>26</v>
      </c>
      <c r="M1708" t="s">
        <v>27</v>
      </c>
      <c r="N1708">
        <v>563.02839048312296</v>
      </c>
      <c r="O1708">
        <v>674.35679764554197</v>
      </c>
      <c r="P1708">
        <v>479.53208511130902</v>
      </c>
      <c r="Q1708">
        <v>555.67896091371404</v>
      </c>
      <c r="R1708">
        <v>744.47740038938502</v>
      </c>
      <c r="S1708">
        <v>722.91403163352595</v>
      </c>
      <c r="T1708">
        <v>458.295471558126</v>
      </c>
      <c r="U1708">
        <v>494.63030829955898</v>
      </c>
      <c r="V1708">
        <v>502.45142511292897</v>
      </c>
      <c r="W1708">
        <v>462.75113547462098</v>
      </c>
    </row>
    <row r="1709" spans="1:23" x14ac:dyDescent="0.2">
      <c r="A1709" t="s">
        <v>3425</v>
      </c>
      <c r="B1709" s="3" t="str">
        <f>HYPERLINK("http://www.ncbi.nlm.nih.gov/gene/76338","Rab2b")</f>
        <v>Rab2b</v>
      </c>
      <c r="C1709">
        <v>76338</v>
      </c>
      <c r="D1709" t="s">
        <v>3426</v>
      </c>
      <c r="E1709" s="3" t="str">
        <f>HYPERLINK("http://genome.ucsc.edu/cgi-bin/hgTracks?db=mm10&amp;lastVirtModeType=default&amp;lastVirtModeExtraState=&amp;virtModeType=default&amp;virtMode=0&amp;nonVirtPosition=&amp;position=chr14:52261758-52279395","chr14:52261758-52279395")</f>
        <v>chr14:52261758-52279395</v>
      </c>
      <c r="F1709" t="s">
        <v>25</v>
      </c>
      <c r="G1709">
        <v>-0.68916244201118504</v>
      </c>
      <c r="H1709">
        <v>0.19616351953719199</v>
      </c>
      <c r="I1709">
        <v>-3.51320390069022</v>
      </c>
      <c r="J1709">
        <v>4.4273757583217102E-4</v>
      </c>
      <c r="K1709">
        <v>3.4772427436766001E-3</v>
      </c>
      <c r="L1709" t="s">
        <v>26</v>
      </c>
      <c r="M1709" t="s">
        <v>27</v>
      </c>
      <c r="N1709">
        <v>120.613571749492</v>
      </c>
      <c r="O1709">
        <v>159.99838983119901</v>
      </c>
      <c r="P1709">
        <v>91.074958188212705</v>
      </c>
      <c r="Q1709">
        <v>180.957577451861</v>
      </c>
      <c r="R1709">
        <v>163.45886885778199</v>
      </c>
      <c r="S1709">
        <v>135.578723183954</v>
      </c>
      <c r="T1709">
        <v>64.161366018137699</v>
      </c>
      <c r="U1709">
        <v>85.650269835421398</v>
      </c>
      <c r="V1709">
        <v>115.497618949824</v>
      </c>
      <c r="W1709">
        <v>98.990577949467905</v>
      </c>
    </row>
    <row r="1710" spans="1:23" x14ac:dyDescent="0.2">
      <c r="A1710" t="s">
        <v>3427</v>
      </c>
      <c r="B1710" s="3" t="str">
        <f>HYPERLINK("http://www.ncbi.nlm.nih.gov/gene/236900","Pdk3")</f>
        <v>Pdk3</v>
      </c>
      <c r="C1710">
        <v>236900</v>
      </c>
      <c r="D1710" t="s">
        <v>3428</v>
      </c>
      <c r="E1710" s="3" t="str">
        <f>HYPERLINK("http://genome.ucsc.edu/cgi-bin/hgTracks?db=mm10&amp;lastVirtModeType=default&amp;lastVirtModeExtraState=&amp;virtModeType=default&amp;virtMode=0&amp;nonVirtPosition=&amp;position=chrX:93764615-93832095","chrX:93764615-93832095")</f>
        <v>chrX:93764615-93832095</v>
      </c>
      <c r="F1710" t="s">
        <v>25</v>
      </c>
      <c r="G1710">
        <v>-0.57149797495769405</v>
      </c>
      <c r="H1710">
        <v>0.16269412619010901</v>
      </c>
      <c r="I1710">
        <v>-3.5127142469169002</v>
      </c>
      <c r="J1710">
        <v>4.4355423502958198E-4</v>
      </c>
      <c r="K1710">
        <v>3.4816147486993699E-3</v>
      </c>
      <c r="L1710" t="s">
        <v>26</v>
      </c>
      <c r="M1710" t="s">
        <v>27</v>
      </c>
      <c r="N1710">
        <v>133.14058313138901</v>
      </c>
      <c r="O1710">
        <v>165.64968736159301</v>
      </c>
      <c r="P1710">
        <v>108.758754958737</v>
      </c>
      <c r="Q1710">
        <v>170.935311623758</v>
      </c>
      <c r="R1710">
        <v>166.11365327078499</v>
      </c>
      <c r="S1710">
        <v>159.90009719023601</v>
      </c>
      <c r="T1710">
        <v>119.15682260511301</v>
      </c>
      <c r="U1710">
        <v>87.791526581306996</v>
      </c>
      <c r="V1710">
        <v>124.325462436435</v>
      </c>
      <c r="W1710">
        <v>103.761208212093</v>
      </c>
    </row>
    <row r="1711" spans="1:23" x14ac:dyDescent="0.2">
      <c r="A1711" t="s">
        <v>3429</v>
      </c>
      <c r="B1711" s="3" t="str">
        <f>HYPERLINK("http://www.ncbi.nlm.nih.gov/gene/319710","Frmd6")</f>
        <v>Frmd6</v>
      </c>
      <c r="C1711">
        <v>319710</v>
      </c>
      <c r="D1711" t="s">
        <v>3430</v>
      </c>
      <c r="E1711" s="3" t="str">
        <f>HYPERLINK("http://genome.ucsc.edu/cgi-bin/hgTracks?db=mm10&amp;lastVirtModeType=default&amp;lastVirtModeExtraState=&amp;virtModeType=default&amp;virtMode=0&amp;nonVirtPosition=&amp;position=chr12:70825513-70902234","chr12:70825513-70902234")</f>
        <v>chr12:70825513-70902234</v>
      </c>
      <c r="F1711" t="s">
        <v>30</v>
      </c>
      <c r="G1711">
        <v>0.81974463896910899</v>
      </c>
      <c r="H1711">
        <v>0.23345278229989999</v>
      </c>
      <c r="I1711">
        <v>3.5113937426371802</v>
      </c>
      <c r="J1711">
        <v>4.4576362580981099E-4</v>
      </c>
      <c r="K1711">
        <v>3.49690727195031E-3</v>
      </c>
      <c r="L1711" t="s">
        <v>26</v>
      </c>
      <c r="M1711" t="s">
        <v>27</v>
      </c>
      <c r="N1711">
        <v>164.863119454924</v>
      </c>
      <c r="O1711">
        <v>111.220333157841</v>
      </c>
      <c r="P1711">
        <v>205.09520917773699</v>
      </c>
      <c r="Q1711">
        <v>151.44757251355699</v>
      </c>
      <c r="R1711">
        <v>69.403649654232098</v>
      </c>
      <c r="S1711">
        <v>112.80977730573299</v>
      </c>
      <c r="T1711">
        <v>187.90114333883199</v>
      </c>
      <c r="U1711">
        <v>173.44179641672801</v>
      </c>
      <c r="V1711">
        <v>257.47876835948102</v>
      </c>
      <c r="W1711">
        <v>201.55912859590501</v>
      </c>
    </row>
    <row r="1712" spans="1:23" x14ac:dyDescent="0.2">
      <c r="A1712" t="s">
        <v>3431</v>
      </c>
      <c r="B1712" s="3" t="str">
        <f>HYPERLINK("http://www.ncbi.nlm.nih.gov/gene/207474","Kctd12b")</f>
        <v>Kctd12b</v>
      </c>
      <c r="C1712">
        <v>207474</v>
      </c>
      <c r="D1712" t="s">
        <v>3432</v>
      </c>
      <c r="E1712" s="3" t="str">
        <f>HYPERLINK("http://genome.ucsc.edu/cgi-bin/hgTracks?db=mm10&amp;lastVirtModeType=default&amp;lastVirtModeExtraState=&amp;virtModeType=default&amp;virtMode=0&amp;nonVirtPosition=&amp;position=chrX:153685153-153696280","chrX:153685153-153696280")</f>
        <v>chrX:153685153-153696280</v>
      </c>
      <c r="F1712" t="s">
        <v>25</v>
      </c>
      <c r="G1712">
        <v>-1.0139433844185901</v>
      </c>
      <c r="H1712">
        <v>0.28888470538933197</v>
      </c>
      <c r="I1712">
        <v>-3.5098548504050702</v>
      </c>
      <c r="J1712">
        <v>4.4835136966033499E-4</v>
      </c>
      <c r="K1712">
        <v>3.5151482383615601E-3</v>
      </c>
      <c r="L1712" t="s">
        <v>26</v>
      </c>
      <c r="M1712" t="s">
        <v>27</v>
      </c>
      <c r="N1712">
        <v>179.01964722145101</v>
      </c>
      <c r="O1712">
        <v>263.96298921714998</v>
      </c>
      <c r="P1712">
        <v>115.312140724676</v>
      </c>
      <c r="Q1712">
        <v>440.422903890528</v>
      </c>
      <c r="R1712">
        <v>178.62906550351499</v>
      </c>
      <c r="S1712">
        <v>172.836998257407</v>
      </c>
      <c r="T1712">
        <v>142.07159618301901</v>
      </c>
      <c r="U1712">
        <v>66.378959122451604</v>
      </c>
      <c r="V1712">
        <v>138.30288129023501</v>
      </c>
      <c r="W1712">
        <v>114.495126302999</v>
      </c>
    </row>
    <row r="1713" spans="1:23" x14ac:dyDescent="0.2">
      <c r="A1713" t="s">
        <v>3433</v>
      </c>
      <c r="B1713" s="3" t="str">
        <f>HYPERLINK("http://www.ncbi.nlm.nih.gov/gene/242425","Gabbr2")</f>
        <v>Gabbr2</v>
      </c>
      <c r="C1713">
        <v>242425</v>
      </c>
      <c r="D1713" t="s">
        <v>3434</v>
      </c>
      <c r="E1713" s="3" t="str">
        <f>HYPERLINK("http://genome.ucsc.edu/cgi-bin/hgTracks?db=mm10&amp;lastVirtModeType=default&amp;lastVirtModeExtraState=&amp;virtModeType=default&amp;virtMode=0&amp;nonVirtPosition=&amp;position=chr4:46663897-46991714","chr4:46663897-46991714")</f>
        <v>chr4:46663897-46991714</v>
      </c>
      <c r="F1713" t="s">
        <v>25</v>
      </c>
      <c r="G1713">
        <v>-0.90441805140173903</v>
      </c>
      <c r="H1713">
        <v>0.257708026525864</v>
      </c>
      <c r="I1713">
        <v>-3.5094679183807602</v>
      </c>
      <c r="J1713">
        <v>4.49004222347705E-4</v>
      </c>
      <c r="K1713">
        <v>3.51820687036754E-3</v>
      </c>
      <c r="L1713" t="s">
        <v>26</v>
      </c>
      <c r="M1713" t="s">
        <v>27</v>
      </c>
      <c r="N1713">
        <v>207.621999198108</v>
      </c>
      <c r="O1713">
        <v>290.77705334178899</v>
      </c>
      <c r="P1713">
        <v>145.25570859034701</v>
      </c>
      <c r="Q1713">
        <v>322.93967668331999</v>
      </c>
      <c r="R1713">
        <v>395.18362262136498</v>
      </c>
      <c r="S1713">
        <v>154.207860720681</v>
      </c>
      <c r="T1713">
        <v>164.98636976092499</v>
      </c>
      <c r="U1713">
        <v>164.87676943318601</v>
      </c>
      <c r="V1713">
        <v>104.462814591561</v>
      </c>
      <c r="W1713">
        <v>146.69688057571801</v>
      </c>
    </row>
    <row r="1714" spans="1:23" x14ac:dyDescent="0.2">
      <c r="A1714" t="s">
        <v>3435</v>
      </c>
      <c r="B1714" s="3" t="str">
        <f>HYPERLINK("http://www.ncbi.nlm.nih.gov/gene/270097","Vat1l")</f>
        <v>Vat1l</v>
      </c>
      <c r="C1714">
        <v>270097</v>
      </c>
      <c r="D1714" t="s">
        <v>3436</v>
      </c>
      <c r="E1714" s="3" t="str">
        <f>HYPERLINK("http://genome.ucsc.edu/cgi-bin/hgTracks?db=mm10&amp;lastVirtModeType=default&amp;lastVirtModeExtraState=&amp;virtModeType=default&amp;virtMode=0&amp;nonVirtPosition=&amp;position=chr8:114205639-114374070","chr8:114205639-114374070")</f>
        <v>chr8:114205639-114374070</v>
      </c>
      <c r="F1714" t="s">
        <v>30</v>
      </c>
      <c r="G1714">
        <v>-0.78627721622494295</v>
      </c>
      <c r="H1714">
        <v>0.224072073402207</v>
      </c>
      <c r="I1714">
        <v>-3.5090370892118399</v>
      </c>
      <c r="J1714">
        <v>4.4973218452884099E-4</v>
      </c>
      <c r="K1714">
        <v>3.5218501070325798E-3</v>
      </c>
      <c r="L1714" t="s">
        <v>26</v>
      </c>
      <c r="M1714" t="s">
        <v>27</v>
      </c>
      <c r="N1714">
        <v>335.587947370199</v>
      </c>
      <c r="O1714">
        <v>455.15003939833201</v>
      </c>
      <c r="P1714">
        <v>245.91637834909901</v>
      </c>
      <c r="Q1714">
        <v>542.31593980957598</v>
      </c>
      <c r="R1714">
        <v>456.24366412044401</v>
      </c>
      <c r="S1714">
        <v>366.89051426497502</v>
      </c>
      <c r="T1714">
        <v>164.98636976092499</v>
      </c>
      <c r="U1714">
        <v>214.12567458855401</v>
      </c>
      <c r="V1714">
        <v>222.903048036922</v>
      </c>
      <c r="W1714">
        <v>381.65042100999699</v>
      </c>
    </row>
    <row r="1715" spans="1:23" x14ac:dyDescent="0.2">
      <c r="A1715" t="s">
        <v>3437</v>
      </c>
      <c r="B1715" s="3" t="str">
        <f>HYPERLINK("http://www.ncbi.nlm.nih.gov/gene/233208","Scaf1")</f>
        <v>Scaf1</v>
      </c>
      <c r="C1715">
        <v>233208</v>
      </c>
      <c r="D1715" t="s">
        <v>3438</v>
      </c>
      <c r="E1715" s="3" t="str">
        <f>HYPERLINK("http://genome.ucsc.edu/cgi-bin/hgTracks?db=mm10&amp;lastVirtModeType=default&amp;lastVirtModeExtraState=&amp;virtModeType=default&amp;virtMode=0&amp;nonVirtPosition=&amp;position=chr7:45002949-45016249","chr7:45002949-45016249")</f>
        <v>chr7:45002949-45016249</v>
      </c>
      <c r="F1715" t="s">
        <v>25</v>
      </c>
      <c r="G1715">
        <v>0.68533564352057397</v>
      </c>
      <c r="H1715">
        <v>0.19539987362088601</v>
      </c>
      <c r="I1715">
        <v>3.5073494717312799</v>
      </c>
      <c r="J1715">
        <v>4.5259433421512699E-4</v>
      </c>
      <c r="K1715">
        <v>3.5421921271038999E-3</v>
      </c>
      <c r="L1715" t="s">
        <v>26</v>
      </c>
      <c r="M1715" t="s">
        <v>27</v>
      </c>
      <c r="N1715">
        <v>393.808861196755</v>
      </c>
      <c r="O1715">
        <v>285.43689712316598</v>
      </c>
      <c r="P1715">
        <v>475.08783425194702</v>
      </c>
      <c r="Q1715">
        <v>208.240412206141</v>
      </c>
      <c r="R1715">
        <v>257.89334297747399</v>
      </c>
      <c r="S1715">
        <v>390.17693618588299</v>
      </c>
      <c r="T1715">
        <v>462.87842627370799</v>
      </c>
      <c r="U1715">
        <v>554.58549718435404</v>
      </c>
      <c r="V1715">
        <v>414.172990246822</v>
      </c>
      <c r="W1715">
        <v>468.71442330290199</v>
      </c>
    </row>
    <row r="1716" spans="1:23" x14ac:dyDescent="0.2">
      <c r="A1716" t="s">
        <v>3439</v>
      </c>
      <c r="B1716" s="3" t="str">
        <f>HYPERLINK("http://www.ncbi.nlm.nih.gov/gene/12494","Cd38")</f>
        <v>Cd38</v>
      </c>
      <c r="C1716">
        <v>12494</v>
      </c>
      <c r="D1716" t="s">
        <v>3440</v>
      </c>
      <c r="E1716" s="3" t="str">
        <f>HYPERLINK("http://genome.ucsc.edu/cgi-bin/hgTracks?db=mm10&amp;lastVirtModeType=default&amp;lastVirtModeExtraState=&amp;virtModeType=default&amp;virtMode=0&amp;nonVirtPosition=&amp;position=chr5:43868808-43912374","chr5:43868808-43912374")</f>
        <v>chr5:43868808-43912374</v>
      </c>
      <c r="F1716" t="s">
        <v>30</v>
      </c>
      <c r="G1716">
        <v>-0.85816425043851297</v>
      </c>
      <c r="H1716">
        <v>0.24478273656596</v>
      </c>
      <c r="I1716">
        <v>-3.50582015087191</v>
      </c>
      <c r="J1716">
        <v>4.5520269053859298E-4</v>
      </c>
      <c r="K1716">
        <v>3.5605252505854601E-3</v>
      </c>
      <c r="L1716" t="s">
        <v>26</v>
      </c>
      <c r="M1716" t="s">
        <v>27</v>
      </c>
      <c r="N1716">
        <v>71.531369025904297</v>
      </c>
      <c r="O1716">
        <v>99.112129790519404</v>
      </c>
      <c r="P1716">
        <v>50.845798452442999</v>
      </c>
      <c r="Q1716">
        <v>129.17587067332801</v>
      </c>
      <c r="R1716">
        <v>89.504160209829294</v>
      </c>
      <c r="S1716">
        <v>78.656358488400798</v>
      </c>
      <c r="T1716">
        <v>59.578411302556397</v>
      </c>
      <c r="U1716">
        <v>32.118851188283003</v>
      </c>
      <c r="V1716">
        <v>54.438368167432998</v>
      </c>
      <c r="W1716">
        <v>57.247563151499499</v>
      </c>
    </row>
    <row r="1717" spans="1:23" x14ac:dyDescent="0.2">
      <c r="A1717" t="s">
        <v>3441</v>
      </c>
      <c r="B1717" s="3" t="str">
        <f>HYPERLINK("http://www.ncbi.nlm.nih.gov/gene/320951","Pisd")</f>
        <v>Pisd</v>
      </c>
      <c r="C1717">
        <v>320951</v>
      </c>
      <c r="D1717" t="s">
        <v>3442</v>
      </c>
      <c r="E1717" s="3" t="str">
        <f>HYPERLINK("http://genome.ucsc.edu/cgi-bin/hgTracks?db=mm10&amp;lastVirtModeType=default&amp;lastVirtModeExtraState=&amp;virtModeType=default&amp;virtMode=0&amp;nonVirtPosition=&amp;position=chr5:32736313-32785626","chr5:32736313-32785626")</f>
        <v>chr5:32736313-32785626</v>
      </c>
      <c r="F1717" t="s">
        <v>25</v>
      </c>
      <c r="G1717">
        <v>-0.66177746927787195</v>
      </c>
      <c r="H1717">
        <v>0.18880557590254901</v>
      </c>
      <c r="I1717">
        <v>-3.50507375703484</v>
      </c>
      <c r="J1717">
        <v>4.5648080143874202E-4</v>
      </c>
      <c r="K1717">
        <v>3.56843806892364E-3</v>
      </c>
      <c r="L1717" t="s">
        <v>26</v>
      </c>
      <c r="M1717" t="s">
        <v>27</v>
      </c>
      <c r="N1717">
        <v>148.183095264537</v>
      </c>
      <c r="O1717">
        <v>190.48878891717899</v>
      </c>
      <c r="P1717">
        <v>116.45382502505601</v>
      </c>
      <c r="Q1717">
        <v>177.060029629821</v>
      </c>
      <c r="R1717">
        <v>195.69553672996599</v>
      </c>
      <c r="S1717">
        <v>198.71080039175001</v>
      </c>
      <c r="T1717">
        <v>100.825003742788</v>
      </c>
      <c r="U1717">
        <v>152.02922895787299</v>
      </c>
      <c r="V1717">
        <v>129.47503780362501</v>
      </c>
      <c r="W1717">
        <v>83.486029595936799</v>
      </c>
    </row>
    <row r="1718" spans="1:23" x14ac:dyDescent="0.2">
      <c r="A1718" t="s">
        <v>3443</v>
      </c>
      <c r="B1718" s="3" t="str">
        <f>HYPERLINK("http://www.ncbi.nlm.nih.gov/gene/76074","Gbp8")</f>
        <v>Gbp8</v>
      </c>
      <c r="C1718">
        <v>76074</v>
      </c>
      <c r="D1718" t="s">
        <v>3444</v>
      </c>
      <c r="E1718" s="3" t="str">
        <f>HYPERLINK("http://genome.ucsc.edu/cgi-bin/hgTracks?db=mm10&amp;lastVirtModeType=default&amp;lastVirtModeExtraState=&amp;virtModeType=default&amp;virtMode=0&amp;nonVirtPosition=&amp;position=chr5:105014152-105053561","chr5:105014152-105053561")</f>
        <v>chr5:105014152-105053561</v>
      </c>
      <c r="F1718" t="s">
        <v>25</v>
      </c>
      <c r="G1718">
        <v>1.3981646649797601</v>
      </c>
      <c r="H1718">
        <v>0.39894933010892603</v>
      </c>
      <c r="I1718">
        <v>3.5046171517521199</v>
      </c>
      <c r="J1718">
        <v>4.57264333905053E-4</v>
      </c>
      <c r="K1718">
        <v>3.5724776518801398E-3</v>
      </c>
      <c r="L1718" t="s">
        <v>26</v>
      </c>
      <c r="M1718" t="s">
        <v>27</v>
      </c>
      <c r="N1718">
        <v>14.6392381643709</v>
      </c>
      <c r="O1718">
        <v>3.3175585436611899</v>
      </c>
      <c r="P1718">
        <v>23.130497879903199</v>
      </c>
      <c r="Q1718">
        <v>6.1247180060629702</v>
      </c>
      <c r="R1718">
        <v>2.2755294968600701</v>
      </c>
      <c r="S1718">
        <v>1.5524281280605401</v>
      </c>
      <c r="T1718">
        <v>41.246592440231403</v>
      </c>
      <c r="U1718">
        <v>4.2825134917710699</v>
      </c>
      <c r="V1718">
        <v>8.8278434866107602</v>
      </c>
      <c r="W1718">
        <v>38.165042100999699</v>
      </c>
    </row>
    <row r="1719" spans="1:23" x14ac:dyDescent="0.2">
      <c r="A1719" t="s">
        <v>3445</v>
      </c>
      <c r="B1719" s="3" t="str">
        <f>HYPERLINK("http://www.ncbi.nlm.nih.gov/gene/78618","Acap2")</f>
        <v>Acap2</v>
      </c>
      <c r="C1719">
        <v>78618</v>
      </c>
      <c r="D1719" t="s">
        <v>3446</v>
      </c>
      <c r="E1719" s="3" t="str">
        <f>HYPERLINK("http://genome.ucsc.edu/cgi-bin/hgTracks?db=mm10&amp;lastVirtModeType=default&amp;lastVirtModeExtraState=&amp;virtModeType=default&amp;virtMode=0&amp;nonVirtPosition=&amp;position=chr16:31092412-31201238","chr16:31092412-31201238")</f>
        <v>chr16:31092412-31201238</v>
      </c>
      <c r="F1719" t="s">
        <v>25</v>
      </c>
      <c r="G1719">
        <v>-0.36097899895971802</v>
      </c>
      <c r="H1719">
        <v>0.103017968218045</v>
      </c>
      <c r="I1719">
        <v>-3.5040392001876799</v>
      </c>
      <c r="J1719">
        <v>4.5825789560880598E-4</v>
      </c>
      <c r="K1719">
        <v>3.5781524665291602E-3</v>
      </c>
      <c r="L1719" t="s">
        <v>26</v>
      </c>
      <c r="M1719" t="s">
        <v>27</v>
      </c>
      <c r="N1719">
        <v>604.74045010080795</v>
      </c>
      <c r="O1719">
        <v>693.95602515971802</v>
      </c>
      <c r="P1719">
        <v>537.82876880662502</v>
      </c>
      <c r="Q1719">
        <v>659.24237447077803</v>
      </c>
      <c r="R1719">
        <v>722.48061525307196</v>
      </c>
      <c r="S1719">
        <v>700.14508575530499</v>
      </c>
      <c r="T1719">
        <v>554.53752058533303</v>
      </c>
      <c r="U1719">
        <v>496.77156504544399</v>
      </c>
      <c r="V1719">
        <v>556.15413965647804</v>
      </c>
      <c r="W1719">
        <v>543.85184993924497</v>
      </c>
    </row>
    <row r="1720" spans="1:23" x14ac:dyDescent="0.2">
      <c r="A1720" t="s">
        <v>3447</v>
      </c>
      <c r="B1720" s="3" t="str">
        <f>HYPERLINK("http://www.ncbi.nlm.nih.gov/gene/12868","Cox8a")</f>
        <v>Cox8a</v>
      </c>
      <c r="C1720">
        <v>12868</v>
      </c>
      <c r="D1720" t="s">
        <v>3448</v>
      </c>
      <c r="E1720" s="3" t="str">
        <f>HYPERLINK("http://genome.ucsc.edu/cgi-bin/hgTracks?db=mm10&amp;lastVirtModeType=default&amp;lastVirtModeExtraState=&amp;virtModeType=default&amp;virtMode=0&amp;nonVirtPosition=&amp;position=chr19:7215157-7217616","chr19:7215157-7217616")</f>
        <v>chr19:7215157-7217616</v>
      </c>
      <c r="F1720" t="s">
        <v>25</v>
      </c>
      <c r="G1720">
        <v>-0.61200823282083505</v>
      </c>
      <c r="H1720">
        <v>0.17467954808845201</v>
      </c>
      <c r="I1720">
        <v>-3.5036055423668402</v>
      </c>
      <c r="J1720">
        <v>4.59004723084204E-4</v>
      </c>
      <c r="K1720">
        <v>3.5810436309671599E-3</v>
      </c>
      <c r="L1720" t="s">
        <v>26</v>
      </c>
      <c r="M1720" t="s">
        <v>27</v>
      </c>
      <c r="N1720">
        <v>247.84013677836401</v>
      </c>
      <c r="O1720">
        <v>311.26512581031699</v>
      </c>
      <c r="P1720">
        <v>200.27139500440001</v>
      </c>
      <c r="Q1720">
        <v>237.75041714444501</v>
      </c>
      <c r="R1720">
        <v>336.399110619147</v>
      </c>
      <c r="S1720">
        <v>359.64584966735902</v>
      </c>
      <c r="T1720">
        <v>192.48409805441301</v>
      </c>
      <c r="U1720">
        <v>229.11447180975199</v>
      </c>
      <c r="V1720">
        <v>174.349908860563</v>
      </c>
      <c r="W1720">
        <v>205.13710129287301</v>
      </c>
    </row>
    <row r="1721" spans="1:23" x14ac:dyDescent="0.2">
      <c r="A1721" t="s">
        <v>3449</v>
      </c>
      <c r="B1721" s="3" t="str">
        <f>HYPERLINK("http://www.ncbi.nlm.nih.gov/gene/16998","Ltbp3")</f>
        <v>Ltbp3</v>
      </c>
      <c r="C1721">
        <v>16998</v>
      </c>
      <c r="D1721" t="s">
        <v>3450</v>
      </c>
      <c r="E1721" s="3" t="str">
        <f>HYPERLINK("http://genome.ucsc.edu/cgi-bin/hgTracks?db=mm10&amp;lastVirtModeType=default&amp;lastVirtModeExtraState=&amp;virtModeType=default&amp;virtMode=0&amp;nonVirtPosition=&amp;position=chr19:5740903-5758532","chr19:5740903-5758532")</f>
        <v>chr19:5740903-5758532</v>
      </c>
      <c r="F1721" t="s">
        <v>30</v>
      </c>
      <c r="G1721">
        <v>0.73280448899655504</v>
      </c>
      <c r="H1721">
        <v>0.20916272891697901</v>
      </c>
      <c r="I1721">
        <v>3.5035137129398501</v>
      </c>
      <c r="J1721">
        <v>4.5916301354421703E-4</v>
      </c>
      <c r="K1721">
        <v>3.5810436309671599E-3</v>
      </c>
      <c r="L1721" t="s">
        <v>26</v>
      </c>
      <c r="M1721" t="s">
        <v>27</v>
      </c>
      <c r="N1721">
        <v>328.06546303240202</v>
      </c>
      <c r="O1721">
        <v>232.62685352668899</v>
      </c>
      <c r="P1721">
        <v>399.64442016168698</v>
      </c>
      <c r="Q1721">
        <v>234.96645441441601</v>
      </c>
      <c r="R1721">
        <v>148.288672212048</v>
      </c>
      <c r="S1721">
        <v>314.62543395360302</v>
      </c>
      <c r="T1721">
        <v>339.13864895301401</v>
      </c>
      <c r="U1721">
        <v>443.24014639830602</v>
      </c>
      <c r="V1721">
        <v>417.85125836624297</v>
      </c>
      <c r="W1721">
        <v>398.347626929184</v>
      </c>
    </row>
    <row r="1722" spans="1:23" x14ac:dyDescent="0.2">
      <c r="A1722" t="s">
        <v>3451</v>
      </c>
      <c r="B1722" s="3" t="str">
        <f>HYPERLINK("http://www.ncbi.nlm.nih.gov/gene/110446","Acat1")</f>
        <v>Acat1</v>
      </c>
      <c r="C1722">
        <v>110446</v>
      </c>
      <c r="D1722" t="s">
        <v>3452</v>
      </c>
      <c r="E1722" s="3" t="str">
        <f>HYPERLINK("http://genome.ucsc.edu/cgi-bin/hgTracks?db=mm10&amp;lastVirtModeType=default&amp;lastVirtModeExtraState=&amp;virtModeType=default&amp;virtMode=0&amp;nonVirtPosition=&amp;position=chr9:53580521-53610350","chr9:53580521-53610350")</f>
        <v>chr9:53580521-53610350</v>
      </c>
      <c r="F1722" t="s">
        <v>25</v>
      </c>
      <c r="G1722">
        <v>-0.57915144920652595</v>
      </c>
      <c r="H1722">
        <v>0.16531782288004301</v>
      </c>
      <c r="I1722">
        <v>-3.5032608046548401</v>
      </c>
      <c r="J1722">
        <v>4.59599226138892E-4</v>
      </c>
      <c r="K1722">
        <v>3.58235927661578E-3</v>
      </c>
      <c r="L1722" t="s">
        <v>26</v>
      </c>
      <c r="M1722" t="s">
        <v>27</v>
      </c>
      <c r="N1722">
        <v>565.11031291055701</v>
      </c>
      <c r="O1722">
        <v>701.82875542115596</v>
      </c>
      <c r="P1722">
        <v>462.57148102760902</v>
      </c>
      <c r="Q1722">
        <v>519.487445423341</v>
      </c>
      <c r="R1722">
        <v>856.35760065167199</v>
      </c>
      <c r="S1722">
        <v>729.64122018845501</v>
      </c>
      <c r="T1722">
        <v>481.210245136033</v>
      </c>
      <c r="U1722">
        <v>466.793970603047</v>
      </c>
      <c r="V1722">
        <v>469.34701203813898</v>
      </c>
      <c r="W1722">
        <v>432.93469633321502</v>
      </c>
    </row>
    <row r="1723" spans="1:23" x14ac:dyDescent="0.2">
      <c r="A1723" t="s">
        <v>3453</v>
      </c>
      <c r="B1723" s="3" t="str">
        <f>HYPERLINK("http://www.ncbi.nlm.nih.gov/gene/18162","Npr3")</f>
        <v>Npr3</v>
      </c>
      <c r="C1723">
        <v>18162</v>
      </c>
      <c r="D1723" t="s">
        <v>3454</v>
      </c>
      <c r="E1723" s="3" t="str">
        <f>HYPERLINK("http://genome.ucsc.edu/cgi-bin/hgTracks?db=mm10&amp;lastVirtModeType=default&amp;lastVirtModeExtraState=&amp;virtModeType=default&amp;virtMode=0&amp;nonVirtPosition=&amp;position=chr15:11839895-11907371","chr15:11839895-11907371")</f>
        <v>chr15:11839895-11907371</v>
      </c>
      <c r="F1723" t="s">
        <v>25</v>
      </c>
      <c r="G1723">
        <v>1.22593980723393</v>
      </c>
      <c r="H1723">
        <v>0.349998886884203</v>
      </c>
      <c r="I1723">
        <v>3.50269630325861</v>
      </c>
      <c r="J1723">
        <v>4.6057426522472499E-4</v>
      </c>
      <c r="K1723">
        <v>3.5878708467855101E-3</v>
      </c>
      <c r="L1723" t="s">
        <v>26</v>
      </c>
      <c r="M1723" t="s">
        <v>27</v>
      </c>
      <c r="N1723">
        <v>21.581187431583999</v>
      </c>
      <c r="O1723">
        <v>9.3275955678023106</v>
      </c>
      <c r="P1723">
        <v>30.7713813294204</v>
      </c>
      <c r="Q1723">
        <v>5.5679254600572499</v>
      </c>
      <c r="R1723">
        <v>15.1701966457338</v>
      </c>
      <c r="S1723">
        <v>7.2446645976158699</v>
      </c>
      <c r="T1723">
        <v>41.246592440231403</v>
      </c>
      <c r="U1723">
        <v>25.695080950626402</v>
      </c>
      <c r="V1723">
        <v>38.253988441979999</v>
      </c>
      <c r="W1723">
        <v>17.889863484843598</v>
      </c>
    </row>
    <row r="1724" spans="1:23" x14ac:dyDescent="0.2">
      <c r="A1724" t="s">
        <v>3455</v>
      </c>
      <c r="B1724" s="3" t="str">
        <f>HYPERLINK("http://www.ncbi.nlm.nih.gov/gene/216739","Acsl6")</f>
        <v>Acsl6</v>
      </c>
      <c r="C1724">
        <v>216739</v>
      </c>
      <c r="D1724" t="s">
        <v>3456</v>
      </c>
      <c r="E1724" s="3" t="str">
        <f>HYPERLINK("http://genome.ucsc.edu/cgi-bin/hgTracks?db=mm10&amp;lastVirtModeType=default&amp;lastVirtModeExtraState=&amp;virtModeType=default&amp;virtMode=0&amp;nonVirtPosition=&amp;position=chr11:54304203-54361539","chr11:54304203-54361539")</f>
        <v>chr11:54304203-54361539</v>
      </c>
      <c r="F1724" t="s">
        <v>30</v>
      </c>
      <c r="G1724">
        <v>-0.58050886886840103</v>
      </c>
      <c r="H1724">
        <v>0.165848272305823</v>
      </c>
      <c r="I1724">
        <v>-3.5002406765983598</v>
      </c>
      <c r="J1724">
        <v>4.6483826634664702E-4</v>
      </c>
      <c r="K1724">
        <v>3.6189821073534601E-3</v>
      </c>
      <c r="L1724" t="s">
        <v>26</v>
      </c>
      <c r="M1724" t="s">
        <v>27</v>
      </c>
      <c r="N1724">
        <v>358.62237959941098</v>
      </c>
      <c r="O1724">
        <v>447.53556387142498</v>
      </c>
      <c r="P1724">
        <v>291.93749139540103</v>
      </c>
      <c r="Q1724">
        <v>443.20686662055698</v>
      </c>
      <c r="R1724">
        <v>530.95688260068198</v>
      </c>
      <c r="S1724">
        <v>368.44294239303599</v>
      </c>
      <c r="T1724">
        <v>261.22841878813199</v>
      </c>
      <c r="U1724">
        <v>293.352174186318</v>
      </c>
      <c r="V1724">
        <v>258.950075607249</v>
      </c>
      <c r="W1724">
        <v>354.21929699990301</v>
      </c>
    </row>
    <row r="1725" spans="1:23" x14ac:dyDescent="0.2">
      <c r="A1725" t="s">
        <v>3457</v>
      </c>
      <c r="B1725" s="3" t="str">
        <f>HYPERLINK("http://www.ncbi.nlm.nih.gov/gene/66624","Spcs2")</f>
        <v>Spcs2</v>
      </c>
      <c r="C1725">
        <v>66624</v>
      </c>
      <c r="D1725" t="s">
        <v>3458</v>
      </c>
      <c r="E1725" s="3" t="str">
        <f>HYPERLINK("http://genome.ucsc.edu/cgi-bin/hgTracks?db=mm10&amp;lastVirtModeType=default&amp;lastVirtModeExtraState=&amp;virtModeType=default&amp;virtMode=0&amp;nonVirtPosition=&amp;position=chr7:99837568-99858883","chr7:99837568-99858883")</f>
        <v>chr7:99837568-99858883</v>
      </c>
      <c r="F1725" t="s">
        <v>25</v>
      </c>
      <c r="G1725">
        <v>-0.4323928092498</v>
      </c>
      <c r="H1725">
        <v>0.12356848068892801</v>
      </c>
      <c r="I1725">
        <v>-3.4992160366388898</v>
      </c>
      <c r="J1725">
        <v>4.6662833938964098E-4</v>
      </c>
      <c r="K1725">
        <v>3.6308077238621098E-3</v>
      </c>
      <c r="L1725" t="s">
        <v>26</v>
      </c>
      <c r="M1725" t="s">
        <v>27</v>
      </c>
      <c r="N1725">
        <v>467.64966219383598</v>
      </c>
      <c r="O1725">
        <v>555.69423671071604</v>
      </c>
      <c r="P1725">
        <v>401.616231306175</v>
      </c>
      <c r="Q1725">
        <v>600.77915714017695</v>
      </c>
      <c r="R1725">
        <v>530.19837276839598</v>
      </c>
      <c r="S1725">
        <v>536.10518022357405</v>
      </c>
      <c r="T1725">
        <v>357.47046781533902</v>
      </c>
      <c r="U1725">
        <v>381.14370076762498</v>
      </c>
      <c r="V1725">
        <v>457.57655405599098</v>
      </c>
      <c r="W1725">
        <v>410.27420258574602</v>
      </c>
    </row>
    <row r="1726" spans="1:23" x14ac:dyDescent="0.2">
      <c r="A1726" t="s">
        <v>3459</v>
      </c>
      <c r="B1726" s="3" t="str">
        <f>HYPERLINK("http://www.ncbi.nlm.nih.gov/gene/50755","Fbxo18")</f>
        <v>Fbxo18</v>
      </c>
      <c r="C1726">
        <v>50755</v>
      </c>
      <c r="D1726" t="s">
        <v>3460</v>
      </c>
      <c r="E1726" s="3" t="str">
        <f>HYPERLINK("http://genome.ucsc.edu/cgi-bin/hgTracks?db=mm10&amp;lastVirtModeType=default&amp;lastVirtModeExtraState=&amp;virtModeType=default&amp;virtMode=0&amp;nonVirtPosition=&amp;position=chr2:11742572-11777527","chr2:11742572-11777527")</f>
        <v>chr2:11742572-11777527</v>
      </c>
      <c r="F1726" t="s">
        <v>25</v>
      </c>
      <c r="G1726">
        <v>-0.42292084363271698</v>
      </c>
      <c r="H1726">
        <v>0.12086867157924699</v>
      </c>
      <c r="I1726">
        <v>-3.4990112665830901</v>
      </c>
      <c r="J1726">
        <v>4.6698684827446799E-4</v>
      </c>
      <c r="K1726">
        <v>3.6314871575164999E-3</v>
      </c>
      <c r="L1726" t="s">
        <v>26</v>
      </c>
      <c r="M1726" t="s">
        <v>27</v>
      </c>
      <c r="N1726">
        <v>434.43318767679199</v>
      </c>
      <c r="O1726">
        <v>511.93181866168499</v>
      </c>
      <c r="P1726">
        <v>376.30921443812201</v>
      </c>
      <c r="Q1726">
        <v>554.00858327569597</v>
      </c>
      <c r="R1726">
        <v>465.34578210788402</v>
      </c>
      <c r="S1726">
        <v>516.441090601474</v>
      </c>
      <c r="T1726">
        <v>371.21933196208198</v>
      </c>
      <c r="U1726">
        <v>355.44861981699898</v>
      </c>
      <c r="V1726">
        <v>411.23037575128501</v>
      </c>
      <c r="W1726">
        <v>367.33853022212202</v>
      </c>
    </row>
    <row r="1727" spans="1:23" x14ac:dyDescent="0.2">
      <c r="A1727" t="s">
        <v>3461</v>
      </c>
      <c r="B1727" s="3" t="str">
        <f>HYPERLINK("http://www.ncbi.nlm.nih.gov/gene/21417","Zeb1")</f>
        <v>Zeb1</v>
      </c>
      <c r="C1727">
        <v>21417</v>
      </c>
      <c r="D1727" t="s">
        <v>3462</v>
      </c>
      <c r="E1727" s="3" t="str">
        <f>HYPERLINK("http://genome.ucsc.edu/cgi-bin/hgTracks?db=mm10&amp;lastVirtModeType=default&amp;lastVirtModeExtraState=&amp;virtModeType=default&amp;virtMode=0&amp;nonVirtPosition=&amp;position=chr18:5591859-5775468","chr18:5591859-5775468")</f>
        <v>chr18:5591859-5775468</v>
      </c>
      <c r="F1727" t="s">
        <v>30</v>
      </c>
      <c r="G1727">
        <v>-0.61906359725197502</v>
      </c>
      <c r="H1727">
        <v>0.17703760783272399</v>
      </c>
      <c r="I1727">
        <v>-3.4967914717696802</v>
      </c>
      <c r="J1727">
        <v>4.7088976442278099E-4</v>
      </c>
      <c r="K1727">
        <v>3.6597126148493701E-3</v>
      </c>
      <c r="L1727" t="s">
        <v>26</v>
      </c>
      <c r="M1727" t="s">
        <v>27</v>
      </c>
      <c r="N1727">
        <v>3000.1933730843498</v>
      </c>
      <c r="O1727">
        <v>3782.4054695473201</v>
      </c>
      <c r="P1727">
        <v>2413.5343007371198</v>
      </c>
      <c r="Q1727">
        <v>4682.6253119081503</v>
      </c>
      <c r="R1727">
        <v>3191.8093742623901</v>
      </c>
      <c r="S1727">
        <v>3472.7817224714299</v>
      </c>
      <c r="T1727">
        <v>3033.9160217148001</v>
      </c>
      <c r="U1727">
        <v>2411.0550958671101</v>
      </c>
      <c r="V1727">
        <v>2092.1989063267501</v>
      </c>
      <c r="W1727">
        <v>2116.9671790398302</v>
      </c>
    </row>
    <row r="1728" spans="1:23" x14ac:dyDescent="0.2">
      <c r="A1728" t="s">
        <v>3463</v>
      </c>
      <c r="B1728" s="3" t="str">
        <f>HYPERLINK("http://www.ncbi.nlm.nih.gov/gene/20813","Srp14")</f>
        <v>Srp14</v>
      </c>
      <c r="C1728">
        <v>20813</v>
      </c>
      <c r="D1728" t="s">
        <v>3464</v>
      </c>
      <c r="E1728" s="3" t="str">
        <f>HYPERLINK("http://genome.ucsc.edu/cgi-bin/hgTracks?db=mm10&amp;lastVirtModeType=default&amp;lastVirtModeExtraState=&amp;virtModeType=default&amp;virtMode=0&amp;nonVirtPosition=&amp;position=chr2:118475842-118479696","chr2:118475842-118479696")</f>
        <v>chr2:118475842-118479696</v>
      </c>
      <c r="F1728" t="s">
        <v>25</v>
      </c>
      <c r="G1728">
        <v>-0.45520048242046601</v>
      </c>
      <c r="H1728">
        <v>0.13018807330169199</v>
      </c>
      <c r="I1728">
        <v>-3.49648374752122</v>
      </c>
      <c r="J1728">
        <v>4.71433210652755E-4</v>
      </c>
      <c r="K1728">
        <v>3.6618109767117398E-3</v>
      </c>
      <c r="L1728" t="s">
        <v>26</v>
      </c>
      <c r="M1728" t="s">
        <v>27</v>
      </c>
      <c r="N1728">
        <v>253.852322036153</v>
      </c>
      <c r="O1728">
        <v>302.79685002945303</v>
      </c>
      <c r="P1728">
        <v>217.14392604117799</v>
      </c>
      <c r="Q1728">
        <v>301.224767389097</v>
      </c>
      <c r="R1728">
        <v>297.71510917252601</v>
      </c>
      <c r="S1728">
        <v>309.45067352673499</v>
      </c>
      <c r="T1728">
        <v>215.39887163231899</v>
      </c>
      <c r="U1728">
        <v>190.571850383813</v>
      </c>
      <c r="V1728">
        <v>213.33955092642699</v>
      </c>
      <c r="W1728">
        <v>249.26543122215401</v>
      </c>
    </row>
    <row r="1729" spans="1:23" x14ac:dyDescent="0.2">
      <c r="A1729" t="s">
        <v>3465</v>
      </c>
      <c r="B1729" s="3" t="str">
        <f>HYPERLINK("http://www.ncbi.nlm.nih.gov/gene/17064","Cd93")</f>
        <v>Cd93</v>
      </c>
      <c r="C1729">
        <v>17064</v>
      </c>
      <c r="D1729" t="s">
        <v>3466</v>
      </c>
      <c r="E1729" s="3" t="str">
        <f>HYPERLINK("http://genome.ucsc.edu/cgi-bin/hgTracks?db=mm10&amp;lastVirtModeType=default&amp;lastVirtModeExtraState=&amp;virtModeType=default&amp;virtMode=0&amp;nonVirtPosition=&amp;position=chr2:148436650-148443535","chr2:148436650-148443535")</f>
        <v>chr2:148436650-148443535</v>
      </c>
      <c r="F1729" t="s">
        <v>25</v>
      </c>
      <c r="G1729">
        <v>-0.76183797779768303</v>
      </c>
      <c r="H1729">
        <v>0.21790530650317499</v>
      </c>
      <c r="I1729">
        <v>-3.4961882756470799</v>
      </c>
      <c r="J1729">
        <v>4.7195556953522403E-4</v>
      </c>
      <c r="K1729">
        <v>3.66374320675141E-3</v>
      </c>
      <c r="L1729" t="s">
        <v>26</v>
      </c>
      <c r="M1729" t="s">
        <v>27</v>
      </c>
      <c r="N1729">
        <v>1118.02022697192</v>
      </c>
      <c r="O1729">
        <v>1491.2825824404899</v>
      </c>
      <c r="P1729">
        <v>838.07346037048399</v>
      </c>
      <c r="Q1729">
        <v>1201.55831428035</v>
      </c>
      <c r="R1729">
        <v>1129.4211402748799</v>
      </c>
      <c r="S1729">
        <v>2142.8682927662398</v>
      </c>
      <c r="T1729">
        <v>792.85116579555904</v>
      </c>
      <c r="U1729">
        <v>832.948874149473</v>
      </c>
      <c r="V1729">
        <v>1058.60556476941</v>
      </c>
      <c r="W1729">
        <v>667.88823676749405</v>
      </c>
    </row>
    <row r="1730" spans="1:23" x14ac:dyDescent="0.2">
      <c r="A1730" t="s">
        <v>3467</v>
      </c>
      <c r="B1730" s="3" t="str">
        <f>HYPERLINK("http://www.ncbi.nlm.nih.gov/gene/223701","Mkl1")</f>
        <v>Mkl1</v>
      </c>
      <c r="C1730">
        <v>223701</v>
      </c>
      <c r="D1730" t="s">
        <v>3468</v>
      </c>
      <c r="E1730" s="3" t="str">
        <f>HYPERLINK("http://genome.ucsc.edu/cgi-bin/hgTracks?db=mm10&amp;lastVirtModeType=default&amp;lastVirtModeExtraState=&amp;virtModeType=default&amp;virtMode=0&amp;nonVirtPosition=&amp;position=chr15:81012280-81105047","chr15:81012280-81105047")</f>
        <v>chr15:81012280-81105047</v>
      </c>
      <c r="F1730" t="s">
        <v>25</v>
      </c>
      <c r="G1730">
        <v>0.612310758605627</v>
      </c>
      <c r="H1730">
        <v>0.17521200732666301</v>
      </c>
      <c r="I1730">
        <v>3.4946849131409299</v>
      </c>
      <c r="J1730">
        <v>4.7462170694003298E-4</v>
      </c>
      <c r="K1730">
        <v>3.6823054910973198E-3</v>
      </c>
      <c r="L1730" t="s">
        <v>26</v>
      </c>
      <c r="M1730" t="s">
        <v>27</v>
      </c>
      <c r="N1730">
        <v>139.38916857868401</v>
      </c>
      <c r="O1730">
        <v>103.68542900049501</v>
      </c>
      <c r="P1730">
        <v>166.166973262326</v>
      </c>
      <c r="Q1730">
        <v>92.427562636950398</v>
      </c>
      <c r="R1730">
        <v>94.434474119692794</v>
      </c>
      <c r="S1730">
        <v>124.194250244843</v>
      </c>
      <c r="T1730">
        <v>192.48409805441301</v>
      </c>
      <c r="U1730">
        <v>171.30053967084299</v>
      </c>
      <c r="V1730">
        <v>143.45245665742499</v>
      </c>
      <c r="W1730">
        <v>157.43079866662401</v>
      </c>
    </row>
    <row r="1731" spans="1:23" x14ac:dyDescent="0.2">
      <c r="A1731" t="s">
        <v>3469</v>
      </c>
      <c r="B1731" s="3" t="str">
        <f>HYPERLINK("http://www.ncbi.nlm.nih.gov/gene/66257","Nicn1")</f>
        <v>Nicn1</v>
      </c>
      <c r="C1731">
        <v>66257</v>
      </c>
      <c r="D1731" t="s">
        <v>3470</v>
      </c>
      <c r="E1731" s="3" t="str">
        <f>HYPERLINK("http://genome.ucsc.edu/cgi-bin/hgTracks?db=mm10&amp;lastVirtModeType=default&amp;lastVirtModeExtraState=&amp;virtModeType=default&amp;virtMode=0&amp;nonVirtPosition=&amp;position=chr9:108290456-108296496","chr9:108290456-108296496")</f>
        <v>chr9:108290456-108296496</v>
      </c>
      <c r="F1731" t="s">
        <v>30</v>
      </c>
      <c r="G1731">
        <v>-0.63558548036457396</v>
      </c>
      <c r="H1731">
        <v>0.18193251170125599</v>
      </c>
      <c r="I1731">
        <v>-3.4935233643574599</v>
      </c>
      <c r="J1731">
        <v>4.7669126888271802E-4</v>
      </c>
      <c r="K1731">
        <v>3.6949384128446799E-3</v>
      </c>
      <c r="L1731" t="s">
        <v>26</v>
      </c>
      <c r="M1731" t="s">
        <v>27</v>
      </c>
      <c r="N1731">
        <v>143.357037710616</v>
      </c>
      <c r="O1731">
        <v>184.53180020529601</v>
      </c>
      <c r="P1731">
        <v>112.475965839607</v>
      </c>
      <c r="Q1731">
        <v>219.37626312625599</v>
      </c>
      <c r="R1731">
        <v>174.83651634208201</v>
      </c>
      <c r="S1731">
        <v>159.382621147549</v>
      </c>
      <c r="T1731">
        <v>91.659094311625296</v>
      </c>
      <c r="U1731">
        <v>107.062837294277</v>
      </c>
      <c r="V1731">
        <v>114.02631170205601</v>
      </c>
      <c r="W1731">
        <v>137.155620050468</v>
      </c>
    </row>
    <row r="1732" spans="1:23" x14ac:dyDescent="0.2">
      <c r="A1732" t="s">
        <v>3471</v>
      </c>
      <c r="B1732" s="3" t="str">
        <f>HYPERLINK("http://www.ncbi.nlm.nih.gov/gene/74356","4931428F04Rik")</f>
        <v>4931428F04Rik</v>
      </c>
      <c r="C1732">
        <v>74356</v>
      </c>
      <c r="D1732" t="s">
        <v>3472</v>
      </c>
      <c r="E1732" s="3" t="str">
        <f>HYPERLINK("http://genome.ucsc.edu/cgi-bin/hgTracks?db=mm10&amp;lastVirtModeType=default&amp;lastVirtModeExtraState=&amp;virtModeType=default&amp;virtMode=0&amp;nonVirtPosition=&amp;position=chr8:105280408-105289528","chr8:105280408-105289528")</f>
        <v>chr8:105280408-105289528</v>
      </c>
      <c r="F1732" t="s">
        <v>25</v>
      </c>
      <c r="G1732">
        <v>0.78702177600771805</v>
      </c>
      <c r="H1732">
        <v>0.225284232039381</v>
      </c>
      <c r="I1732">
        <v>3.4934614326232198</v>
      </c>
      <c r="J1732">
        <v>4.7680185030211301E-4</v>
      </c>
      <c r="K1732">
        <v>3.6949384128446799E-3</v>
      </c>
      <c r="L1732" t="s">
        <v>26</v>
      </c>
      <c r="M1732" t="s">
        <v>27</v>
      </c>
      <c r="N1732">
        <v>57.477769063374097</v>
      </c>
      <c r="O1732">
        <v>38.049173596231</v>
      </c>
      <c r="P1732">
        <v>72.049215663731502</v>
      </c>
      <c r="Q1732">
        <v>37.305100582383602</v>
      </c>
      <c r="R1732">
        <v>33.3744326206143</v>
      </c>
      <c r="S1732">
        <v>43.467987585695198</v>
      </c>
      <c r="T1732">
        <v>91.659094311625296</v>
      </c>
      <c r="U1732">
        <v>72.802729360108202</v>
      </c>
      <c r="V1732">
        <v>67.680133397349195</v>
      </c>
      <c r="W1732">
        <v>56.054905585843301</v>
      </c>
    </row>
    <row r="1733" spans="1:23" x14ac:dyDescent="0.2">
      <c r="A1733" t="s">
        <v>3473</v>
      </c>
      <c r="B1733" s="3" t="str">
        <f>HYPERLINK("http://www.ncbi.nlm.nih.gov/gene/233977","Ppfia1")</f>
        <v>Ppfia1</v>
      </c>
      <c r="C1733">
        <v>233977</v>
      </c>
      <c r="D1733" t="s">
        <v>3474</v>
      </c>
      <c r="E1733" s="3" t="str">
        <f>HYPERLINK("http://genome.ucsc.edu/cgi-bin/hgTracks?db=mm10&amp;lastVirtModeType=default&amp;lastVirtModeExtraState=&amp;virtModeType=default&amp;virtMode=0&amp;nonVirtPosition=&amp;position=chr7:144476754-144553729","chr7:144476754-144553729")</f>
        <v>chr7:144476754-144553729</v>
      </c>
      <c r="F1733" t="s">
        <v>25</v>
      </c>
      <c r="G1733">
        <v>0.51475527331837501</v>
      </c>
      <c r="H1733">
        <v>0.14736645354599701</v>
      </c>
      <c r="I1733">
        <v>3.4930288470144002</v>
      </c>
      <c r="J1733">
        <v>4.7757491555219399E-4</v>
      </c>
      <c r="K1733">
        <v>3.6987887184265099E-3</v>
      </c>
      <c r="L1733" t="s">
        <v>26</v>
      </c>
      <c r="M1733" t="s">
        <v>27</v>
      </c>
      <c r="N1733">
        <v>382.499014500567</v>
      </c>
      <c r="O1733">
        <v>305.78282116427101</v>
      </c>
      <c r="P1733">
        <v>440.03615950278902</v>
      </c>
      <c r="Q1733">
        <v>242.20475751249</v>
      </c>
      <c r="R1733">
        <v>328.43475738013598</v>
      </c>
      <c r="S1733">
        <v>346.70894860018802</v>
      </c>
      <c r="T1733">
        <v>394.13410553998898</v>
      </c>
      <c r="U1733">
        <v>466.793970603047</v>
      </c>
      <c r="V1733">
        <v>453.16263231268601</v>
      </c>
      <c r="W1733">
        <v>446.05392955543402</v>
      </c>
    </row>
    <row r="1734" spans="1:23" x14ac:dyDescent="0.2">
      <c r="A1734" t="s">
        <v>3475</v>
      </c>
      <c r="B1734" s="3" t="str">
        <f>HYPERLINK("http://www.ncbi.nlm.nih.gov/gene/382253","Cdkl5")</f>
        <v>Cdkl5</v>
      </c>
      <c r="C1734">
        <v>382253</v>
      </c>
      <c r="D1734" t="s">
        <v>3476</v>
      </c>
      <c r="E1734" s="3" t="str">
        <f>HYPERLINK("http://genome.ucsc.edu/cgi-bin/hgTracks?db=mm10&amp;lastVirtModeType=default&amp;lastVirtModeExtraState=&amp;virtModeType=default&amp;virtMode=0&amp;nonVirtPosition=&amp;position=chrX:160784307-160994681","chrX:160784307-160994681")</f>
        <v>chrX:160784307-160994681</v>
      </c>
      <c r="F1734" t="s">
        <v>25</v>
      </c>
      <c r="G1734">
        <v>-0.53641266651715602</v>
      </c>
      <c r="H1734">
        <v>0.153684672390588</v>
      </c>
      <c r="I1734">
        <v>-3.4903459022502199</v>
      </c>
      <c r="J1734">
        <v>4.8239572527323198E-4</v>
      </c>
      <c r="K1734">
        <v>3.7339659867825698E-3</v>
      </c>
      <c r="L1734" t="s">
        <v>26</v>
      </c>
      <c r="M1734" t="s">
        <v>27</v>
      </c>
      <c r="N1734">
        <v>270.55870319201199</v>
      </c>
      <c r="O1734">
        <v>326.95361084729399</v>
      </c>
      <c r="P1734">
        <v>228.26252245054999</v>
      </c>
      <c r="Q1734">
        <v>340.75703815550401</v>
      </c>
      <c r="R1734">
        <v>310.98903123754297</v>
      </c>
      <c r="S1734">
        <v>329.11476314883498</v>
      </c>
      <c r="T1734">
        <v>302.47501122836297</v>
      </c>
      <c r="U1734">
        <v>169.15928292495701</v>
      </c>
      <c r="V1734">
        <v>214.810858174195</v>
      </c>
      <c r="W1734">
        <v>226.60493747468601</v>
      </c>
    </row>
    <row r="1735" spans="1:23" x14ac:dyDescent="0.2">
      <c r="A1735" t="s">
        <v>3477</v>
      </c>
      <c r="B1735" s="3" t="str">
        <f>HYPERLINK("http://www.ncbi.nlm.nih.gov/gene/67860","S100a16")</f>
        <v>S100a16</v>
      </c>
      <c r="C1735">
        <v>67860</v>
      </c>
      <c r="D1735" t="s">
        <v>3478</v>
      </c>
      <c r="E1735" s="3" t="str">
        <f>HYPERLINK("http://genome.ucsc.edu/cgi-bin/hgTracks?db=mm10&amp;lastVirtModeType=default&amp;lastVirtModeExtraState=&amp;virtModeType=default&amp;virtMode=0&amp;nonVirtPosition=&amp;position=chr3:90541222-90543151","chr3:90541222-90543151")</f>
        <v>chr3:90541222-90543151</v>
      </c>
      <c r="F1735" t="s">
        <v>30</v>
      </c>
      <c r="G1735">
        <v>-0.88635074890144305</v>
      </c>
      <c r="H1735">
        <v>0.25399725506141602</v>
      </c>
      <c r="I1735">
        <v>-3.4896075892124299</v>
      </c>
      <c r="J1735">
        <v>4.8373029369967399E-4</v>
      </c>
      <c r="K1735">
        <v>3.7417373274286699E-3</v>
      </c>
      <c r="L1735" t="s">
        <v>26</v>
      </c>
      <c r="M1735" t="s">
        <v>27</v>
      </c>
      <c r="N1735">
        <v>266.91184211057299</v>
      </c>
      <c r="O1735">
        <v>375.24815257183002</v>
      </c>
      <c r="P1735">
        <v>185.65960926463001</v>
      </c>
      <c r="Q1735">
        <v>570.712359655868</v>
      </c>
      <c r="R1735">
        <v>308.713501740683</v>
      </c>
      <c r="S1735">
        <v>246.318596318939</v>
      </c>
      <c r="T1735">
        <v>178.735233907669</v>
      </c>
      <c r="U1735">
        <v>124.192891261361</v>
      </c>
      <c r="V1735">
        <v>230.995237899648</v>
      </c>
      <c r="W1735">
        <v>208.71507398984201</v>
      </c>
    </row>
    <row r="1736" spans="1:23" x14ac:dyDescent="0.2">
      <c r="A1736" t="s">
        <v>3479</v>
      </c>
      <c r="B1736" s="3" t="str">
        <f>HYPERLINK("http://www.ncbi.nlm.nih.gov/gene/23802","Amfr")</f>
        <v>Amfr</v>
      </c>
      <c r="C1736">
        <v>23802</v>
      </c>
      <c r="D1736" t="s">
        <v>3480</v>
      </c>
      <c r="E1736" s="3" t="str">
        <f>HYPERLINK("http://genome.ucsc.edu/cgi-bin/hgTracks?db=mm10&amp;lastVirtModeType=default&amp;lastVirtModeExtraState=&amp;virtModeType=default&amp;virtMode=0&amp;nonVirtPosition=&amp;position=chr8:93971587-94012640","chr8:93971587-94012640")</f>
        <v>chr8:93971587-94012640</v>
      </c>
      <c r="F1736" t="s">
        <v>25</v>
      </c>
      <c r="G1736">
        <v>-0.42734732364227701</v>
      </c>
      <c r="H1736">
        <v>0.122471739573231</v>
      </c>
      <c r="I1736">
        <v>-3.48935456564449</v>
      </c>
      <c r="J1736">
        <v>4.8418844867437601E-4</v>
      </c>
      <c r="K1736">
        <v>3.7417373274286699E-3</v>
      </c>
      <c r="L1736" t="s">
        <v>26</v>
      </c>
      <c r="M1736" t="s">
        <v>27</v>
      </c>
      <c r="N1736">
        <v>818.40951695126296</v>
      </c>
      <c r="O1736">
        <v>964.43425018307005</v>
      </c>
      <c r="P1736">
        <v>708.89096702740801</v>
      </c>
      <c r="Q1736">
        <v>1007.79450827036</v>
      </c>
      <c r="R1736">
        <v>1038.39996040048</v>
      </c>
      <c r="S1736">
        <v>847.10828187837001</v>
      </c>
      <c r="T1736">
        <v>646.19661489695795</v>
      </c>
      <c r="U1736">
        <v>777.27619875644905</v>
      </c>
      <c r="V1736">
        <v>743.01016012307298</v>
      </c>
      <c r="W1736">
        <v>669.08089433315104</v>
      </c>
    </row>
    <row r="1737" spans="1:23" x14ac:dyDescent="0.2">
      <c r="A1737" t="s">
        <v>3481</v>
      </c>
      <c r="B1737" s="3" t="str">
        <f>HYPERLINK("http://www.ncbi.nlm.nih.gov/gene/72293","Nkd2")</f>
        <v>Nkd2</v>
      </c>
      <c r="C1737">
        <v>72293</v>
      </c>
      <c r="D1737" t="s">
        <v>3482</v>
      </c>
      <c r="E1737" s="3" t="str">
        <f>HYPERLINK("http://genome.ucsc.edu/cgi-bin/hgTracks?db=mm10&amp;lastVirtModeType=default&amp;lastVirtModeExtraState=&amp;virtModeType=default&amp;virtMode=0&amp;nonVirtPosition=&amp;position=chr13:73819327-73847631","chr13:73819327-73847631")</f>
        <v>chr13:73819327-73847631</v>
      </c>
      <c r="F1737" t="s">
        <v>25</v>
      </c>
      <c r="G1737">
        <v>0.781920015775041</v>
      </c>
      <c r="H1737">
        <v>0.224089047957542</v>
      </c>
      <c r="I1737">
        <v>3.4893272246093501</v>
      </c>
      <c r="J1737">
        <v>4.8423797986960602E-4</v>
      </c>
      <c r="K1737">
        <v>3.7417373274286699E-3</v>
      </c>
      <c r="L1737" t="s">
        <v>26</v>
      </c>
      <c r="M1737" t="s">
        <v>27</v>
      </c>
      <c r="N1737">
        <v>51.699668420644898</v>
      </c>
      <c r="O1737">
        <v>36.016145673056897</v>
      </c>
      <c r="P1737">
        <v>63.462310481335898</v>
      </c>
      <c r="Q1737">
        <v>38.418685674395</v>
      </c>
      <c r="R1737">
        <v>37.546236698191102</v>
      </c>
      <c r="S1737">
        <v>32.083514646584597</v>
      </c>
      <c r="T1737">
        <v>45.829547155812598</v>
      </c>
      <c r="U1737">
        <v>74.943986105993702</v>
      </c>
      <c r="V1737">
        <v>60.3235971585069</v>
      </c>
      <c r="W1737">
        <v>72.752111505030598</v>
      </c>
    </row>
    <row r="1738" spans="1:23" x14ac:dyDescent="0.2">
      <c r="A1738" t="s">
        <v>3483</v>
      </c>
      <c r="B1738" s="3" t="str">
        <f>HYPERLINK("http://www.ncbi.nlm.nih.gov/gene/106861","Abhd3")</f>
        <v>Abhd3</v>
      </c>
      <c r="C1738">
        <v>106861</v>
      </c>
      <c r="D1738" t="s">
        <v>3484</v>
      </c>
      <c r="E1738" s="3" t="str">
        <f>HYPERLINK("http://genome.ucsc.edu/cgi-bin/hgTracks?db=mm10&amp;lastVirtModeType=default&amp;lastVirtModeExtraState=&amp;virtModeType=default&amp;virtMode=0&amp;nonVirtPosition=&amp;position=chr18:10644410-10706696","chr18:10644410-10706696")</f>
        <v>chr18:10644410-10706696</v>
      </c>
      <c r="F1738" t="s">
        <v>25</v>
      </c>
      <c r="G1738">
        <v>-0.96773602939209602</v>
      </c>
      <c r="H1738">
        <v>0.27737425906400698</v>
      </c>
      <c r="I1738">
        <v>-3.4889179430625599</v>
      </c>
      <c r="J1738">
        <v>4.8498000202333097E-4</v>
      </c>
      <c r="K1738">
        <v>3.7453098080129301E-3</v>
      </c>
      <c r="L1738" t="s">
        <v>26</v>
      </c>
      <c r="M1738" t="s">
        <v>27</v>
      </c>
      <c r="N1738">
        <v>66.022808578156798</v>
      </c>
      <c r="O1738">
        <v>97.698407649043105</v>
      </c>
      <c r="P1738">
        <v>42.266109274992097</v>
      </c>
      <c r="Q1738">
        <v>137.52775886341399</v>
      </c>
      <c r="R1738">
        <v>91.4004347905461</v>
      </c>
      <c r="S1738">
        <v>64.167029293169094</v>
      </c>
      <c r="T1738">
        <v>27.497728293487601</v>
      </c>
      <c r="U1738">
        <v>36.401364680054101</v>
      </c>
      <c r="V1738">
        <v>51.495753671896097</v>
      </c>
      <c r="W1738">
        <v>53.669590454530798</v>
      </c>
    </row>
    <row r="1739" spans="1:23" x14ac:dyDescent="0.2">
      <c r="A1739" t="s">
        <v>3485</v>
      </c>
      <c r="B1739" s="3" t="str">
        <f>HYPERLINK("http://www.ncbi.nlm.nih.gov/gene/71436","Flrt3")</f>
        <v>Flrt3</v>
      </c>
      <c r="C1739">
        <v>71436</v>
      </c>
      <c r="D1739" t="s">
        <v>3486</v>
      </c>
      <c r="E1739" s="3" t="str">
        <f>HYPERLINK("http://genome.ucsc.edu/cgi-bin/hgTracks?db=mm10&amp;lastVirtModeType=default&amp;lastVirtModeExtraState=&amp;virtModeType=default&amp;virtMode=0&amp;nonVirtPosition=&amp;position=chr2:140658197-140671476","chr2:140658197-140671476")</f>
        <v>chr2:140658197-140671476</v>
      </c>
      <c r="F1739" t="s">
        <v>25</v>
      </c>
      <c r="G1739">
        <v>-0.59364365550026399</v>
      </c>
      <c r="H1739">
        <v>0.17019595012435701</v>
      </c>
      <c r="I1739">
        <v>-3.4880010662210701</v>
      </c>
      <c r="J1739">
        <v>4.86646138298411E-4</v>
      </c>
      <c r="K1739">
        <v>3.7556648605664902E-3</v>
      </c>
      <c r="L1739" t="s">
        <v>26</v>
      </c>
      <c r="M1739" t="s">
        <v>27</v>
      </c>
      <c r="N1739">
        <v>169.92845717330599</v>
      </c>
      <c r="O1739">
        <v>210.769649408021</v>
      </c>
      <c r="P1739">
        <v>139.29756299727001</v>
      </c>
      <c r="Q1739">
        <v>229.95532150036399</v>
      </c>
      <c r="R1739">
        <v>232.104008679727</v>
      </c>
      <c r="S1739">
        <v>170.24961804397299</v>
      </c>
      <c r="T1739">
        <v>160.40341504534399</v>
      </c>
      <c r="U1739">
        <v>124.192891261361</v>
      </c>
      <c r="V1739">
        <v>129.47503780362501</v>
      </c>
      <c r="W1739">
        <v>143.11890787874901</v>
      </c>
    </row>
    <row r="1740" spans="1:23" x14ac:dyDescent="0.2">
      <c r="A1740" t="s">
        <v>3487</v>
      </c>
      <c r="B1740" s="3" t="str">
        <f>HYPERLINK("http://www.ncbi.nlm.nih.gov/gene/192292","Nrbp1")</f>
        <v>Nrbp1</v>
      </c>
      <c r="C1740">
        <v>192292</v>
      </c>
      <c r="D1740" t="s">
        <v>3488</v>
      </c>
      <c r="E1740" s="3" t="str">
        <f>HYPERLINK("http://genome.ucsc.edu/cgi-bin/hgTracks?db=mm10&amp;lastVirtModeType=default&amp;lastVirtModeExtraState=&amp;virtModeType=default&amp;virtMode=0&amp;nonVirtPosition=&amp;position=chr5:31240917-31251562","chr5:31240917-31251562")</f>
        <v>chr5:31240917-31251562</v>
      </c>
      <c r="F1740" t="s">
        <v>30</v>
      </c>
      <c r="G1740">
        <v>-0.43889220691065201</v>
      </c>
      <c r="H1740">
        <v>0.125833819329041</v>
      </c>
      <c r="I1740">
        <v>-3.4878716171127202</v>
      </c>
      <c r="J1740">
        <v>4.8688180105619001E-4</v>
      </c>
      <c r="K1740">
        <v>3.7556648605664902E-3</v>
      </c>
      <c r="L1740" t="s">
        <v>26</v>
      </c>
      <c r="M1740" t="s">
        <v>27</v>
      </c>
      <c r="N1740">
        <v>281.70667533018599</v>
      </c>
      <c r="O1740">
        <v>335.70716697472898</v>
      </c>
      <c r="P1740">
        <v>241.206306596779</v>
      </c>
      <c r="Q1740">
        <v>340.20024560949798</v>
      </c>
      <c r="R1740">
        <v>348.15601301958998</v>
      </c>
      <c r="S1740">
        <v>318.76524229509801</v>
      </c>
      <c r="T1740">
        <v>197.06705276999401</v>
      </c>
      <c r="U1740">
        <v>267.657093235692</v>
      </c>
      <c r="V1740">
        <v>241.294388634028</v>
      </c>
      <c r="W1740">
        <v>258.80669174740399</v>
      </c>
    </row>
    <row r="1741" spans="1:23" x14ac:dyDescent="0.2">
      <c r="A1741" t="s">
        <v>3489</v>
      </c>
      <c r="B1741" s="3" t="str">
        <f>HYPERLINK("http://www.ncbi.nlm.nih.gov/gene/26411","Map4k1")</f>
        <v>Map4k1</v>
      </c>
      <c r="C1741">
        <v>26411</v>
      </c>
      <c r="D1741" t="s">
        <v>3490</v>
      </c>
      <c r="E1741" s="3" t="str">
        <f>HYPERLINK("http://genome.ucsc.edu/cgi-bin/hgTracks?db=mm10&amp;lastVirtModeType=default&amp;lastVirtModeExtraState=&amp;virtModeType=default&amp;virtMode=0&amp;nonVirtPosition=&amp;position=chr7:28982853-29003278","chr7:28982853-29003278")</f>
        <v>chr7:28982853-29003278</v>
      </c>
      <c r="F1741" t="s">
        <v>30</v>
      </c>
      <c r="G1741">
        <v>1.1998646963652599</v>
      </c>
      <c r="H1741">
        <v>0.34413449578641297</v>
      </c>
      <c r="I1741">
        <v>3.4866155850588099</v>
      </c>
      <c r="J1741">
        <v>4.8917394656343796E-4</v>
      </c>
      <c r="K1741">
        <v>3.77117347059931E-3</v>
      </c>
      <c r="L1741" t="s">
        <v>26</v>
      </c>
      <c r="M1741" t="s">
        <v>27</v>
      </c>
      <c r="N1741">
        <v>26.126441125214701</v>
      </c>
      <c r="O1741">
        <v>11.0595926715192</v>
      </c>
      <c r="P1741">
        <v>37.426577465486403</v>
      </c>
      <c r="Q1741">
        <v>11.692643466120201</v>
      </c>
      <c r="R1741">
        <v>10.619137652013601</v>
      </c>
      <c r="S1741">
        <v>10.8669968964238</v>
      </c>
      <c r="T1741">
        <v>68.744320733718993</v>
      </c>
      <c r="U1741">
        <v>32.118851188283003</v>
      </c>
      <c r="V1741">
        <v>15.4487261015688</v>
      </c>
      <c r="W1741">
        <v>33.394411838374701</v>
      </c>
    </row>
    <row r="1742" spans="1:23" x14ac:dyDescent="0.2">
      <c r="A1742" t="s">
        <v>3491</v>
      </c>
      <c r="B1742" s="3" t="str">
        <f>HYPERLINK("http://www.ncbi.nlm.nih.gov/gene/235469","Zfp280d")</f>
        <v>Zfp280d</v>
      </c>
      <c r="C1742">
        <v>235469</v>
      </c>
      <c r="D1742" t="s">
        <v>3492</v>
      </c>
      <c r="E1742" s="3" t="str">
        <f>HYPERLINK("http://genome.ucsc.edu/cgi-bin/hgTracks?db=mm10&amp;lastVirtModeType=default&amp;lastVirtModeExtraState=&amp;virtModeType=default&amp;virtMode=0&amp;nonVirtPosition=&amp;position=chr9:72274887-72363771","chr9:72274887-72363771")</f>
        <v>chr9:72274887-72363771</v>
      </c>
      <c r="F1742" t="s">
        <v>30</v>
      </c>
      <c r="G1742">
        <v>0.385017496849203</v>
      </c>
      <c r="H1742">
        <v>0.11044400122541</v>
      </c>
      <c r="I1742">
        <v>3.4860879049773401</v>
      </c>
      <c r="J1742">
        <v>4.9013991388451202E-4</v>
      </c>
      <c r="K1742">
        <v>3.7764462524899301E-3</v>
      </c>
      <c r="L1742" t="s">
        <v>26</v>
      </c>
      <c r="M1742" t="s">
        <v>27</v>
      </c>
      <c r="N1742">
        <v>334.43667419859798</v>
      </c>
      <c r="O1742">
        <v>284.58986449531398</v>
      </c>
      <c r="P1742">
        <v>371.82178147606101</v>
      </c>
      <c r="Q1742">
        <v>286.19136864694298</v>
      </c>
      <c r="R1742">
        <v>270.02950029406099</v>
      </c>
      <c r="S1742">
        <v>297.54872454493699</v>
      </c>
      <c r="T1742">
        <v>362.05342253091999</v>
      </c>
      <c r="U1742">
        <v>374.71993052996902</v>
      </c>
      <c r="V1742">
        <v>379.597269924263</v>
      </c>
      <c r="W1742">
        <v>370.91650291909099</v>
      </c>
    </row>
    <row r="1743" spans="1:23" x14ac:dyDescent="0.2">
      <c r="A1743" t="s">
        <v>3493</v>
      </c>
      <c r="B1743" s="3" t="str">
        <f>HYPERLINK("http://www.ncbi.nlm.nih.gov/gene/16975","Lrp8")</f>
        <v>Lrp8</v>
      </c>
      <c r="C1743">
        <v>16975</v>
      </c>
      <c r="D1743" t="s">
        <v>3494</v>
      </c>
      <c r="E1743" s="3" t="str">
        <f>HYPERLINK("http://genome.ucsc.edu/cgi-bin/hgTracks?db=mm10&amp;lastVirtModeType=default&amp;lastVirtModeExtraState=&amp;virtModeType=default&amp;virtMode=0&amp;nonVirtPosition=&amp;position=chr4:107802258-107876840","chr4:107802258-107876840")</f>
        <v>chr4:107802258-107876840</v>
      </c>
      <c r="F1743" t="s">
        <v>30</v>
      </c>
      <c r="G1743">
        <v>0.44493702426904302</v>
      </c>
      <c r="H1743">
        <v>0.127637887437449</v>
      </c>
      <c r="I1743">
        <v>3.4859322196717799</v>
      </c>
      <c r="J1743">
        <v>4.9042524992012795E-4</v>
      </c>
      <c r="K1743">
        <v>3.7764718353539002E-3</v>
      </c>
      <c r="L1743" t="s">
        <v>26</v>
      </c>
      <c r="M1743" t="s">
        <v>27</v>
      </c>
      <c r="N1743">
        <v>520.39682153234901</v>
      </c>
      <c r="O1743">
        <v>430.77389555962799</v>
      </c>
      <c r="P1743">
        <v>587.61401601189004</v>
      </c>
      <c r="Q1743">
        <v>371.93742073182398</v>
      </c>
      <c r="R1743">
        <v>457.76068378501702</v>
      </c>
      <c r="S1743">
        <v>462.623582162042</v>
      </c>
      <c r="T1743">
        <v>563.70343001649496</v>
      </c>
      <c r="U1743">
        <v>533.17292972549797</v>
      </c>
      <c r="V1743">
        <v>633.39777016432197</v>
      </c>
      <c r="W1743">
        <v>620.18193414124505</v>
      </c>
    </row>
    <row r="1744" spans="1:23" x14ac:dyDescent="0.2">
      <c r="A1744" t="s">
        <v>3495</v>
      </c>
      <c r="B1744" s="3" t="str">
        <f>HYPERLINK("http://www.ncbi.nlm.nih.gov/gene/80889","Mesdc1")</f>
        <v>Mesdc1</v>
      </c>
      <c r="C1744">
        <v>80889</v>
      </c>
      <c r="D1744" t="s">
        <v>3496</v>
      </c>
      <c r="E1744" s="3" t="str">
        <f>HYPERLINK("http://genome.ucsc.edu/cgi-bin/hgTracks?db=mm10&amp;lastVirtModeType=default&amp;lastVirtModeExtraState=&amp;virtModeType=default&amp;virtMode=0&amp;nonVirtPosition=&amp;position=chr7:83880494-83884341","chr7:83880494-83884341")</f>
        <v>chr7:83880494-83884341</v>
      </c>
      <c r="F1744" t="s">
        <v>25</v>
      </c>
      <c r="G1744">
        <v>0.76175296857005004</v>
      </c>
      <c r="H1744">
        <v>0.218594444652146</v>
      </c>
      <c r="I1744">
        <v>3.4847773454730002</v>
      </c>
      <c r="J1744">
        <v>4.9254671512616202E-4</v>
      </c>
      <c r="K1744">
        <v>3.7906281966979499E-3</v>
      </c>
      <c r="L1744" t="s">
        <v>26</v>
      </c>
      <c r="M1744" t="s">
        <v>27</v>
      </c>
      <c r="N1744">
        <v>88.082595764816205</v>
      </c>
      <c r="O1744">
        <v>60.120088780485503</v>
      </c>
      <c r="P1744">
        <v>109.054476003064</v>
      </c>
      <c r="Q1744">
        <v>55.679254600572499</v>
      </c>
      <c r="R1744">
        <v>51.199413679351501</v>
      </c>
      <c r="S1744">
        <v>73.481598061532395</v>
      </c>
      <c r="T1744">
        <v>123.739777320694</v>
      </c>
      <c r="U1744">
        <v>107.062837294277</v>
      </c>
      <c r="V1744">
        <v>80.186245003381103</v>
      </c>
      <c r="W1744">
        <v>125.229044393905</v>
      </c>
    </row>
    <row r="1745" spans="1:23" x14ac:dyDescent="0.2">
      <c r="A1745" t="s">
        <v>3497</v>
      </c>
      <c r="B1745" s="3" t="str">
        <f>HYPERLINK("http://www.ncbi.nlm.nih.gov/gene/27261","Dok3")</f>
        <v>Dok3</v>
      </c>
      <c r="C1745">
        <v>27261</v>
      </c>
      <c r="D1745" t="s">
        <v>3498</v>
      </c>
      <c r="E1745" s="3" t="str">
        <f>HYPERLINK("http://genome.ucsc.edu/cgi-bin/hgTracks?db=mm10&amp;lastVirtModeType=default&amp;lastVirtModeExtraState=&amp;virtModeType=default&amp;virtMode=0&amp;nonVirtPosition=&amp;position=chr13:55523234-55528538","chr13:55523234-55528538")</f>
        <v>chr13:55523234-55528538</v>
      </c>
      <c r="F1745" t="s">
        <v>25</v>
      </c>
      <c r="G1745">
        <v>1.18756490267069</v>
      </c>
      <c r="H1745">
        <v>0.340808832187593</v>
      </c>
      <c r="I1745">
        <v>3.4845484932063302</v>
      </c>
      <c r="J1745">
        <v>4.92968123676541E-4</v>
      </c>
      <c r="K1745">
        <v>3.7916922137579399E-3</v>
      </c>
      <c r="L1745" t="s">
        <v>26</v>
      </c>
      <c r="M1745" t="s">
        <v>27</v>
      </c>
      <c r="N1745">
        <v>27.348017903826999</v>
      </c>
      <c r="O1745">
        <v>12.3218990312927</v>
      </c>
      <c r="P1745">
        <v>38.617607058227698</v>
      </c>
      <c r="Q1745">
        <v>14.4766061961489</v>
      </c>
      <c r="R1745">
        <v>6.4473335744368603</v>
      </c>
      <c r="S1745">
        <v>16.041757323292298</v>
      </c>
      <c r="T1745">
        <v>64.161366018137699</v>
      </c>
      <c r="U1745">
        <v>23.553824204740899</v>
      </c>
      <c r="V1745">
        <v>25.012223212063802</v>
      </c>
      <c r="W1745">
        <v>41.743014797968399</v>
      </c>
    </row>
    <row r="1746" spans="1:23" x14ac:dyDescent="0.2">
      <c r="A1746" t="s">
        <v>3499</v>
      </c>
      <c r="B1746" s="3" t="str">
        <f>HYPERLINK("http://www.ncbi.nlm.nih.gov/gene/329470","Accs")</f>
        <v>Accs</v>
      </c>
      <c r="C1746">
        <v>329470</v>
      </c>
      <c r="D1746" t="s">
        <v>3500</v>
      </c>
      <c r="E1746" s="3" t="str">
        <f>HYPERLINK("http://genome.ucsc.edu/cgi-bin/hgTracks?db=mm10&amp;lastVirtModeType=default&amp;lastVirtModeExtraState=&amp;virtModeType=default&amp;virtMode=0&amp;nonVirtPosition=&amp;position=chr2:93833466-93849943","chr2:93833466-93849943")</f>
        <v>chr2:93833466-93849943</v>
      </c>
      <c r="F1746" t="s">
        <v>25</v>
      </c>
      <c r="G1746">
        <v>0.74923403255300502</v>
      </c>
      <c r="H1746">
        <v>0.215043422754783</v>
      </c>
      <c r="I1746">
        <v>3.4841057817767598</v>
      </c>
      <c r="J1746">
        <v>4.9378428690844604E-4</v>
      </c>
      <c r="K1746">
        <v>3.7957895441969002E-3</v>
      </c>
      <c r="L1746" t="s">
        <v>26</v>
      </c>
      <c r="M1746" t="s">
        <v>27</v>
      </c>
      <c r="N1746">
        <v>77.0176818472505</v>
      </c>
      <c r="O1746">
        <v>54.326827187858399</v>
      </c>
      <c r="P1746">
        <v>94.035822841794499</v>
      </c>
      <c r="Q1746">
        <v>64.587935336664103</v>
      </c>
      <c r="R1746">
        <v>52.337178427781602</v>
      </c>
      <c r="S1746">
        <v>46.055367799129399</v>
      </c>
      <c r="T1746">
        <v>87.076139596044001</v>
      </c>
      <c r="U1746">
        <v>100.63906705661999</v>
      </c>
      <c r="V1746">
        <v>113.29065807817101</v>
      </c>
      <c r="W1746">
        <v>75.137426636343093</v>
      </c>
    </row>
    <row r="1747" spans="1:23" x14ac:dyDescent="0.2">
      <c r="A1747" t="s">
        <v>3501</v>
      </c>
      <c r="B1747" s="3" t="str">
        <f>HYPERLINK("http://www.ncbi.nlm.nih.gov/gene/233826","Palb2")</f>
        <v>Palb2</v>
      </c>
      <c r="C1747">
        <v>233826</v>
      </c>
      <c r="D1747" t="s">
        <v>3502</v>
      </c>
      <c r="E1747" s="3" t="str">
        <f>HYPERLINK("http://genome.ucsc.edu/cgi-bin/hgTracks?db=mm10&amp;lastVirtModeType=default&amp;lastVirtModeExtraState=&amp;virtModeType=default&amp;virtMode=0&amp;nonVirtPosition=&amp;position=chr7:122107261-122132946","chr7:122107261-122132946")</f>
        <v>chr7:122107261-122132946</v>
      </c>
      <c r="F1747" t="s">
        <v>25</v>
      </c>
      <c r="G1747">
        <v>0.90252166885213903</v>
      </c>
      <c r="H1747">
        <v>0.25906399053552798</v>
      </c>
      <c r="I1747">
        <v>3.4837789188164598</v>
      </c>
      <c r="J1747">
        <v>4.9438768540025998E-4</v>
      </c>
      <c r="K1747">
        <v>3.7982475589184599E-3</v>
      </c>
      <c r="L1747" t="s">
        <v>26</v>
      </c>
      <c r="M1747" t="s">
        <v>27</v>
      </c>
      <c r="N1747">
        <v>51.982954038535901</v>
      </c>
      <c r="O1747">
        <v>31.174899413346498</v>
      </c>
      <c r="P1747">
        <v>67.588995007427997</v>
      </c>
      <c r="Q1747">
        <v>22.271701840228999</v>
      </c>
      <c r="R1747">
        <v>34.512197369044401</v>
      </c>
      <c r="S1747">
        <v>36.740799030766198</v>
      </c>
      <c r="T1747">
        <v>100.825003742788</v>
      </c>
      <c r="U1747">
        <v>53.531418647138402</v>
      </c>
      <c r="V1747">
        <v>55.174021791317301</v>
      </c>
      <c r="W1747">
        <v>60.825535848468199</v>
      </c>
    </row>
    <row r="1748" spans="1:23" x14ac:dyDescent="0.2">
      <c r="A1748" t="s">
        <v>3503</v>
      </c>
      <c r="B1748" s="3" t="str">
        <f>HYPERLINK("http://www.ncbi.nlm.nih.gov/gene/20512","Slc1a3")</f>
        <v>Slc1a3</v>
      </c>
      <c r="C1748">
        <v>20512</v>
      </c>
      <c r="D1748" t="s">
        <v>3504</v>
      </c>
      <c r="E1748" s="3" t="str">
        <f>HYPERLINK("http://genome.ucsc.edu/cgi-bin/hgTracks?db=mm10&amp;lastVirtModeType=default&amp;lastVirtModeExtraState=&amp;virtModeType=default&amp;virtMode=0&amp;nonVirtPosition=&amp;position=chr15:8634123-8710807","chr15:8634123-8710807")</f>
        <v>chr15:8634123-8710807</v>
      </c>
      <c r="F1748" t="s">
        <v>25</v>
      </c>
      <c r="G1748">
        <v>-0.56670031781140195</v>
      </c>
      <c r="H1748">
        <v>0.162783922571198</v>
      </c>
      <c r="I1748">
        <v>-3.48130398174635</v>
      </c>
      <c r="J1748">
        <v>4.9897885248911095E-4</v>
      </c>
      <c r="K1748">
        <v>3.8313221408725301E-3</v>
      </c>
      <c r="L1748" t="s">
        <v>26</v>
      </c>
      <c r="M1748" t="s">
        <v>27</v>
      </c>
      <c r="N1748">
        <v>1537.7034814788301</v>
      </c>
      <c r="O1748">
        <v>1902.4543891880201</v>
      </c>
      <c r="P1748">
        <v>1264.1403006969399</v>
      </c>
      <c r="Q1748">
        <v>1961.58013957817</v>
      </c>
      <c r="R1748">
        <v>2332.0384793654298</v>
      </c>
      <c r="S1748">
        <v>1413.7445486204699</v>
      </c>
      <c r="T1748">
        <v>1315.30800337182</v>
      </c>
      <c r="U1748">
        <v>1304.0253582442899</v>
      </c>
      <c r="V1748">
        <v>1177.7814518386499</v>
      </c>
      <c r="W1748">
        <v>1259.4463893329901</v>
      </c>
    </row>
    <row r="1749" spans="1:23" x14ac:dyDescent="0.2">
      <c r="A1749" t="s">
        <v>3505</v>
      </c>
      <c r="B1749" s="3" t="str">
        <f>HYPERLINK("http://www.ncbi.nlm.nih.gov/gene/269800","Zfp384")</f>
        <v>Zfp384</v>
      </c>
      <c r="C1749">
        <v>269800</v>
      </c>
      <c r="D1749" t="s">
        <v>3506</v>
      </c>
      <c r="E1749" s="3" t="str">
        <f>HYPERLINK("http://genome.ucsc.edu/cgi-bin/hgTracks?db=mm10&amp;lastVirtModeType=default&amp;lastVirtModeExtraState=&amp;virtModeType=default&amp;virtMode=0&amp;nonVirtPosition=&amp;position=chr6:125009668-125037870","chr6:125009668-125037870")</f>
        <v>chr6:125009668-125037870</v>
      </c>
      <c r="F1749" t="s">
        <v>30</v>
      </c>
      <c r="G1749">
        <v>0.58602896140249905</v>
      </c>
      <c r="H1749">
        <v>0.16840608381705399</v>
      </c>
      <c r="I1749">
        <v>3.4798562386803198</v>
      </c>
      <c r="J1749">
        <v>5.0168290555461495E-4</v>
      </c>
      <c r="K1749">
        <v>3.84771838169904E-3</v>
      </c>
      <c r="L1749" t="s">
        <v>26</v>
      </c>
      <c r="M1749" t="s">
        <v>27</v>
      </c>
      <c r="N1749">
        <v>143.64340306613099</v>
      </c>
      <c r="O1749">
        <v>111.66824265975799</v>
      </c>
      <c r="P1749">
        <v>167.62477337090999</v>
      </c>
      <c r="Q1749">
        <v>109.131339017122</v>
      </c>
      <c r="R1749">
        <v>94.434474119692794</v>
      </c>
      <c r="S1749">
        <v>131.43891484245901</v>
      </c>
      <c r="T1749">
        <v>146.65455089860001</v>
      </c>
      <c r="U1749">
        <v>167.018026179072</v>
      </c>
      <c r="V1749">
        <v>174.349908860563</v>
      </c>
      <c r="W1749">
        <v>182.47660754540499</v>
      </c>
    </row>
    <row r="1750" spans="1:23" x14ac:dyDescent="0.2">
      <c r="A1750" t="s">
        <v>3507</v>
      </c>
      <c r="B1750" s="3" t="str">
        <f>HYPERLINK("http://www.ncbi.nlm.nih.gov/gene/192650","Cabp7")</f>
        <v>Cabp7</v>
      </c>
      <c r="C1750">
        <v>192650</v>
      </c>
      <c r="D1750" t="s">
        <v>3508</v>
      </c>
      <c r="E1750" s="3" t="str">
        <f>HYPERLINK("http://genome.ucsc.edu/cgi-bin/hgTracks?db=mm10&amp;lastVirtModeType=default&amp;lastVirtModeExtraState=&amp;virtModeType=default&amp;virtMode=0&amp;nonVirtPosition=&amp;position=chr11:4738820-4746778","chr11:4738820-4746778")</f>
        <v>chr11:4738820-4746778</v>
      </c>
      <c r="F1750" t="s">
        <v>25</v>
      </c>
      <c r="G1750">
        <v>-0.90937412201730705</v>
      </c>
      <c r="H1750">
        <v>0.26132543952251702</v>
      </c>
      <c r="I1750">
        <v>-3.4798530280055302</v>
      </c>
      <c r="J1750">
        <v>5.0168891751523601E-4</v>
      </c>
      <c r="K1750">
        <v>3.84771838169904E-3</v>
      </c>
      <c r="L1750" t="s">
        <v>26</v>
      </c>
      <c r="M1750" t="s">
        <v>27</v>
      </c>
      <c r="N1750">
        <v>55.741572852326001</v>
      </c>
      <c r="O1750">
        <v>79.516519197665204</v>
      </c>
      <c r="P1750">
        <v>37.9103630933215</v>
      </c>
      <c r="Q1750">
        <v>92.984355182956094</v>
      </c>
      <c r="R1750">
        <v>87.607885629112602</v>
      </c>
      <c r="S1750">
        <v>57.957316780926902</v>
      </c>
      <c r="T1750">
        <v>22.914773577906299</v>
      </c>
      <c r="U1750">
        <v>57.8139321389095</v>
      </c>
      <c r="V1750">
        <v>37.518334818095703</v>
      </c>
      <c r="W1750">
        <v>33.394411838374701</v>
      </c>
    </row>
    <row r="1751" spans="1:23" x14ac:dyDescent="0.2">
      <c r="A1751" t="s">
        <v>3509</v>
      </c>
      <c r="B1751" s="3" t="str">
        <f>HYPERLINK("http://www.ncbi.nlm.nih.gov/gene/20740","Sptan1")</f>
        <v>Sptan1</v>
      </c>
      <c r="C1751">
        <v>20740</v>
      </c>
      <c r="D1751" t="s">
        <v>3510</v>
      </c>
      <c r="E1751" s="3" t="str">
        <f>HYPERLINK("http://genome.ucsc.edu/cgi-bin/hgTracks?db=mm10&amp;lastVirtModeType=default&amp;lastVirtModeExtraState=&amp;virtModeType=default&amp;virtMode=0&amp;nonVirtPosition=&amp;position=chr2:29965559-30031450","chr2:29965559-30031450")</f>
        <v>chr2:29965559-30031450</v>
      </c>
      <c r="F1751" t="s">
        <v>30</v>
      </c>
      <c r="G1751">
        <v>-0.44540489893817398</v>
      </c>
      <c r="H1751">
        <v>0.128066509013465</v>
      </c>
      <c r="I1751">
        <v>-3.4779186406287099</v>
      </c>
      <c r="J1751">
        <v>5.0532327743898001E-4</v>
      </c>
      <c r="K1751">
        <v>3.8711578994195502E-3</v>
      </c>
      <c r="L1751" t="s">
        <v>26</v>
      </c>
      <c r="M1751" t="s">
        <v>27</v>
      </c>
      <c r="N1751">
        <v>5358.1105060772297</v>
      </c>
      <c r="O1751">
        <v>6345.46297720029</v>
      </c>
      <c r="P1751">
        <v>4617.59615273494</v>
      </c>
      <c r="Q1751">
        <v>7266.6995179207197</v>
      </c>
      <c r="R1751">
        <v>5738.5061361649496</v>
      </c>
      <c r="S1751">
        <v>6031.1832775152097</v>
      </c>
      <c r="T1751">
        <v>4436.3001646826597</v>
      </c>
      <c r="U1751">
        <v>4440.9664909665998</v>
      </c>
      <c r="V1751">
        <v>4902.39574956451</v>
      </c>
      <c r="W1751">
        <v>4690.7222057259896</v>
      </c>
    </row>
    <row r="1752" spans="1:23" x14ac:dyDescent="0.2">
      <c r="A1752" t="s">
        <v>3511</v>
      </c>
      <c r="B1752" s="3" t="str">
        <f>HYPERLINK("http://www.ncbi.nlm.nih.gov/gene/22785","Slc30a4")</f>
        <v>Slc30a4</v>
      </c>
      <c r="C1752">
        <v>22785</v>
      </c>
      <c r="D1752" t="s">
        <v>3512</v>
      </c>
      <c r="E1752" s="3" t="str">
        <f>HYPERLINK("http://genome.ucsc.edu/cgi-bin/hgTracks?db=mm10&amp;lastVirtModeType=default&amp;lastVirtModeExtraState=&amp;virtModeType=default&amp;virtMode=0&amp;nonVirtPosition=&amp;position=chr2:122681232-122702663","chr2:122681232-122702663")</f>
        <v>chr2:122681232-122702663</v>
      </c>
      <c r="F1752" t="s">
        <v>25</v>
      </c>
      <c r="G1752">
        <v>-0.52967457994800504</v>
      </c>
      <c r="H1752">
        <v>0.152308056464286</v>
      </c>
      <c r="I1752">
        <v>-3.47765306868193</v>
      </c>
      <c r="J1752">
        <v>5.0582415041271602E-4</v>
      </c>
      <c r="K1752">
        <v>3.8727794157671102E-3</v>
      </c>
      <c r="L1752" t="s">
        <v>26</v>
      </c>
      <c r="M1752" t="s">
        <v>27</v>
      </c>
      <c r="N1752">
        <v>374.255459910551</v>
      </c>
      <c r="O1752">
        <v>453.34591000584999</v>
      </c>
      <c r="P1752">
        <v>314.93762233907597</v>
      </c>
      <c r="Q1752">
        <v>420.93516478032802</v>
      </c>
      <c r="R1752">
        <v>481.65374350204797</v>
      </c>
      <c r="S1752">
        <v>457.448821735173</v>
      </c>
      <c r="T1752">
        <v>389.55115082440699</v>
      </c>
      <c r="U1752">
        <v>280.504633711005</v>
      </c>
      <c r="V1752">
        <v>342.81458873005101</v>
      </c>
      <c r="W1752">
        <v>246.88011609084199</v>
      </c>
    </row>
    <row r="1753" spans="1:23" x14ac:dyDescent="0.2">
      <c r="A1753" t="s">
        <v>3513</v>
      </c>
      <c r="B1753" s="3" t="str">
        <f>HYPERLINK("http://www.ncbi.nlm.nih.gov/gene/16881","Lig1")</f>
        <v>Lig1</v>
      </c>
      <c r="C1753">
        <v>16881</v>
      </c>
      <c r="D1753" t="s">
        <v>3514</v>
      </c>
      <c r="E1753" s="3" t="str">
        <f>HYPERLINK("http://genome.ucsc.edu/cgi-bin/hgTracks?db=mm10&amp;lastVirtModeType=default&amp;lastVirtModeExtraState=&amp;virtModeType=default&amp;virtMode=0&amp;nonVirtPosition=&amp;position=chr7:13277312-13311427","chr7:13277312-13311427")</f>
        <v>chr7:13277312-13311427</v>
      </c>
      <c r="F1753" t="s">
        <v>30</v>
      </c>
      <c r="G1753">
        <v>0.84348329427841795</v>
      </c>
      <c r="H1753">
        <v>0.24260210303554899</v>
      </c>
      <c r="I1753">
        <v>3.4768177345718199</v>
      </c>
      <c r="J1753">
        <v>5.0740262310226597E-4</v>
      </c>
      <c r="K1753">
        <v>3.8814902680035001E-3</v>
      </c>
      <c r="L1753" t="s">
        <v>26</v>
      </c>
      <c r="M1753" t="s">
        <v>27</v>
      </c>
      <c r="N1753">
        <v>390.92810243764899</v>
      </c>
      <c r="O1753">
        <v>254.996967365675</v>
      </c>
      <c r="P1753">
        <v>492.87645374162997</v>
      </c>
      <c r="Q1753">
        <v>128.61907812732201</v>
      </c>
      <c r="R1753">
        <v>321.228913973413</v>
      </c>
      <c r="S1753">
        <v>315.14290999628997</v>
      </c>
      <c r="T1753">
        <v>582.03524887881997</v>
      </c>
      <c r="U1753">
        <v>522.46664599607095</v>
      </c>
      <c r="V1753">
        <v>409.02341487963201</v>
      </c>
      <c r="W1753">
        <v>457.98050521199599</v>
      </c>
    </row>
    <row r="1754" spans="1:23" x14ac:dyDescent="0.2">
      <c r="A1754" t="s">
        <v>3515</v>
      </c>
      <c r="B1754" s="3" t="str">
        <f>HYPERLINK("http://www.ncbi.nlm.nih.gov/gene/12545","Cdc7")</f>
        <v>Cdc7</v>
      </c>
      <c r="C1754">
        <v>12545</v>
      </c>
      <c r="D1754" t="s">
        <v>3516</v>
      </c>
      <c r="E1754" s="3" t="str">
        <f>HYPERLINK("http://genome.ucsc.edu/cgi-bin/hgTracks?db=mm10&amp;lastVirtModeType=default&amp;lastVirtModeExtraState=&amp;virtModeType=default&amp;virtMode=0&amp;nonVirtPosition=&amp;position=chr5:106964560-106984439","chr5:106964560-106984439")</f>
        <v>chr5:106964560-106984439</v>
      </c>
      <c r="F1754" t="s">
        <v>30</v>
      </c>
      <c r="G1754">
        <v>0.71750504267515003</v>
      </c>
      <c r="H1754">
        <v>0.20637268063783601</v>
      </c>
      <c r="I1754">
        <v>3.4767443077133802</v>
      </c>
      <c r="J1754">
        <v>5.0754159205990005E-4</v>
      </c>
      <c r="K1754">
        <v>3.8814902680035001E-3</v>
      </c>
      <c r="L1754" t="s">
        <v>26</v>
      </c>
      <c r="M1754" t="s">
        <v>27</v>
      </c>
      <c r="N1754">
        <v>163.653662042733</v>
      </c>
      <c r="O1754">
        <v>116.48591738588</v>
      </c>
      <c r="P1754">
        <v>199.02947053537201</v>
      </c>
      <c r="Q1754">
        <v>87.973222268904493</v>
      </c>
      <c r="R1754">
        <v>137.29027964389101</v>
      </c>
      <c r="S1754">
        <v>124.194250244843</v>
      </c>
      <c r="T1754">
        <v>215.39887163231899</v>
      </c>
      <c r="U1754">
        <v>137.04043173667401</v>
      </c>
      <c r="V1754">
        <v>201.56909294427899</v>
      </c>
      <c r="W1754">
        <v>242.109485828217</v>
      </c>
    </row>
    <row r="1755" spans="1:23" x14ac:dyDescent="0.2">
      <c r="A1755" t="s">
        <v>3517</v>
      </c>
      <c r="B1755" s="3" t="str">
        <f>HYPERLINK("http://www.ncbi.nlm.nih.gov/gene/56294","Ptpn9")</f>
        <v>Ptpn9</v>
      </c>
      <c r="C1755">
        <v>56294</v>
      </c>
      <c r="D1755" t="s">
        <v>3518</v>
      </c>
      <c r="E1755" s="3" t="str">
        <f>HYPERLINK("http://genome.ucsc.edu/cgi-bin/hgTracks?db=mm10&amp;lastVirtModeType=default&amp;lastVirtModeExtraState=&amp;virtModeType=default&amp;virtMode=0&amp;nonVirtPosition=&amp;position=chr9:56994967-57062807","chr9:56994967-57062807")</f>
        <v>chr9:56994967-57062807</v>
      </c>
      <c r="F1755" t="s">
        <v>30</v>
      </c>
      <c r="G1755">
        <v>-0.54662701023499005</v>
      </c>
      <c r="H1755">
        <v>0.15725131005064899</v>
      </c>
      <c r="I1755">
        <v>-3.4761364471871601</v>
      </c>
      <c r="J1755">
        <v>5.0869340299160802E-4</v>
      </c>
      <c r="K1755">
        <v>3.8880784015186201E-3</v>
      </c>
      <c r="L1755" t="s">
        <v>26</v>
      </c>
      <c r="M1755" t="s">
        <v>27</v>
      </c>
      <c r="N1755">
        <v>366.86511526317599</v>
      </c>
      <c r="O1755">
        <v>455.41545261115499</v>
      </c>
      <c r="P1755">
        <v>300.45236225219099</v>
      </c>
      <c r="Q1755">
        <v>439.86611134452301</v>
      </c>
      <c r="R1755">
        <v>411.49158401552899</v>
      </c>
      <c r="S1755">
        <v>514.88866247341298</v>
      </c>
      <c r="T1755">
        <v>215.39887163231899</v>
      </c>
      <c r="U1755">
        <v>361.872390054655</v>
      </c>
      <c r="V1755">
        <v>334.72239886732501</v>
      </c>
      <c r="W1755">
        <v>289.81578845446597</v>
      </c>
    </row>
    <row r="1756" spans="1:23" x14ac:dyDescent="0.2">
      <c r="A1756" t="s">
        <v>3519</v>
      </c>
      <c r="B1756" s="3" t="str">
        <f>HYPERLINK("http://www.ncbi.nlm.nih.gov/gene/75458","Cklf")</f>
        <v>Cklf</v>
      </c>
      <c r="C1756">
        <v>75458</v>
      </c>
      <c r="D1756" t="s">
        <v>3520</v>
      </c>
      <c r="E1756" s="3" t="str">
        <f>HYPERLINK("http://genome.ucsc.edu/cgi-bin/hgTracks?db=mm10&amp;lastVirtModeType=default&amp;lastVirtModeExtraState=&amp;virtModeType=default&amp;virtMode=0&amp;nonVirtPosition=&amp;position=chr8:104250860-104263447","chr8:104250860-104263447")</f>
        <v>chr8:104250860-104263447</v>
      </c>
      <c r="F1756" t="s">
        <v>30</v>
      </c>
      <c r="G1756">
        <v>0.82089906958490599</v>
      </c>
      <c r="H1756">
        <v>0.23619554973551701</v>
      </c>
      <c r="I1756">
        <v>3.4755060817365799</v>
      </c>
      <c r="J1756">
        <v>5.0989043100712196E-4</v>
      </c>
      <c r="K1756">
        <v>3.8949915082390602E-3</v>
      </c>
      <c r="L1756" t="s">
        <v>26</v>
      </c>
      <c r="M1756" t="s">
        <v>27</v>
      </c>
      <c r="N1756">
        <v>44.0520315052634</v>
      </c>
      <c r="O1756">
        <v>29.171980079830799</v>
      </c>
      <c r="P1756">
        <v>55.212070074337902</v>
      </c>
      <c r="Q1756">
        <v>32.850760214337797</v>
      </c>
      <c r="R1756">
        <v>24.651569549317401</v>
      </c>
      <c r="S1756">
        <v>30.013610475837201</v>
      </c>
      <c r="T1756">
        <v>64.161366018137699</v>
      </c>
      <c r="U1756">
        <v>47.107648409481797</v>
      </c>
      <c r="V1756">
        <v>55.909675415201498</v>
      </c>
      <c r="W1756">
        <v>53.669590454530798</v>
      </c>
    </row>
    <row r="1757" spans="1:23" x14ac:dyDescent="0.2">
      <c r="A1757" t="s">
        <v>3521</v>
      </c>
      <c r="B1757" s="3" t="str">
        <f>HYPERLINK("http://www.ncbi.nlm.nih.gov/gene/66826","Taz")</f>
        <v>Taz</v>
      </c>
      <c r="C1757">
        <v>66826</v>
      </c>
      <c r="D1757" t="s">
        <v>3522</v>
      </c>
      <c r="E1757" s="3" t="str">
        <f>HYPERLINK("http://genome.ucsc.edu/cgi-bin/hgTracks?db=mm10&amp;lastVirtModeType=default&amp;lastVirtModeExtraState=&amp;virtModeType=default&amp;virtMode=0&amp;nonVirtPosition=&amp;position=chrX:74282717-74290151","chrX:74282717-74290151")</f>
        <v>chrX:74282717-74290151</v>
      </c>
      <c r="F1757" t="s">
        <v>30</v>
      </c>
      <c r="G1757">
        <v>0.55711402386654696</v>
      </c>
      <c r="H1757">
        <v>0.16030425183354499</v>
      </c>
      <c r="I1757">
        <v>3.4753540064866</v>
      </c>
      <c r="J1757">
        <v>5.1017960611241203E-4</v>
      </c>
      <c r="K1757">
        <v>3.8949915082390602E-3</v>
      </c>
      <c r="L1757" t="s">
        <v>26</v>
      </c>
      <c r="M1757" t="s">
        <v>27</v>
      </c>
      <c r="N1757">
        <v>131.940586841194</v>
      </c>
      <c r="O1757">
        <v>100.25781297663001</v>
      </c>
      <c r="P1757">
        <v>155.70266723961799</v>
      </c>
      <c r="Q1757">
        <v>96.881903004996104</v>
      </c>
      <c r="R1757">
        <v>105.053611771706</v>
      </c>
      <c r="S1757">
        <v>98.837924153187899</v>
      </c>
      <c r="T1757">
        <v>192.48409805441301</v>
      </c>
      <c r="U1757">
        <v>145.60545872021601</v>
      </c>
      <c r="V1757">
        <v>136.831574042467</v>
      </c>
      <c r="W1757">
        <v>147.889538141374</v>
      </c>
    </row>
    <row r="1758" spans="1:23" x14ac:dyDescent="0.2">
      <c r="A1758" t="s">
        <v>3523</v>
      </c>
      <c r="B1758" s="3" t="str">
        <f>HYPERLINK("http://www.ncbi.nlm.nih.gov/gene/56233","Hdac7")</f>
        <v>Hdac7</v>
      </c>
      <c r="C1758">
        <v>56233</v>
      </c>
      <c r="D1758" t="s">
        <v>3524</v>
      </c>
      <c r="E1758" s="3" t="str">
        <f>HYPERLINK("http://genome.ucsc.edu/cgi-bin/hgTracks?db=mm10&amp;lastVirtModeType=default&amp;lastVirtModeExtraState=&amp;virtModeType=default&amp;virtMode=0&amp;nonVirtPosition=&amp;position=chr15:97792663-97844502","chr15:97792663-97844502")</f>
        <v>chr15:97792663-97844502</v>
      </c>
      <c r="F1758" t="s">
        <v>25</v>
      </c>
      <c r="G1758">
        <v>0.73689391206162203</v>
      </c>
      <c r="H1758">
        <v>0.21206413638725699</v>
      </c>
      <c r="I1758">
        <v>3.4748634286561102</v>
      </c>
      <c r="J1758">
        <v>5.1111349519897199E-4</v>
      </c>
      <c r="K1758">
        <v>3.8998775520607699E-3</v>
      </c>
      <c r="L1758" t="s">
        <v>26</v>
      </c>
      <c r="M1758" t="s">
        <v>27</v>
      </c>
      <c r="N1758">
        <v>156.82269296850299</v>
      </c>
      <c r="O1758">
        <v>110.796320416757</v>
      </c>
      <c r="P1758">
        <v>191.34247238231299</v>
      </c>
      <c r="Q1758">
        <v>128.06228558131701</v>
      </c>
      <c r="R1758">
        <v>69.782904570375393</v>
      </c>
      <c r="S1758">
        <v>134.54377109858001</v>
      </c>
      <c r="T1758">
        <v>187.90114333883199</v>
      </c>
      <c r="U1758">
        <v>186.289336892042</v>
      </c>
      <c r="V1758">
        <v>192.00559583378401</v>
      </c>
      <c r="W1758">
        <v>199.173813464592</v>
      </c>
    </row>
    <row r="1759" spans="1:23" x14ac:dyDescent="0.2">
      <c r="A1759" t="s">
        <v>3525</v>
      </c>
      <c r="B1759" s="3" t="str">
        <f>HYPERLINK("http://www.ncbi.nlm.nih.gov/gene/18738","Pitpna")</f>
        <v>Pitpna</v>
      </c>
      <c r="C1759">
        <v>18738</v>
      </c>
      <c r="D1759" t="s">
        <v>3526</v>
      </c>
      <c r="E1759" s="3" t="str">
        <f>HYPERLINK("http://genome.ucsc.edu/cgi-bin/hgTracks?db=mm10&amp;lastVirtModeType=default&amp;lastVirtModeExtraState=&amp;virtModeType=default&amp;virtMode=0&amp;nonVirtPosition=&amp;position=chr11:75588078-75628804","chr11:75588078-75628804")</f>
        <v>chr11:75588078-75628804</v>
      </c>
      <c r="F1759" t="s">
        <v>30</v>
      </c>
      <c r="G1759">
        <v>-0.43508431426428801</v>
      </c>
      <c r="H1759">
        <v>0.12521449623786099</v>
      </c>
      <c r="I1759">
        <v>-3.4747120128789901</v>
      </c>
      <c r="J1759">
        <v>5.1140205969820796E-4</v>
      </c>
      <c r="K1759">
        <v>3.8998775520607699E-3</v>
      </c>
      <c r="L1759" t="s">
        <v>26</v>
      </c>
      <c r="M1759" t="s">
        <v>27</v>
      </c>
      <c r="N1759">
        <v>666.75920372466703</v>
      </c>
      <c r="O1759">
        <v>786.68742092762102</v>
      </c>
      <c r="P1759">
        <v>576.81304082245094</v>
      </c>
      <c r="Q1759">
        <v>695.99068250715595</v>
      </c>
      <c r="R1759">
        <v>909.07403399559701</v>
      </c>
      <c r="S1759">
        <v>754.99754628011101</v>
      </c>
      <c r="T1759">
        <v>554.53752058533303</v>
      </c>
      <c r="U1759">
        <v>599.55188884794995</v>
      </c>
      <c r="V1759">
        <v>572.33851938193095</v>
      </c>
      <c r="W1759">
        <v>580.82423447458905</v>
      </c>
    </row>
    <row r="1760" spans="1:23" x14ac:dyDescent="0.2">
      <c r="A1760" t="s">
        <v>3527</v>
      </c>
      <c r="B1760" s="3" t="str">
        <f>HYPERLINK("http://www.ncbi.nlm.nih.gov/gene/106014","Fam19a5")</f>
        <v>Fam19a5</v>
      </c>
      <c r="C1760">
        <v>106014</v>
      </c>
      <c r="D1760" t="s">
        <v>3528</v>
      </c>
      <c r="E1760" s="3" t="str">
        <f>HYPERLINK("http://genome.ucsc.edu/cgi-bin/hgTracks?db=mm10&amp;lastVirtModeType=default&amp;lastVirtModeExtraState=&amp;virtModeType=default&amp;virtMode=0&amp;nonVirtPosition=&amp;position=chr15:87625229-87759364","chr15:87625229-87759364")</f>
        <v>chr15:87625229-87759364</v>
      </c>
      <c r="F1760" t="s">
        <v>30</v>
      </c>
      <c r="G1760">
        <v>-0.47178873106129499</v>
      </c>
      <c r="H1760">
        <v>0.13581949209157501</v>
      </c>
      <c r="I1760">
        <v>-3.4736452315930801</v>
      </c>
      <c r="J1760">
        <v>5.1343941362776396E-4</v>
      </c>
      <c r="K1760">
        <v>3.9131856504777398E-3</v>
      </c>
      <c r="L1760" t="s">
        <v>26</v>
      </c>
      <c r="M1760" t="s">
        <v>27</v>
      </c>
      <c r="N1760">
        <v>389.87671182970001</v>
      </c>
      <c r="O1760">
        <v>467.787419793602</v>
      </c>
      <c r="P1760">
        <v>331.44368085677399</v>
      </c>
      <c r="Q1760">
        <v>461.581020638746</v>
      </c>
      <c r="R1760">
        <v>444.48676172</v>
      </c>
      <c r="S1760">
        <v>497.29447702206102</v>
      </c>
      <c r="T1760">
        <v>274.97728293487597</v>
      </c>
      <c r="U1760">
        <v>413.26255195590801</v>
      </c>
      <c r="V1760">
        <v>321.48063363740903</v>
      </c>
      <c r="W1760">
        <v>316.05425489890399</v>
      </c>
    </row>
    <row r="1761" spans="1:23" x14ac:dyDescent="0.2">
      <c r="A1761" t="s">
        <v>3529</v>
      </c>
      <c r="B1761" s="3" t="str">
        <f>HYPERLINK("http://www.ncbi.nlm.nih.gov/gene/74335","Xrcc3")</f>
        <v>Xrcc3</v>
      </c>
      <c r="C1761">
        <v>74335</v>
      </c>
      <c r="D1761" t="s">
        <v>3530</v>
      </c>
      <c r="E1761" s="3" t="str">
        <f>HYPERLINK("http://genome.ucsc.edu/cgi-bin/hgTracks?db=mm10&amp;lastVirtModeType=default&amp;lastVirtModeExtraState=&amp;virtModeType=default&amp;virtMode=0&amp;nonVirtPosition=&amp;position=chr12:111803191-111813879","chr12:111803191-111813879")</f>
        <v>chr12:111803191-111813879</v>
      </c>
      <c r="F1761" t="s">
        <v>25</v>
      </c>
      <c r="G1761">
        <v>1.0517901247402099</v>
      </c>
      <c r="H1761">
        <v>0.302827488157206</v>
      </c>
      <c r="I1761">
        <v>3.4732320079021202</v>
      </c>
      <c r="J1761">
        <v>5.1423062499984795E-4</v>
      </c>
      <c r="K1761">
        <v>3.9169865184146601E-3</v>
      </c>
      <c r="L1761" t="s">
        <v>26</v>
      </c>
      <c r="M1761" t="s">
        <v>27</v>
      </c>
      <c r="N1761">
        <v>61.172622900021899</v>
      </c>
      <c r="O1761">
        <v>33.686495785840201</v>
      </c>
      <c r="P1761">
        <v>81.787218235658202</v>
      </c>
      <c r="Q1761">
        <v>15.5901912881603</v>
      </c>
      <c r="R1761">
        <v>29.581883459180901</v>
      </c>
      <c r="S1761">
        <v>55.887412610179503</v>
      </c>
      <c r="T1761">
        <v>82.493184880462707</v>
      </c>
      <c r="U1761">
        <v>92.074040073077995</v>
      </c>
      <c r="V1761">
        <v>84.600166746686497</v>
      </c>
      <c r="W1761">
        <v>67.981481242405707</v>
      </c>
    </row>
    <row r="1762" spans="1:23" x14ac:dyDescent="0.2">
      <c r="A1762" t="s">
        <v>3531</v>
      </c>
      <c r="B1762" s="3" t="str">
        <f>HYPERLINK("http://www.ncbi.nlm.nih.gov/gene/74122","Tmem43")</f>
        <v>Tmem43</v>
      </c>
      <c r="C1762">
        <v>74122</v>
      </c>
      <c r="D1762" t="s">
        <v>3532</v>
      </c>
      <c r="E1762" s="3" t="str">
        <f>HYPERLINK("http://genome.ucsc.edu/cgi-bin/hgTracks?db=mm10&amp;lastVirtModeType=default&amp;lastVirtModeExtraState=&amp;virtModeType=default&amp;virtMode=0&amp;nonVirtPosition=&amp;position=chr6:91473750-91488458","chr6:91473750-91488458")</f>
        <v>chr6:91473750-91488458</v>
      </c>
      <c r="F1762" t="s">
        <v>30</v>
      </c>
      <c r="G1762">
        <v>-0.49944333958866999</v>
      </c>
      <c r="H1762">
        <v>0.14381741743846399</v>
      </c>
      <c r="I1762">
        <v>-3.4727597566711301</v>
      </c>
      <c r="J1762">
        <v>5.1513624966468099E-4</v>
      </c>
      <c r="K1762">
        <v>3.9200033156375604E-3</v>
      </c>
      <c r="L1762" t="s">
        <v>26</v>
      </c>
      <c r="M1762" t="s">
        <v>27</v>
      </c>
      <c r="N1762">
        <v>283.379023188573</v>
      </c>
      <c r="O1762">
        <v>345.72110820677801</v>
      </c>
      <c r="P1762">
        <v>236.62245942492001</v>
      </c>
      <c r="Q1762">
        <v>389.19798965800197</v>
      </c>
      <c r="R1762">
        <v>317.81561972812301</v>
      </c>
      <c r="S1762">
        <v>330.149715234209</v>
      </c>
      <c r="T1762">
        <v>215.39887163231899</v>
      </c>
      <c r="U1762">
        <v>214.12567458855401</v>
      </c>
      <c r="V1762">
        <v>273.66314808493399</v>
      </c>
      <c r="W1762">
        <v>243.302143393873</v>
      </c>
    </row>
    <row r="1763" spans="1:23" x14ac:dyDescent="0.2">
      <c r="A1763" t="s">
        <v>3533</v>
      </c>
      <c r="B1763" s="3" t="str">
        <f>HYPERLINK("http://www.ncbi.nlm.nih.gov/gene/231128","Fam193a")</f>
        <v>Fam193a</v>
      </c>
      <c r="C1763">
        <v>231128</v>
      </c>
      <c r="D1763" t="s">
        <v>3534</v>
      </c>
      <c r="E1763" s="3" t="str">
        <f>HYPERLINK("http://genome.ucsc.edu/cgi-bin/hgTracks?db=mm10&amp;lastVirtModeType=default&amp;lastVirtModeExtraState=&amp;virtModeType=default&amp;virtMode=0&amp;nonVirtPosition=&amp;position=chr5:34369932-34486458","chr5:34369932-34486458")</f>
        <v>chr5:34369932-34486458</v>
      </c>
      <c r="F1763" t="s">
        <v>30</v>
      </c>
      <c r="G1763">
        <v>0.38218071388649899</v>
      </c>
      <c r="H1763">
        <v>0.110052261692036</v>
      </c>
      <c r="I1763">
        <v>3.4727202150190402</v>
      </c>
      <c r="J1763">
        <v>5.1521214513644304E-4</v>
      </c>
      <c r="K1763">
        <v>3.9200033156375604E-3</v>
      </c>
      <c r="L1763" t="s">
        <v>26</v>
      </c>
      <c r="M1763" t="s">
        <v>27</v>
      </c>
      <c r="N1763">
        <v>414.39238641748898</v>
      </c>
      <c r="O1763">
        <v>351.73645830871197</v>
      </c>
      <c r="P1763">
        <v>461.384332499072</v>
      </c>
      <c r="Q1763">
        <v>355.23364435165303</v>
      </c>
      <c r="R1763">
        <v>339.81240486443699</v>
      </c>
      <c r="S1763">
        <v>360.16332571004602</v>
      </c>
      <c r="T1763">
        <v>476.627290420451</v>
      </c>
      <c r="U1763">
        <v>428.25134917710699</v>
      </c>
      <c r="V1763">
        <v>442.127827954422</v>
      </c>
      <c r="W1763">
        <v>498.53086244430801</v>
      </c>
    </row>
    <row r="1764" spans="1:23" x14ac:dyDescent="0.2">
      <c r="A1764" t="s">
        <v>3535</v>
      </c>
      <c r="B1764" s="3" t="str">
        <f>HYPERLINK("http://www.ncbi.nlm.nih.gov/gene/12418","Cbx4")</f>
        <v>Cbx4</v>
      </c>
      <c r="C1764">
        <v>12418</v>
      </c>
      <c r="D1764" t="s">
        <v>3536</v>
      </c>
      <c r="E1764" s="3" t="str">
        <f>HYPERLINK("http://genome.ucsc.edu/cgi-bin/hgTracks?db=mm10&amp;lastVirtModeType=default&amp;lastVirtModeExtraState=&amp;virtModeType=default&amp;virtMode=0&amp;nonVirtPosition=&amp;position=chr11:119077570-119086237","chr11:119077570-119086237")</f>
        <v>chr11:119077570-119086237</v>
      </c>
      <c r="F1764" t="s">
        <v>25</v>
      </c>
      <c r="G1764">
        <v>0.53162349523657204</v>
      </c>
      <c r="H1764">
        <v>0.15325796299431799</v>
      </c>
      <c r="I1764">
        <v>3.4688148325205299</v>
      </c>
      <c r="J1764">
        <v>5.2275962016207201E-4</v>
      </c>
      <c r="K1764">
        <v>3.9751698316810398E-3</v>
      </c>
      <c r="L1764" t="s">
        <v>26</v>
      </c>
      <c r="M1764" t="s">
        <v>27</v>
      </c>
      <c r="N1764">
        <v>164.99819184421301</v>
      </c>
      <c r="O1764">
        <v>129.368163138375</v>
      </c>
      <c r="P1764">
        <v>191.72071337359199</v>
      </c>
      <c r="Q1764">
        <v>135.30058867939101</v>
      </c>
      <c r="R1764">
        <v>115.67274942372001</v>
      </c>
      <c r="S1764">
        <v>137.13115131201499</v>
      </c>
      <c r="T1764">
        <v>192.48409805441301</v>
      </c>
      <c r="U1764">
        <v>218.408188080325</v>
      </c>
      <c r="V1764">
        <v>169.93598711725701</v>
      </c>
      <c r="W1764">
        <v>186.05458024237299</v>
      </c>
    </row>
    <row r="1765" spans="1:23" x14ac:dyDescent="0.2">
      <c r="A1765" t="s">
        <v>3537</v>
      </c>
      <c r="B1765" s="3" t="str">
        <f>HYPERLINK("http://www.ncbi.nlm.nih.gov/gene/67469","Abhd5")</f>
        <v>Abhd5</v>
      </c>
      <c r="C1765">
        <v>67469</v>
      </c>
      <c r="D1765" t="s">
        <v>3538</v>
      </c>
      <c r="E1765" s="3" t="str">
        <f>HYPERLINK("http://genome.ucsc.edu/cgi-bin/hgTracks?db=mm10&amp;lastVirtModeType=default&amp;lastVirtModeExtraState=&amp;virtModeType=default&amp;virtMode=0&amp;nonVirtPosition=&amp;position=chr9:122351615-122381523","chr9:122351615-122381523")</f>
        <v>chr9:122351615-122381523</v>
      </c>
      <c r="F1765" t="s">
        <v>30</v>
      </c>
      <c r="G1765">
        <v>-0.66765569144510295</v>
      </c>
      <c r="H1765">
        <v>0.19253342799916801</v>
      </c>
      <c r="I1765">
        <v>-3.4677390746296202</v>
      </c>
      <c r="J1765">
        <v>5.2485664033707804E-4</v>
      </c>
      <c r="K1765">
        <v>3.9888508914607303E-3</v>
      </c>
      <c r="L1765" t="s">
        <v>26</v>
      </c>
      <c r="M1765" t="s">
        <v>27</v>
      </c>
      <c r="N1765">
        <v>153.09068469533301</v>
      </c>
      <c r="O1765">
        <v>198.69403947903601</v>
      </c>
      <c r="P1765">
        <v>118.888168607555</v>
      </c>
      <c r="Q1765">
        <v>249.99985315657099</v>
      </c>
      <c r="R1765">
        <v>182.04235974880501</v>
      </c>
      <c r="S1765">
        <v>164.03990553173099</v>
      </c>
      <c r="T1765">
        <v>105.407958458369</v>
      </c>
      <c r="U1765">
        <v>119.91037776959</v>
      </c>
      <c r="V1765">
        <v>140.509842161888</v>
      </c>
      <c r="W1765">
        <v>109.72449604037401</v>
      </c>
    </row>
    <row r="1766" spans="1:23" x14ac:dyDescent="0.2">
      <c r="A1766" t="s">
        <v>3539</v>
      </c>
      <c r="B1766" s="3" t="str">
        <f>HYPERLINK("http://www.ncbi.nlm.nih.gov/gene/16172","Il17ra")</f>
        <v>Il17ra</v>
      </c>
      <c r="C1766">
        <v>16172</v>
      </c>
      <c r="D1766" t="s">
        <v>3540</v>
      </c>
      <c r="E1766" s="3" t="str">
        <f>HYPERLINK("http://genome.ucsc.edu/cgi-bin/hgTracks?db=mm10&amp;lastVirtModeType=default&amp;lastVirtModeExtraState=&amp;virtModeType=default&amp;virtMode=0&amp;nonVirtPosition=&amp;position=chr6:120463196-120483727","chr6:120463196-120483727")</f>
        <v>chr6:120463196-120483727</v>
      </c>
      <c r="F1766" t="s">
        <v>30</v>
      </c>
      <c r="G1766">
        <v>0.73763322115235397</v>
      </c>
      <c r="H1766">
        <v>0.21277744480649899</v>
      </c>
      <c r="I1766">
        <v>3.46668897083129</v>
      </c>
      <c r="J1766">
        <v>5.2691121101006101E-4</v>
      </c>
      <c r="K1766">
        <v>4.0021940026294502E-3</v>
      </c>
      <c r="L1766" t="s">
        <v>26</v>
      </c>
      <c r="M1766" t="s">
        <v>27</v>
      </c>
      <c r="N1766">
        <v>88.343539894649993</v>
      </c>
      <c r="O1766">
        <v>62.441104768135503</v>
      </c>
      <c r="P1766">
        <v>107.770366239536</v>
      </c>
      <c r="Q1766">
        <v>82.962089354853006</v>
      </c>
      <c r="R1766">
        <v>51.578668595494896</v>
      </c>
      <c r="S1766">
        <v>52.782556354058499</v>
      </c>
      <c r="T1766">
        <v>109.99091317395001</v>
      </c>
      <c r="U1766">
        <v>100.63906705661999</v>
      </c>
      <c r="V1766">
        <v>115.497618949824</v>
      </c>
      <c r="W1766">
        <v>104.953865777749</v>
      </c>
    </row>
    <row r="1767" spans="1:23" x14ac:dyDescent="0.2">
      <c r="A1767" t="s">
        <v>3541</v>
      </c>
      <c r="B1767" s="3" t="str">
        <f>HYPERLINK("http://www.ncbi.nlm.nih.gov/gene/105014","Rdh14")</f>
        <v>Rdh14</v>
      </c>
      <c r="C1767">
        <v>105014</v>
      </c>
      <c r="D1767" t="s">
        <v>3542</v>
      </c>
      <c r="E1767" s="3" t="str">
        <f>HYPERLINK("http://genome.ucsc.edu/cgi-bin/hgTracks?db=mm10&amp;lastVirtModeType=default&amp;lastVirtModeExtraState=&amp;virtModeType=default&amp;virtMode=0&amp;nonVirtPosition=&amp;position=chr12:10390779-10395562","chr12:10390779-10395562")</f>
        <v>chr12:10390779-10395562</v>
      </c>
      <c r="F1767" t="s">
        <v>30</v>
      </c>
      <c r="G1767">
        <v>-0.88981508081753602</v>
      </c>
      <c r="H1767">
        <v>0.25674229230878298</v>
      </c>
      <c r="I1767">
        <v>-3.4657908240040101</v>
      </c>
      <c r="J1767">
        <v>5.2867441581317396E-4</v>
      </c>
      <c r="K1767">
        <v>4.0133101486134999E-3</v>
      </c>
      <c r="L1767" t="s">
        <v>26</v>
      </c>
      <c r="M1767" t="s">
        <v>27</v>
      </c>
      <c r="N1767">
        <v>39.117629681192398</v>
      </c>
      <c r="O1767">
        <v>55.467606206127797</v>
      </c>
      <c r="P1767">
        <v>26.855147287490901</v>
      </c>
      <c r="Q1767">
        <v>61.803972606635497</v>
      </c>
      <c r="R1767">
        <v>58.026002169931701</v>
      </c>
      <c r="S1767">
        <v>46.572843841816301</v>
      </c>
      <c r="T1767">
        <v>18.3318188623251</v>
      </c>
      <c r="U1767">
        <v>34.260107934168602</v>
      </c>
      <c r="V1767">
        <v>25.012223212063802</v>
      </c>
      <c r="W1767">
        <v>29.816439141406001</v>
      </c>
    </row>
    <row r="1768" spans="1:23" x14ac:dyDescent="0.2">
      <c r="A1768" t="s">
        <v>3543</v>
      </c>
      <c r="B1768" s="3" t="str">
        <f>HYPERLINK("http://www.ncbi.nlm.nih.gov/gene/194590","Reps2")</f>
        <v>Reps2</v>
      </c>
      <c r="C1768">
        <v>194590</v>
      </c>
      <c r="D1768" t="s">
        <v>3544</v>
      </c>
      <c r="E1768" s="3" t="str">
        <f>HYPERLINK("http://genome.ucsc.edu/cgi-bin/hgTracks?db=mm10&amp;lastVirtModeType=default&amp;lastVirtModeExtraState=&amp;virtModeType=default&amp;virtMode=0&amp;nonVirtPosition=&amp;position=chrX:162411951-162643658","chrX:162411951-162643658")</f>
        <v>chrX:162411951-162643658</v>
      </c>
      <c r="F1768" t="s">
        <v>25</v>
      </c>
      <c r="G1768">
        <v>-0.89522241627556598</v>
      </c>
      <c r="H1768">
        <v>0.258348997801427</v>
      </c>
      <c r="I1768">
        <v>-3.4651669791405801</v>
      </c>
      <c r="J1768">
        <v>5.2990235651288503E-4</v>
      </c>
      <c r="K1768">
        <v>4.0203526663252402E-3</v>
      </c>
      <c r="L1768" t="s">
        <v>26</v>
      </c>
      <c r="M1768" t="s">
        <v>27</v>
      </c>
      <c r="N1768">
        <v>218.151424357423</v>
      </c>
      <c r="O1768">
        <v>306.26227739011898</v>
      </c>
      <c r="P1768">
        <v>152.06828458290099</v>
      </c>
      <c r="Q1768">
        <v>490.53423303104398</v>
      </c>
      <c r="R1768">
        <v>247.65346024160399</v>
      </c>
      <c r="S1768">
        <v>180.59913889770999</v>
      </c>
      <c r="T1768">
        <v>169.56932447650701</v>
      </c>
      <c r="U1768">
        <v>137.04043173667401</v>
      </c>
      <c r="V1768">
        <v>163.31510450229899</v>
      </c>
      <c r="W1768">
        <v>138.34827761612399</v>
      </c>
    </row>
    <row r="1769" spans="1:23" x14ac:dyDescent="0.2">
      <c r="A1769" t="s">
        <v>3545</v>
      </c>
      <c r="B1769" s="3" t="str">
        <f>HYPERLINK("http://www.ncbi.nlm.nih.gov/gene/56741","Igdcc4")</f>
        <v>Igdcc4</v>
      </c>
      <c r="C1769">
        <v>56741</v>
      </c>
      <c r="D1769" t="s">
        <v>3546</v>
      </c>
      <c r="E1769" s="3" t="str">
        <f>HYPERLINK("http://genome.ucsc.edu/cgi-bin/hgTracks?db=mm10&amp;lastVirtModeType=default&amp;lastVirtModeExtraState=&amp;virtModeType=default&amp;virtMode=0&amp;nonVirtPosition=&amp;position=chr9:65101485-65137947","chr9:65101485-65137947")</f>
        <v>chr9:65101485-65137947</v>
      </c>
      <c r="F1769" t="s">
        <v>30</v>
      </c>
      <c r="G1769">
        <v>0.64254293220117498</v>
      </c>
      <c r="H1769">
        <v>0.185495657219648</v>
      </c>
      <c r="I1769">
        <v>3.4639243949540499</v>
      </c>
      <c r="J1769">
        <v>5.32356111398872E-4</v>
      </c>
      <c r="K1769">
        <v>4.0366426167845601E-3</v>
      </c>
      <c r="L1769" t="s">
        <v>26</v>
      </c>
      <c r="M1769" t="s">
        <v>27</v>
      </c>
      <c r="N1769">
        <v>178.85331229661</v>
      </c>
      <c r="O1769">
        <v>133.55191148490701</v>
      </c>
      <c r="P1769">
        <v>212.829362905388</v>
      </c>
      <c r="Q1769">
        <v>166.48097125571201</v>
      </c>
      <c r="R1769">
        <v>115.67274942372001</v>
      </c>
      <c r="S1769">
        <v>118.50201377528801</v>
      </c>
      <c r="T1769">
        <v>178.735233907669</v>
      </c>
      <c r="U1769">
        <v>271.939606727463</v>
      </c>
      <c r="V1769">
        <v>197.89082482485799</v>
      </c>
      <c r="W1769">
        <v>202.751786161561</v>
      </c>
    </row>
    <row r="1770" spans="1:23" x14ac:dyDescent="0.2">
      <c r="A1770" t="s">
        <v>3547</v>
      </c>
      <c r="B1770" s="3" t="str">
        <f>HYPERLINK("http://www.ncbi.nlm.nih.gov/gene/67201","Glod4")</f>
        <v>Glod4</v>
      </c>
      <c r="C1770">
        <v>67201</v>
      </c>
      <c r="D1770" t="s">
        <v>3548</v>
      </c>
      <c r="E1770" s="3" t="str">
        <f>HYPERLINK("http://genome.ucsc.edu/cgi-bin/hgTracks?db=mm10&amp;lastVirtModeType=default&amp;lastVirtModeExtraState=&amp;virtModeType=default&amp;virtMode=0&amp;nonVirtPosition=&amp;position=chr11:76220394-76243699","chr11:76220394-76243699")</f>
        <v>chr11:76220394-76243699</v>
      </c>
      <c r="F1770" t="s">
        <v>25</v>
      </c>
      <c r="G1770">
        <v>-0.60257381925475095</v>
      </c>
      <c r="H1770">
        <v>0.17396449354334401</v>
      </c>
      <c r="I1770">
        <v>-3.4637747449574601</v>
      </c>
      <c r="J1770">
        <v>5.3265234141276405E-4</v>
      </c>
      <c r="K1770">
        <v>4.0366426167845601E-3</v>
      </c>
      <c r="L1770" t="s">
        <v>26</v>
      </c>
      <c r="M1770" t="s">
        <v>27</v>
      </c>
      <c r="N1770">
        <v>154.23946083425599</v>
      </c>
      <c r="O1770">
        <v>191.97061751614601</v>
      </c>
      <c r="P1770">
        <v>125.941093322838</v>
      </c>
      <c r="Q1770">
        <v>220.48984821826701</v>
      </c>
      <c r="R1770">
        <v>197.591811310683</v>
      </c>
      <c r="S1770">
        <v>157.830193019489</v>
      </c>
      <c r="T1770">
        <v>132.90568675185699</v>
      </c>
      <c r="U1770">
        <v>141.32294522844501</v>
      </c>
      <c r="V1770">
        <v>116.23327257370801</v>
      </c>
      <c r="W1770">
        <v>113.30246873734301</v>
      </c>
    </row>
    <row r="1771" spans="1:23" x14ac:dyDescent="0.2">
      <c r="A1771" t="s">
        <v>3549</v>
      </c>
      <c r="B1771" s="3" t="str">
        <f>HYPERLINK("http://www.ncbi.nlm.nih.gov/gene/268935","Scube3")</f>
        <v>Scube3</v>
      </c>
      <c r="C1771">
        <v>268935</v>
      </c>
      <c r="D1771" t="s">
        <v>3550</v>
      </c>
      <c r="E1771" s="3" t="str">
        <f>HYPERLINK("http://genome.ucsc.edu/cgi-bin/hgTracks?db=mm10&amp;lastVirtModeType=default&amp;lastVirtModeExtraState=&amp;virtModeType=default&amp;virtMode=0&amp;nonVirtPosition=&amp;position=chr17:28142525-28171345","chr17:28142525-28171345")</f>
        <v>chr17:28142525-28171345</v>
      </c>
      <c r="F1771" t="s">
        <v>30</v>
      </c>
      <c r="G1771">
        <v>0.952396227926677</v>
      </c>
      <c r="H1771">
        <v>0.27501962036340999</v>
      </c>
      <c r="I1771">
        <v>3.4630119359054601</v>
      </c>
      <c r="J1771">
        <v>5.3416469928707795E-4</v>
      </c>
      <c r="K1771">
        <v>4.0458141901319397E-3</v>
      </c>
      <c r="L1771" t="s">
        <v>26</v>
      </c>
      <c r="M1771" t="s">
        <v>27</v>
      </c>
      <c r="N1771">
        <v>96.209329975493404</v>
      </c>
      <c r="O1771">
        <v>59.786742469047802</v>
      </c>
      <c r="P1771">
        <v>123.52627060532799</v>
      </c>
      <c r="Q1771">
        <v>55.122462054566803</v>
      </c>
      <c r="R1771">
        <v>42.476550608054602</v>
      </c>
      <c r="S1771">
        <v>81.761214744521894</v>
      </c>
      <c r="T1771">
        <v>77.910230164881497</v>
      </c>
      <c r="U1771">
        <v>87.791526581306996</v>
      </c>
      <c r="V1771">
        <v>181.70644509940499</v>
      </c>
      <c r="W1771">
        <v>146.69688057571801</v>
      </c>
    </row>
    <row r="1772" spans="1:23" x14ac:dyDescent="0.2">
      <c r="A1772" t="s">
        <v>3551</v>
      </c>
      <c r="B1772" s="3" t="str">
        <f>HYPERLINK("http://www.ncbi.nlm.nih.gov/gene/66241","Tmem9")</f>
        <v>Tmem9</v>
      </c>
      <c r="C1772">
        <v>66241</v>
      </c>
      <c r="D1772" t="s">
        <v>3552</v>
      </c>
      <c r="E1772" s="3" t="str">
        <f>HYPERLINK("http://genome.ucsc.edu/cgi-bin/hgTracks?db=mm10&amp;lastVirtModeType=default&amp;lastVirtModeExtraState=&amp;virtModeType=default&amp;virtMode=0&amp;nonVirtPosition=&amp;position=chr1:136018000-136035030","chr1:136018000-136035030")</f>
        <v>chr1:136018000-136035030</v>
      </c>
      <c r="F1772" t="s">
        <v>30</v>
      </c>
      <c r="G1772">
        <v>-0.48685440767217902</v>
      </c>
      <c r="H1772">
        <v>0.14059411252244899</v>
      </c>
      <c r="I1772">
        <v>-3.4628363801111499</v>
      </c>
      <c r="J1772">
        <v>5.3451332503352898E-4</v>
      </c>
      <c r="K1772">
        <v>4.0461661591430099E-3</v>
      </c>
      <c r="L1772" t="s">
        <v>26</v>
      </c>
      <c r="M1772" t="s">
        <v>27</v>
      </c>
      <c r="N1772">
        <v>179.69306516812799</v>
      </c>
      <c r="O1772">
        <v>216.902993612844</v>
      </c>
      <c r="P1772">
        <v>151.78561883459099</v>
      </c>
      <c r="Q1772">
        <v>233.29607677639899</v>
      </c>
      <c r="R1772">
        <v>202.142870304403</v>
      </c>
      <c r="S1772">
        <v>215.27003375772901</v>
      </c>
      <c r="T1772">
        <v>151.237505614182</v>
      </c>
      <c r="U1772">
        <v>141.32294522844501</v>
      </c>
      <c r="V1772">
        <v>155.95856826345701</v>
      </c>
      <c r="W1772">
        <v>158.62345623228001</v>
      </c>
    </row>
    <row r="1773" spans="1:23" x14ac:dyDescent="0.2">
      <c r="A1773" t="s">
        <v>3553</v>
      </c>
      <c r="B1773" s="3" t="str">
        <f>HYPERLINK("http://www.ncbi.nlm.nih.gov/gene/13194","Ddb1")</f>
        <v>Ddb1</v>
      </c>
      <c r="C1773">
        <v>13194</v>
      </c>
      <c r="D1773" t="s">
        <v>3554</v>
      </c>
      <c r="E1773" s="3" t="str">
        <f>HYPERLINK("http://genome.ucsc.edu/cgi-bin/hgTracks?db=mm10&amp;lastVirtModeType=default&amp;lastVirtModeExtraState=&amp;virtModeType=default&amp;virtMode=0&amp;nonVirtPosition=&amp;position=chr19:10605624-10629821","chr19:10605624-10629821")</f>
        <v>chr19:10605624-10629821</v>
      </c>
      <c r="F1773" t="s">
        <v>30</v>
      </c>
      <c r="G1773">
        <v>-0.417647759561665</v>
      </c>
      <c r="H1773">
        <v>0.120744253103333</v>
      </c>
      <c r="I1773">
        <v>-3.4589452402694598</v>
      </c>
      <c r="J1773">
        <v>5.4229514613091904E-4</v>
      </c>
      <c r="K1773">
        <v>4.10275384284697E-3</v>
      </c>
      <c r="L1773" t="s">
        <v>26</v>
      </c>
      <c r="M1773" t="s">
        <v>27</v>
      </c>
      <c r="N1773">
        <v>1953.3532565681701</v>
      </c>
      <c r="O1773">
        <v>2295.5507327729802</v>
      </c>
      <c r="P1773">
        <v>1696.7051494145601</v>
      </c>
      <c r="Q1773">
        <v>2217.7047107407998</v>
      </c>
      <c r="R1773">
        <v>2238.3625150780199</v>
      </c>
      <c r="S1773">
        <v>2430.5849725001199</v>
      </c>
      <c r="T1773">
        <v>1420.7159618301901</v>
      </c>
      <c r="U1773">
        <v>1775.1018423391099</v>
      </c>
      <c r="V1773">
        <v>1895.0437351257799</v>
      </c>
      <c r="W1773">
        <v>1695.95905836317</v>
      </c>
    </row>
    <row r="1774" spans="1:23" x14ac:dyDescent="0.2">
      <c r="A1774" t="s">
        <v>3555</v>
      </c>
      <c r="B1774" s="3" t="str">
        <f>HYPERLINK("http://www.ncbi.nlm.nih.gov/gene/67171","Dram2")</f>
        <v>Dram2</v>
      </c>
      <c r="C1774">
        <v>67171</v>
      </c>
      <c r="D1774" t="s">
        <v>3556</v>
      </c>
      <c r="E1774" s="3" t="str">
        <f>HYPERLINK("http://genome.ucsc.edu/cgi-bin/hgTracks?db=mm10&amp;lastVirtModeType=default&amp;lastVirtModeExtraState=&amp;virtModeType=default&amp;virtMode=0&amp;nonVirtPosition=&amp;position=chr3:106547797-106575341","chr3:106547797-106575341")</f>
        <v>chr3:106547797-106575341</v>
      </c>
      <c r="F1774" t="s">
        <v>30</v>
      </c>
      <c r="G1774">
        <v>-0.68939279531087205</v>
      </c>
      <c r="H1774">
        <v>0.199331280547768</v>
      </c>
      <c r="I1774">
        <v>-3.4585279009716898</v>
      </c>
      <c r="J1774">
        <v>5.4313601374113795E-4</v>
      </c>
      <c r="K1774">
        <v>4.1067952343351597E-3</v>
      </c>
      <c r="L1774" t="s">
        <v>26</v>
      </c>
      <c r="M1774" t="s">
        <v>27</v>
      </c>
      <c r="N1774">
        <v>133.353693066902</v>
      </c>
      <c r="O1774">
        <v>173.023118614704</v>
      </c>
      <c r="P1774">
        <v>103.60162390604999</v>
      </c>
      <c r="Q1774">
        <v>200.44531656206101</v>
      </c>
      <c r="R1774">
        <v>177.870555671229</v>
      </c>
      <c r="S1774">
        <v>140.753483610823</v>
      </c>
      <c r="T1774">
        <v>109.99091317395001</v>
      </c>
      <c r="U1774">
        <v>100.63906705661999</v>
      </c>
      <c r="V1774">
        <v>125.06111606031899</v>
      </c>
      <c r="W1774">
        <v>78.715399333311794</v>
      </c>
    </row>
    <row r="1775" spans="1:23" x14ac:dyDescent="0.2">
      <c r="A1775" t="s">
        <v>3557</v>
      </c>
      <c r="B1775" s="3" t="str">
        <f>HYPERLINK("http://www.ncbi.nlm.nih.gov/gene/71901","Fam219a")</f>
        <v>Fam219a</v>
      </c>
      <c r="C1775">
        <v>71901</v>
      </c>
      <c r="D1775" t="s">
        <v>3558</v>
      </c>
      <c r="E1775" s="3" t="str">
        <f>HYPERLINK("http://genome.ucsc.edu/cgi-bin/hgTracks?db=mm10&amp;lastVirtModeType=default&amp;lastVirtModeExtraState=&amp;virtModeType=default&amp;virtMode=0&amp;nonVirtPosition=&amp;position=chr4:41518928-41569527","chr4:41518928-41569527")</f>
        <v>chr4:41518928-41569527</v>
      </c>
      <c r="F1775" t="s">
        <v>25</v>
      </c>
      <c r="G1775">
        <v>0.42192309590022897</v>
      </c>
      <c r="H1775">
        <v>0.12205988165758699</v>
      </c>
      <c r="I1775">
        <v>3.4566893738586901</v>
      </c>
      <c r="J1775">
        <v>5.4685481544393996E-4</v>
      </c>
      <c r="K1775">
        <v>4.1325806058745999E-3</v>
      </c>
      <c r="L1775" t="s">
        <v>26</v>
      </c>
      <c r="M1775" t="s">
        <v>27</v>
      </c>
      <c r="N1775">
        <v>294.25287487382798</v>
      </c>
      <c r="O1775">
        <v>245.35547381177199</v>
      </c>
      <c r="P1775">
        <v>330.92592567037002</v>
      </c>
      <c r="Q1775">
        <v>236.080039506427</v>
      </c>
      <c r="R1775">
        <v>228.31145951829299</v>
      </c>
      <c r="S1775">
        <v>271.674922410595</v>
      </c>
      <c r="T1775">
        <v>329.972739521851</v>
      </c>
      <c r="U1775">
        <v>336.17730910402901</v>
      </c>
      <c r="V1775">
        <v>329.57282350013497</v>
      </c>
      <c r="W1775">
        <v>327.98083055546601</v>
      </c>
    </row>
    <row r="1776" spans="1:23" x14ac:dyDescent="0.2">
      <c r="A1776" t="s">
        <v>3559</v>
      </c>
      <c r="B1776" s="3" t="str">
        <f>HYPERLINK("http://www.ncbi.nlm.nih.gov/gene/17470","Cd200")</f>
        <v>Cd200</v>
      </c>
      <c r="C1776">
        <v>17470</v>
      </c>
      <c r="D1776" t="s">
        <v>3560</v>
      </c>
      <c r="E1776" s="3" t="str">
        <f>HYPERLINK("http://genome.ucsc.edu/cgi-bin/hgTracks?db=mm10&amp;lastVirtModeType=default&amp;lastVirtModeExtraState=&amp;virtModeType=default&amp;virtMode=0&amp;nonVirtPosition=&amp;position=chr16:45382134-45409053","chr16:45382134-45409053")</f>
        <v>chr16:45382134-45409053</v>
      </c>
      <c r="F1776" t="s">
        <v>25</v>
      </c>
      <c r="G1776">
        <v>-0.55718227400468201</v>
      </c>
      <c r="H1776">
        <v>0.16119875556548799</v>
      </c>
      <c r="I1776">
        <v>-3.4564924031210902</v>
      </c>
      <c r="J1776">
        <v>5.4725463320120702E-4</v>
      </c>
      <c r="K1776">
        <v>4.1325837871693796E-3</v>
      </c>
      <c r="L1776" t="s">
        <v>26</v>
      </c>
      <c r="M1776" t="s">
        <v>27</v>
      </c>
      <c r="N1776">
        <v>321.32684993890098</v>
      </c>
      <c r="O1776">
        <v>396.85855133918301</v>
      </c>
      <c r="P1776">
        <v>264.67807388868903</v>
      </c>
      <c r="Q1776">
        <v>476.61441938090098</v>
      </c>
      <c r="R1776">
        <v>317.05710989583599</v>
      </c>
      <c r="S1776">
        <v>396.90412474081199</v>
      </c>
      <c r="T1776">
        <v>279.560237650457</v>
      </c>
      <c r="U1776">
        <v>231.255728555638</v>
      </c>
      <c r="V1776">
        <v>279.548377076007</v>
      </c>
      <c r="W1776">
        <v>268.34795227265403</v>
      </c>
    </row>
    <row r="1777" spans="1:23" x14ac:dyDescent="0.2">
      <c r="A1777" t="s">
        <v>3561</v>
      </c>
      <c r="B1777" s="3" t="str">
        <f>HYPERLINK("http://www.ncbi.nlm.nih.gov/gene/75693","3010001F23Rik")</f>
        <v>3010001F23Rik</v>
      </c>
      <c r="C1777">
        <v>75693</v>
      </c>
      <c r="D1777" t="s">
        <v>3562</v>
      </c>
      <c r="E1777" s="3" t="str">
        <f>HYPERLINK("http://genome.ucsc.edu/cgi-bin/hgTracks?db=mm10&amp;lastVirtModeType=default&amp;lastVirtModeExtraState=&amp;virtModeType=default&amp;virtMode=0&amp;nonVirtPosition=&amp;position=chrX:152368571-152416702","chrX:152368571-152416702")</f>
        <v>chrX:152368571-152416702</v>
      </c>
      <c r="F1777" t="s">
        <v>30</v>
      </c>
      <c r="G1777">
        <v>1.28822279716365</v>
      </c>
      <c r="H1777">
        <v>0.37270811597001302</v>
      </c>
      <c r="I1777">
        <v>3.4563851495718398</v>
      </c>
      <c r="J1777">
        <v>5.47472454517099E-4</v>
      </c>
      <c r="K1777">
        <v>4.1325837871693796E-3</v>
      </c>
      <c r="L1777" t="s">
        <v>26</v>
      </c>
      <c r="M1777" t="s">
        <v>27</v>
      </c>
      <c r="N1777">
        <v>10.778525649216901</v>
      </c>
      <c r="O1777">
        <v>3.9433017749894299</v>
      </c>
      <c r="P1777">
        <v>15.9049435548876</v>
      </c>
      <c r="Q1777">
        <v>3.8975478220400701</v>
      </c>
      <c r="R1777">
        <v>3.7925491614334499</v>
      </c>
      <c r="S1777">
        <v>4.1398083414947804</v>
      </c>
      <c r="T1777">
        <v>18.3318188623251</v>
      </c>
      <c r="U1777">
        <v>21.412567458855399</v>
      </c>
      <c r="V1777">
        <v>9.5634971104949908</v>
      </c>
      <c r="W1777">
        <v>14.3118907878749</v>
      </c>
    </row>
    <row r="1778" spans="1:23" x14ac:dyDescent="0.2">
      <c r="A1778" t="s">
        <v>3563</v>
      </c>
      <c r="B1778" s="3" t="str">
        <f>HYPERLINK("http://www.ncbi.nlm.nih.gov/gene/16363","Irf2")</f>
        <v>Irf2</v>
      </c>
      <c r="C1778">
        <v>16363</v>
      </c>
      <c r="D1778" t="s">
        <v>3564</v>
      </c>
      <c r="E1778" s="3" t="str">
        <f>HYPERLINK("http://genome.ucsc.edu/cgi-bin/hgTracks?db=mm10&amp;lastVirtModeType=default&amp;lastVirtModeExtraState=&amp;virtModeType=default&amp;virtMode=0&amp;nonVirtPosition=&amp;position=chr8:46739744-46847458","chr8:46739744-46847458")</f>
        <v>chr8:46739744-46847458</v>
      </c>
      <c r="F1778" t="s">
        <v>30</v>
      </c>
      <c r="G1778">
        <v>0.65321410024642201</v>
      </c>
      <c r="H1778">
        <v>0.18915054494927899</v>
      </c>
      <c r="I1778">
        <v>3.45340850284932</v>
      </c>
      <c r="J1778">
        <v>5.5355005116710396E-4</v>
      </c>
      <c r="K1778">
        <v>4.17610632967813E-3</v>
      </c>
      <c r="L1778" t="s">
        <v>26</v>
      </c>
      <c r="M1778" t="s">
        <v>27</v>
      </c>
      <c r="N1778">
        <v>103.758656048586</v>
      </c>
      <c r="O1778">
        <v>77.509131014188</v>
      </c>
      <c r="P1778">
        <v>123.44579982438501</v>
      </c>
      <c r="Q1778">
        <v>81.291711716835806</v>
      </c>
      <c r="R1778">
        <v>66.369610325085304</v>
      </c>
      <c r="S1778">
        <v>84.866071000643004</v>
      </c>
      <c r="T1778">
        <v>128.322732036275</v>
      </c>
      <c r="U1778">
        <v>94.215296818963594</v>
      </c>
      <c r="V1778">
        <v>141.24549578577199</v>
      </c>
      <c r="W1778">
        <v>129.99967465653</v>
      </c>
    </row>
    <row r="1779" spans="1:23" x14ac:dyDescent="0.2">
      <c r="A1779" t="s">
        <v>3565</v>
      </c>
      <c r="B1779" s="3" t="str">
        <f>HYPERLINK("http://www.ncbi.nlm.nih.gov/gene/170644","Ubn1")</f>
        <v>Ubn1</v>
      </c>
      <c r="C1779">
        <v>170644</v>
      </c>
      <c r="D1779" t="s">
        <v>3566</v>
      </c>
      <c r="E1779" s="3" t="str">
        <f>HYPERLINK("http://genome.ucsc.edu/cgi-bin/hgTracks?db=mm10&amp;lastVirtModeType=default&amp;lastVirtModeExtraState=&amp;virtModeType=default&amp;virtMode=0&amp;nonVirtPosition=&amp;position=chr16:5050067-5086285","chr16:5050067-5086285")</f>
        <v>chr16:5050067-5086285</v>
      </c>
      <c r="F1779" t="s">
        <v>30</v>
      </c>
      <c r="G1779">
        <v>0.40950739973264799</v>
      </c>
      <c r="H1779">
        <v>0.11859098534224</v>
      </c>
      <c r="I1779">
        <v>3.4531073213605299</v>
      </c>
      <c r="J1779">
        <v>5.5416847986302796E-4</v>
      </c>
      <c r="K1779">
        <v>4.1784178568951601E-3</v>
      </c>
      <c r="L1779" t="s">
        <v>26</v>
      </c>
      <c r="M1779" t="s">
        <v>27</v>
      </c>
      <c r="N1779">
        <v>467.767763626266</v>
      </c>
      <c r="O1779">
        <v>394.55249936167399</v>
      </c>
      <c r="P1779">
        <v>522.67921182471002</v>
      </c>
      <c r="Q1779">
        <v>366.92628781777302</v>
      </c>
      <c r="R1779">
        <v>375.841621898055</v>
      </c>
      <c r="S1779">
        <v>440.88958836919397</v>
      </c>
      <c r="T1779">
        <v>485.79319985161402</v>
      </c>
      <c r="U1779">
        <v>513.90161901252804</v>
      </c>
      <c r="V1779">
        <v>559.09675415201502</v>
      </c>
      <c r="W1779">
        <v>531.92527428268295</v>
      </c>
    </row>
    <row r="1780" spans="1:23" x14ac:dyDescent="0.2">
      <c r="A1780" t="s">
        <v>3567</v>
      </c>
      <c r="B1780" s="3" t="str">
        <f>HYPERLINK("http://www.ncbi.nlm.nih.gov/gene/22388","Wdr1")</f>
        <v>Wdr1</v>
      </c>
      <c r="C1780">
        <v>22388</v>
      </c>
      <c r="D1780" t="s">
        <v>3568</v>
      </c>
      <c r="E1780" s="3" t="str">
        <f>HYPERLINK("http://genome.ucsc.edu/cgi-bin/hgTracks?db=mm10&amp;lastVirtModeType=default&amp;lastVirtModeExtraState=&amp;virtModeType=default&amp;virtMode=0&amp;nonVirtPosition=&amp;position=chr5:38526812-38561595","chr5:38526812-38561595")</f>
        <v>chr5:38526812-38561595</v>
      </c>
      <c r="F1780" t="s">
        <v>25</v>
      </c>
      <c r="G1780">
        <v>-0.53358556816569802</v>
      </c>
      <c r="H1780">
        <v>0.154598791169892</v>
      </c>
      <c r="I1780">
        <v>-3.4514213476567699</v>
      </c>
      <c r="J1780">
        <v>5.5764226203830003E-4</v>
      </c>
      <c r="K1780">
        <v>4.20133419870074E-3</v>
      </c>
      <c r="L1780" t="s">
        <v>26</v>
      </c>
      <c r="M1780" t="s">
        <v>27</v>
      </c>
      <c r="N1780">
        <v>1597.29131850709</v>
      </c>
      <c r="O1780">
        <v>1954.90700881159</v>
      </c>
      <c r="P1780">
        <v>1329.07955077872</v>
      </c>
      <c r="Q1780">
        <v>2422.0475751249</v>
      </c>
      <c r="R1780">
        <v>1883.00065865171</v>
      </c>
      <c r="S1780">
        <v>1559.67279265816</v>
      </c>
      <c r="T1780">
        <v>1269.47845621601</v>
      </c>
      <c r="U1780">
        <v>1406.8056820468</v>
      </c>
      <c r="V1780">
        <v>1398.4775390039199</v>
      </c>
      <c r="W1780">
        <v>1241.5565258481499</v>
      </c>
    </row>
    <row r="1781" spans="1:23" x14ac:dyDescent="0.2">
      <c r="A1781" t="s">
        <v>3569</v>
      </c>
      <c r="B1781" s="3" t="str">
        <f>HYPERLINK("http://www.ncbi.nlm.nih.gov/gene/22339","Vegfa")</f>
        <v>Vegfa</v>
      </c>
      <c r="C1781">
        <v>22339</v>
      </c>
      <c r="D1781" t="s">
        <v>3570</v>
      </c>
      <c r="E1781" s="3" t="str">
        <f>HYPERLINK("http://genome.ucsc.edu/cgi-bin/hgTracks?db=mm10&amp;lastVirtModeType=default&amp;lastVirtModeExtraState=&amp;virtModeType=default&amp;virtMode=0&amp;nonVirtPosition=&amp;position=chr17:46016993-46032377","chr17:46016993-46032377")</f>
        <v>chr17:46016993-46032377</v>
      </c>
      <c r="F1781" t="s">
        <v>25</v>
      </c>
      <c r="G1781">
        <v>0.84609287024061197</v>
      </c>
      <c r="H1781">
        <v>0.24514994837231399</v>
      </c>
      <c r="I1781">
        <v>3.4513279560460401</v>
      </c>
      <c r="J1781">
        <v>5.5783527782017205E-4</v>
      </c>
      <c r="K1781">
        <v>4.20133419870074E-3</v>
      </c>
      <c r="L1781" t="s">
        <v>26</v>
      </c>
      <c r="M1781" t="s">
        <v>27</v>
      </c>
      <c r="N1781">
        <v>1379.28490301791</v>
      </c>
      <c r="O1781">
        <v>901.89075089717903</v>
      </c>
      <c r="P1781">
        <v>1737.3305171084601</v>
      </c>
      <c r="Q1781">
        <v>439.30931879851698</v>
      </c>
      <c r="R1781">
        <v>1166.2088671407801</v>
      </c>
      <c r="S1781">
        <v>1100.1540667522399</v>
      </c>
      <c r="T1781">
        <v>1796.5182485078601</v>
      </c>
      <c r="U1781">
        <v>1479.6084114068999</v>
      </c>
      <c r="V1781">
        <v>1970.0804047619699</v>
      </c>
      <c r="W1781">
        <v>1703.1150037571099</v>
      </c>
    </row>
    <row r="1782" spans="1:23" x14ac:dyDescent="0.2">
      <c r="A1782" t="s">
        <v>3571</v>
      </c>
      <c r="B1782" s="3" t="str">
        <f>HYPERLINK("http://www.ncbi.nlm.nih.gov/gene/69146","Gsdmd")</f>
        <v>Gsdmd</v>
      </c>
      <c r="C1782">
        <v>69146</v>
      </c>
      <c r="D1782" t="s">
        <v>3572</v>
      </c>
      <c r="E1782" s="3" t="str">
        <f>HYPERLINK("http://genome.ucsc.edu/cgi-bin/hgTracks?db=mm10&amp;lastVirtModeType=default&amp;lastVirtModeExtraState=&amp;virtModeType=default&amp;virtMode=0&amp;nonVirtPosition=&amp;position=chr15:75862338-75867404","chr15:75862338-75867404")</f>
        <v>chr15:75862338-75867404</v>
      </c>
      <c r="F1782" t="s">
        <v>30</v>
      </c>
      <c r="G1782">
        <v>1.0283773167583401</v>
      </c>
      <c r="H1782">
        <v>0.297981294033275</v>
      </c>
      <c r="I1782">
        <v>3.4511472275286801</v>
      </c>
      <c r="J1782">
        <v>5.5820897264387498E-4</v>
      </c>
      <c r="K1782">
        <v>4.2017854708679796E-3</v>
      </c>
      <c r="L1782" t="s">
        <v>26</v>
      </c>
      <c r="M1782" t="s">
        <v>27</v>
      </c>
      <c r="N1782">
        <v>46.622015610656597</v>
      </c>
      <c r="O1782">
        <v>25.4421092582316</v>
      </c>
      <c r="P1782">
        <v>62.506945374975501</v>
      </c>
      <c r="Q1782">
        <v>38.975478220400802</v>
      </c>
      <c r="R1782">
        <v>18.2042359748805</v>
      </c>
      <c r="S1782">
        <v>19.146613579413401</v>
      </c>
      <c r="T1782">
        <v>87.076139596044001</v>
      </c>
      <c r="U1782">
        <v>68.520215868337104</v>
      </c>
      <c r="V1782">
        <v>51.495753671896097</v>
      </c>
      <c r="W1782">
        <v>42.935672363624597</v>
      </c>
    </row>
    <row r="1783" spans="1:23" x14ac:dyDescent="0.2">
      <c r="A1783" t="s">
        <v>3573</v>
      </c>
      <c r="B1783" s="3" t="str">
        <f>HYPERLINK("http://www.ncbi.nlm.nih.gov/gene/18183","Nrg3")</f>
        <v>Nrg3</v>
      </c>
      <c r="C1783">
        <v>18183</v>
      </c>
      <c r="D1783" t="s">
        <v>3574</v>
      </c>
      <c r="E1783" s="3" t="str">
        <f>HYPERLINK("http://genome.ucsc.edu/cgi-bin/hgTracks?db=mm10&amp;lastVirtModeType=default&amp;lastVirtModeExtraState=&amp;virtModeType=default&amp;virtMode=0&amp;nonVirtPosition=&amp;position=chr14:38368950-39473088","chr14:38368950-39473088")</f>
        <v>chr14:38368950-39473088</v>
      </c>
      <c r="F1783" t="s">
        <v>25</v>
      </c>
      <c r="G1783">
        <v>1.1277892978625399</v>
      </c>
      <c r="H1783">
        <v>0.32681694123966998</v>
      </c>
      <c r="I1783">
        <v>3.4508287531994202</v>
      </c>
      <c r="J1783">
        <v>5.5886805387458396E-4</v>
      </c>
      <c r="K1783">
        <v>4.2043832075474999E-3</v>
      </c>
      <c r="L1783" t="s">
        <v>26</v>
      </c>
      <c r="M1783" t="s">
        <v>27</v>
      </c>
      <c r="N1783">
        <v>33.918382156512202</v>
      </c>
      <c r="O1783">
        <v>16.805884033727999</v>
      </c>
      <c r="P1783">
        <v>46.7527557486004</v>
      </c>
      <c r="Q1783">
        <v>15.5901912881603</v>
      </c>
      <c r="R1783">
        <v>26.5478441300341</v>
      </c>
      <c r="S1783">
        <v>8.2796166829895608</v>
      </c>
      <c r="T1783">
        <v>54.995456586975202</v>
      </c>
      <c r="U1783">
        <v>38.5426214259396</v>
      </c>
      <c r="V1783">
        <v>33.840066698674597</v>
      </c>
      <c r="W1783">
        <v>59.632878282812001</v>
      </c>
    </row>
    <row r="1784" spans="1:23" x14ac:dyDescent="0.2">
      <c r="A1784" t="s">
        <v>3575</v>
      </c>
      <c r="B1784" s="3" t="str">
        <f>HYPERLINK("http://www.ncbi.nlm.nih.gov/gene/15381","Hnrnpc")</f>
        <v>Hnrnpc</v>
      </c>
      <c r="C1784">
        <v>15381</v>
      </c>
      <c r="D1784" t="s">
        <v>3576</v>
      </c>
      <c r="E1784" s="3" t="str">
        <f>HYPERLINK("http://genome.ucsc.edu/cgi-bin/hgTracks?db=mm10&amp;lastVirtModeType=default&amp;lastVirtModeExtraState=&amp;virtModeType=default&amp;virtMode=0&amp;nonVirtPosition=&amp;position=chr14:52073379-52104028","chr14:52073379-52104028")</f>
        <v>chr14:52073379-52104028</v>
      </c>
      <c r="F1784" t="s">
        <v>25</v>
      </c>
      <c r="G1784">
        <v>-0.33299268546219302</v>
      </c>
      <c r="H1784">
        <v>9.6504563380584801E-2</v>
      </c>
      <c r="I1784">
        <v>-3.4505382315338902</v>
      </c>
      <c r="J1784">
        <v>5.5946991927689402E-4</v>
      </c>
      <c r="K1784">
        <v>4.2065478321375001E-3</v>
      </c>
      <c r="L1784" t="s">
        <v>26</v>
      </c>
      <c r="M1784" t="s">
        <v>27</v>
      </c>
      <c r="N1784">
        <v>615.37784471764803</v>
      </c>
      <c r="O1784">
        <v>697.86518704242906</v>
      </c>
      <c r="P1784">
        <v>553.51233797406201</v>
      </c>
      <c r="Q1784">
        <v>701.00181542120799</v>
      </c>
      <c r="R1784">
        <v>695.55351620689396</v>
      </c>
      <c r="S1784">
        <v>697.04022949918397</v>
      </c>
      <c r="T1784">
        <v>554.53752058533303</v>
      </c>
      <c r="U1784">
        <v>563.15052416789604</v>
      </c>
      <c r="V1784">
        <v>527.46364832499296</v>
      </c>
      <c r="W1784">
        <v>568.897658818026</v>
      </c>
    </row>
    <row r="1785" spans="1:23" x14ac:dyDescent="0.2">
      <c r="A1785" t="s">
        <v>3577</v>
      </c>
      <c r="B1785" s="3" t="str">
        <f>HYPERLINK("http://www.ncbi.nlm.nih.gov/gene/78309","Cul9")</f>
        <v>Cul9</v>
      </c>
      <c r="C1785">
        <v>78309</v>
      </c>
      <c r="D1785" t="s">
        <v>3578</v>
      </c>
      <c r="E1785" s="3" t="str">
        <f>HYPERLINK("http://genome.ucsc.edu/cgi-bin/hgTracks?db=mm10&amp;lastVirtModeType=default&amp;lastVirtModeExtraState=&amp;virtModeType=default&amp;virtMode=0&amp;nonVirtPosition=&amp;position=chr17:46500608-46546388","chr17:46500608-46546388")</f>
        <v>chr17:46500608-46546388</v>
      </c>
      <c r="F1785" t="s">
        <v>25</v>
      </c>
      <c r="G1785">
        <v>0.63839306278071795</v>
      </c>
      <c r="H1785">
        <v>0.18504426262816001</v>
      </c>
      <c r="I1785">
        <v>3.4499478865959099</v>
      </c>
      <c r="J1785">
        <v>5.6069478010653301E-4</v>
      </c>
      <c r="K1785">
        <v>4.21339158271974E-3</v>
      </c>
      <c r="L1785" t="s">
        <v>26</v>
      </c>
      <c r="M1785" t="s">
        <v>27</v>
      </c>
      <c r="N1785">
        <v>260.96818772243898</v>
      </c>
      <c r="O1785">
        <v>194.29618931016</v>
      </c>
      <c r="P1785">
        <v>310.97218653164902</v>
      </c>
      <c r="Q1785">
        <v>213.25154512019299</v>
      </c>
      <c r="R1785">
        <v>137.29027964389101</v>
      </c>
      <c r="S1785">
        <v>232.34674316639499</v>
      </c>
      <c r="T1785">
        <v>307.05796594394502</v>
      </c>
      <c r="U1785">
        <v>359.73113330876998</v>
      </c>
      <c r="V1785">
        <v>292.05448868203899</v>
      </c>
      <c r="W1785">
        <v>285.04515819184098</v>
      </c>
    </row>
    <row r="1786" spans="1:23" x14ac:dyDescent="0.2">
      <c r="A1786" t="s">
        <v>3579</v>
      </c>
      <c r="B1786" s="3" t="str">
        <f>HYPERLINK("http://www.ncbi.nlm.nih.gov/gene/208727","Hdac4")</f>
        <v>Hdac4</v>
      </c>
      <c r="C1786">
        <v>208727</v>
      </c>
      <c r="D1786" t="s">
        <v>3580</v>
      </c>
      <c r="E1786" s="3" t="str">
        <f>HYPERLINK("http://genome.ucsc.edu/cgi-bin/hgTracks?db=mm10&amp;lastVirtModeType=default&amp;lastVirtModeExtraState=&amp;virtModeType=default&amp;virtMode=0&amp;nonVirtPosition=&amp;position=chr1:91928778-92180341","chr1:91928778-92180341")</f>
        <v>chr1:91928778-92180341</v>
      </c>
      <c r="F1786" t="s">
        <v>25</v>
      </c>
      <c r="G1786">
        <v>0.38792212640540602</v>
      </c>
      <c r="H1786">
        <v>0.11247978319831101</v>
      </c>
      <c r="I1786">
        <v>3.4488164483875901</v>
      </c>
      <c r="J1786">
        <v>5.6304929664090697E-4</v>
      </c>
      <c r="K1786">
        <v>4.2274378001926202E-3</v>
      </c>
      <c r="L1786" t="s">
        <v>26</v>
      </c>
      <c r="M1786" t="s">
        <v>27</v>
      </c>
      <c r="N1786">
        <v>339.53408997172801</v>
      </c>
      <c r="O1786">
        <v>286.981810220341</v>
      </c>
      <c r="P1786">
        <v>378.94829978526798</v>
      </c>
      <c r="Q1786">
        <v>271.15796990478799</v>
      </c>
      <c r="R1786">
        <v>282.92416744293502</v>
      </c>
      <c r="S1786">
        <v>306.86329331330103</v>
      </c>
      <c r="T1786">
        <v>384.96819610882602</v>
      </c>
      <c r="U1786">
        <v>387.56747100528202</v>
      </c>
      <c r="V1786">
        <v>375.91900180484203</v>
      </c>
      <c r="W1786">
        <v>367.33853022212202</v>
      </c>
    </row>
    <row r="1787" spans="1:23" x14ac:dyDescent="0.2">
      <c r="A1787" t="s">
        <v>3581</v>
      </c>
      <c r="B1787" s="3" t="str">
        <f>HYPERLINK("http://www.ncbi.nlm.nih.gov/gene/70497","Arhgap17")</f>
        <v>Arhgap17</v>
      </c>
      <c r="C1787">
        <v>70497</v>
      </c>
      <c r="D1787" t="s">
        <v>3582</v>
      </c>
      <c r="E1787" s="3" t="str">
        <f>HYPERLINK("http://genome.ucsc.edu/cgi-bin/hgTracks?db=mm10&amp;lastVirtModeType=default&amp;lastVirtModeExtraState=&amp;virtModeType=default&amp;virtMode=0&amp;nonVirtPosition=&amp;position=chr7:123279148-123369915","chr7:123279148-123369915")</f>
        <v>chr7:123279148-123369915</v>
      </c>
      <c r="F1787" t="s">
        <v>25</v>
      </c>
      <c r="G1787">
        <v>0.75960708558275003</v>
      </c>
      <c r="H1787">
        <v>0.220255999215274</v>
      </c>
      <c r="I1787">
        <v>3.4487464054966499</v>
      </c>
      <c r="J1787">
        <v>5.6319535774353201E-4</v>
      </c>
      <c r="K1787">
        <v>4.2274378001926202E-3</v>
      </c>
      <c r="L1787" t="s">
        <v>26</v>
      </c>
      <c r="M1787" t="s">
        <v>27</v>
      </c>
      <c r="N1787">
        <v>143.045532698377</v>
      </c>
      <c r="O1787">
        <v>100.16173661433101</v>
      </c>
      <c r="P1787">
        <v>175.20837976141101</v>
      </c>
      <c r="Q1787">
        <v>108.57454647111599</v>
      </c>
      <c r="R1787">
        <v>64.094080828225202</v>
      </c>
      <c r="S1787">
        <v>127.81658254365099</v>
      </c>
      <c r="T1787">
        <v>160.40341504534399</v>
      </c>
      <c r="U1787">
        <v>167.018026179072</v>
      </c>
      <c r="V1787">
        <v>205.2473610637</v>
      </c>
      <c r="W1787">
        <v>168.16471675752999</v>
      </c>
    </row>
    <row r="1788" spans="1:23" x14ac:dyDescent="0.2">
      <c r="A1788" t="s">
        <v>3583</v>
      </c>
      <c r="B1788" s="3" t="str">
        <f>HYPERLINK("http://www.ncbi.nlm.nih.gov/gene/68379","Ciz1")</f>
        <v>Ciz1</v>
      </c>
      <c r="C1788">
        <v>68379</v>
      </c>
      <c r="D1788" t="s">
        <v>3584</v>
      </c>
      <c r="E1788" s="3" t="str">
        <f>HYPERLINK("http://genome.ucsc.edu/cgi-bin/hgTracks?db=mm10&amp;lastVirtModeType=default&amp;lastVirtModeExtraState=&amp;virtModeType=default&amp;virtMode=0&amp;nonVirtPosition=&amp;position=chr2:32363197-32378313","chr2:32363197-32378313")</f>
        <v>chr2:32363197-32378313</v>
      </c>
      <c r="F1788" t="s">
        <v>30</v>
      </c>
      <c r="G1788">
        <v>0.48722697232308398</v>
      </c>
      <c r="H1788">
        <v>0.141283134565137</v>
      </c>
      <c r="I1788">
        <v>3.4485855217096102</v>
      </c>
      <c r="J1788">
        <v>5.6353098384883998E-4</v>
      </c>
      <c r="K1788">
        <v>4.2275873415797303E-3</v>
      </c>
      <c r="L1788" t="s">
        <v>26</v>
      </c>
      <c r="M1788" t="s">
        <v>27</v>
      </c>
      <c r="N1788">
        <v>211.57427819116501</v>
      </c>
      <c r="O1788">
        <v>168.150054927018</v>
      </c>
      <c r="P1788">
        <v>244.142445639275</v>
      </c>
      <c r="Q1788">
        <v>160.91304579565499</v>
      </c>
      <c r="R1788">
        <v>169.14769259993199</v>
      </c>
      <c r="S1788">
        <v>174.389426385468</v>
      </c>
      <c r="T1788">
        <v>297.89205651278201</v>
      </c>
      <c r="U1788">
        <v>207.701904350897</v>
      </c>
      <c r="V1788">
        <v>222.903048036922</v>
      </c>
      <c r="W1788">
        <v>248.07277365649799</v>
      </c>
    </row>
    <row r="1789" spans="1:23" x14ac:dyDescent="0.2">
      <c r="A1789" t="s">
        <v>3585</v>
      </c>
      <c r="B1789" s="3" t="str">
        <f>HYPERLINK("http://www.ncbi.nlm.nih.gov/gene/16973","Lrp5")</f>
        <v>Lrp5</v>
      </c>
      <c r="C1789">
        <v>16973</v>
      </c>
      <c r="D1789" t="s">
        <v>3586</v>
      </c>
      <c r="E1789" s="3" t="str">
        <f>HYPERLINK("http://genome.ucsc.edu/cgi-bin/hgTracks?db=mm10&amp;lastVirtModeType=default&amp;lastVirtModeExtraState=&amp;virtModeType=default&amp;virtMode=0&amp;nonVirtPosition=&amp;position=chr19:3584824-3686564","chr19:3584824-3686564")</f>
        <v>chr19:3584824-3686564</v>
      </c>
      <c r="F1789" t="s">
        <v>25</v>
      </c>
      <c r="G1789">
        <v>0.83161194689245199</v>
      </c>
      <c r="H1789">
        <v>0.24118474372453499</v>
      </c>
      <c r="I1789">
        <v>3.4480288182832299</v>
      </c>
      <c r="J1789">
        <v>5.6469378312667897E-4</v>
      </c>
      <c r="K1789">
        <v>4.2312085281758496E-3</v>
      </c>
      <c r="L1789" t="s">
        <v>26</v>
      </c>
      <c r="M1789" t="s">
        <v>27</v>
      </c>
      <c r="N1789">
        <v>289.417408208202</v>
      </c>
      <c r="O1789">
        <v>191.55791726483801</v>
      </c>
      <c r="P1789">
        <v>362.812026415726</v>
      </c>
      <c r="Q1789">
        <v>299.55438975108001</v>
      </c>
      <c r="R1789">
        <v>124.01635757887399</v>
      </c>
      <c r="S1789">
        <v>151.10300446456</v>
      </c>
      <c r="T1789">
        <v>384.96819610882602</v>
      </c>
      <c r="U1789">
        <v>291.21091744043298</v>
      </c>
      <c r="V1789">
        <v>405.34514676021098</v>
      </c>
      <c r="W1789">
        <v>369.723845353434</v>
      </c>
    </row>
    <row r="1790" spans="1:23" x14ac:dyDescent="0.2">
      <c r="A1790" t="s">
        <v>3587</v>
      </c>
      <c r="B1790" s="3" t="str">
        <f>HYPERLINK("http://www.ncbi.nlm.nih.gov/gene/19684","Rdx")</f>
        <v>Rdx</v>
      </c>
      <c r="C1790">
        <v>19684</v>
      </c>
      <c r="D1790" t="s">
        <v>3588</v>
      </c>
      <c r="E1790" s="3" t="str">
        <f>HYPERLINK("http://genome.ucsc.edu/cgi-bin/hgTracks?db=mm10&amp;lastVirtModeType=default&amp;lastVirtModeExtraState=&amp;virtModeType=default&amp;virtMode=0&amp;nonVirtPosition=&amp;position=chr9:52047940-52088738","chr9:52047940-52088738")</f>
        <v>chr9:52047940-52088738</v>
      </c>
      <c r="F1790" t="s">
        <v>30</v>
      </c>
      <c r="G1790">
        <v>-0.35076474160314303</v>
      </c>
      <c r="H1790">
        <v>0.101731152064439</v>
      </c>
      <c r="I1790">
        <v>-3.4479580195942501</v>
      </c>
      <c r="J1790">
        <v>5.6484182203056705E-4</v>
      </c>
      <c r="K1790">
        <v>4.2312085281758496E-3</v>
      </c>
      <c r="L1790" t="s">
        <v>26</v>
      </c>
      <c r="M1790" t="s">
        <v>27</v>
      </c>
      <c r="N1790">
        <v>1194.2476658441101</v>
      </c>
      <c r="O1790">
        <v>1364.67680774937</v>
      </c>
      <c r="P1790">
        <v>1066.4258094151701</v>
      </c>
      <c r="Q1790">
        <v>1449.88778979891</v>
      </c>
      <c r="R1790">
        <v>1359.24961945775</v>
      </c>
      <c r="S1790">
        <v>1284.8930139914401</v>
      </c>
      <c r="T1790">
        <v>1104.49208645508</v>
      </c>
      <c r="U1790">
        <v>1019.23821104151</v>
      </c>
      <c r="V1790">
        <v>1127.02135179064</v>
      </c>
      <c r="W1790">
        <v>1014.95158837346</v>
      </c>
    </row>
    <row r="1791" spans="1:23" x14ac:dyDescent="0.2">
      <c r="A1791" t="s">
        <v>3589</v>
      </c>
      <c r="B1791" s="3" t="str">
        <f>HYPERLINK("http://www.ncbi.nlm.nih.gov/gene/68968","Cdan1")</f>
        <v>Cdan1</v>
      </c>
      <c r="C1791">
        <v>68968</v>
      </c>
      <c r="D1791" t="s">
        <v>3590</v>
      </c>
      <c r="E1791" s="3" t="str">
        <f>HYPERLINK("http://genome.ucsc.edu/cgi-bin/hgTracks?db=mm10&amp;lastVirtModeType=default&amp;lastVirtModeExtraState=&amp;virtModeType=default&amp;virtMode=0&amp;nonVirtPosition=&amp;position=chr2:120716153-120731517","chr2:120716153-120731517")</f>
        <v>chr2:120716153-120731517</v>
      </c>
      <c r="F1791" t="s">
        <v>25</v>
      </c>
      <c r="G1791">
        <v>0.57299700711180901</v>
      </c>
      <c r="H1791">
        <v>0.16618721047075699</v>
      </c>
      <c r="I1791">
        <v>3.4479007469268299</v>
      </c>
      <c r="J1791">
        <v>5.6496160468810601E-4</v>
      </c>
      <c r="K1791">
        <v>4.2312085281758496E-3</v>
      </c>
      <c r="L1791" t="s">
        <v>26</v>
      </c>
      <c r="M1791" t="s">
        <v>27</v>
      </c>
      <c r="N1791">
        <v>175.99485726709599</v>
      </c>
      <c r="O1791">
        <v>133.33694724972699</v>
      </c>
      <c r="P1791">
        <v>207.98828978012199</v>
      </c>
      <c r="Q1791">
        <v>136.414173771403</v>
      </c>
      <c r="R1791">
        <v>124.39561249501701</v>
      </c>
      <c r="S1791">
        <v>139.201055482762</v>
      </c>
      <c r="T1791">
        <v>242.89659992580701</v>
      </c>
      <c r="U1791">
        <v>239.82075553918</v>
      </c>
      <c r="V1791">
        <v>184.649059594942</v>
      </c>
      <c r="W1791">
        <v>164.58674406056099</v>
      </c>
    </row>
    <row r="1792" spans="1:23" x14ac:dyDescent="0.2">
      <c r="A1792" t="s">
        <v>3591</v>
      </c>
      <c r="B1792" s="3" t="str">
        <f>HYPERLINK("http://www.ncbi.nlm.nih.gov/gene/12330","Canx")</f>
        <v>Canx</v>
      </c>
      <c r="C1792">
        <v>12330</v>
      </c>
      <c r="D1792" t="s">
        <v>3592</v>
      </c>
      <c r="E1792" s="3" t="str">
        <f>HYPERLINK("http://genome.ucsc.edu/cgi-bin/hgTracks?db=mm10&amp;lastVirtModeType=default&amp;lastVirtModeExtraState=&amp;virtModeType=default&amp;virtMode=0&amp;nonVirtPosition=&amp;position=chr11:50293956-50325673","chr11:50293956-50325673")</f>
        <v>chr11:50293956-50325673</v>
      </c>
      <c r="F1792" t="s">
        <v>25</v>
      </c>
      <c r="G1792">
        <v>-0.481586281499641</v>
      </c>
      <c r="H1792">
        <v>0.139685840395882</v>
      </c>
      <c r="I1792">
        <v>-3.4476385017606899</v>
      </c>
      <c r="J1792">
        <v>5.6551037834890296E-4</v>
      </c>
      <c r="K1792">
        <v>4.2329510768418996E-3</v>
      </c>
      <c r="L1792" t="s">
        <v>26</v>
      </c>
      <c r="M1792" t="s">
        <v>27</v>
      </c>
      <c r="N1792">
        <v>3175.1512286043499</v>
      </c>
      <c r="O1792">
        <v>3813.83553292134</v>
      </c>
      <c r="P1792">
        <v>2696.1380003666</v>
      </c>
      <c r="Q1792">
        <v>4518.9283033824604</v>
      </c>
      <c r="R1792">
        <v>3523.2781709716701</v>
      </c>
      <c r="S1792">
        <v>3399.3001244099</v>
      </c>
      <c r="T1792">
        <v>2401.4682709645799</v>
      </c>
      <c r="U1792">
        <v>2650.8758514062902</v>
      </c>
      <c r="V1792">
        <v>2810.1968432377598</v>
      </c>
      <c r="W1792">
        <v>2922.0110358577899</v>
      </c>
    </row>
    <row r="1793" spans="1:23" x14ac:dyDescent="0.2">
      <c r="A1793" t="s">
        <v>3593</v>
      </c>
      <c r="B1793" s="3" t="str">
        <f>HYPERLINK("http://www.ncbi.nlm.nih.gov/gene/65113","Ndfip1")</f>
        <v>Ndfip1</v>
      </c>
      <c r="C1793">
        <v>65113</v>
      </c>
      <c r="D1793" t="s">
        <v>3594</v>
      </c>
      <c r="E1793" s="3" t="str">
        <f>HYPERLINK("http://genome.ucsc.edu/cgi-bin/hgTracks?db=mm10&amp;lastVirtModeType=default&amp;lastVirtModeExtraState=&amp;virtModeType=default&amp;virtMode=0&amp;nonVirtPosition=&amp;position=chr18:38418974-38464406","chr18:38418974-38464406")</f>
        <v>chr18:38418974-38464406</v>
      </c>
      <c r="F1793" t="s">
        <v>30</v>
      </c>
      <c r="G1793">
        <v>-0.51791217534999701</v>
      </c>
      <c r="H1793">
        <v>0.15022982555780601</v>
      </c>
      <c r="I1793">
        <v>-3.4474657307693799</v>
      </c>
      <c r="J1793">
        <v>5.6587218975941698E-4</v>
      </c>
      <c r="K1793">
        <v>4.23329301288735E-3</v>
      </c>
      <c r="L1793" t="s">
        <v>26</v>
      </c>
      <c r="M1793" t="s">
        <v>27</v>
      </c>
      <c r="N1793">
        <v>735.00010130947999</v>
      </c>
      <c r="O1793">
        <v>897.416599689549</v>
      </c>
      <c r="P1793">
        <v>613.18772752442896</v>
      </c>
      <c r="Q1793">
        <v>837.41598919261003</v>
      </c>
      <c r="R1793">
        <v>817.29434428890795</v>
      </c>
      <c r="S1793">
        <v>1037.5394655871301</v>
      </c>
      <c r="T1793">
        <v>485.79319985161402</v>
      </c>
      <c r="U1793">
        <v>743.01609082228094</v>
      </c>
      <c r="V1793">
        <v>631.19080929267</v>
      </c>
      <c r="W1793">
        <v>592.75081013115096</v>
      </c>
    </row>
    <row r="1794" spans="1:23" x14ac:dyDescent="0.2">
      <c r="A1794" t="s">
        <v>3595</v>
      </c>
      <c r="B1794" s="3" t="str">
        <f>HYPERLINK("http://www.ncbi.nlm.nih.gov/gene/54598","Calcrl")</f>
        <v>Calcrl</v>
      </c>
      <c r="C1794">
        <v>54598</v>
      </c>
      <c r="D1794" t="s">
        <v>3596</v>
      </c>
      <c r="E1794" s="3" t="str">
        <f>HYPERLINK("http://genome.ucsc.edu/cgi-bin/hgTracks?db=mm10&amp;lastVirtModeType=default&amp;lastVirtModeExtraState=&amp;virtModeType=default&amp;virtMode=0&amp;nonVirtPosition=&amp;position=chr2:84330626-84425266","chr2:84330626-84425266")</f>
        <v>chr2:84330626-84425266</v>
      </c>
      <c r="F1794" t="s">
        <v>25</v>
      </c>
      <c r="G1794">
        <v>-0.74721448072165497</v>
      </c>
      <c r="H1794">
        <v>0.21678360048718201</v>
      </c>
      <c r="I1794">
        <v>-3.4468219876523101</v>
      </c>
      <c r="J1794">
        <v>5.6722219463259101E-4</v>
      </c>
      <c r="K1794">
        <v>4.2410231202261502E-3</v>
      </c>
      <c r="L1794" t="s">
        <v>26</v>
      </c>
      <c r="M1794" t="s">
        <v>27</v>
      </c>
      <c r="N1794">
        <v>586.02204112391803</v>
      </c>
      <c r="O1794">
        <v>775.21434881616699</v>
      </c>
      <c r="P1794">
        <v>444.12781035473103</v>
      </c>
      <c r="Q1794">
        <v>1129.1752832996101</v>
      </c>
      <c r="R1794">
        <v>584.81108069303696</v>
      </c>
      <c r="S1794">
        <v>611.65668245585402</v>
      </c>
      <c r="T1794">
        <v>540.78865643858899</v>
      </c>
      <c r="U1794">
        <v>387.56747100528202</v>
      </c>
      <c r="V1794">
        <v>470.08266566202298</v>
      </c>
      <c r="W1794">
        <v>378.07244831302802</v>
      </c>
    </row>
    <row r="1795" spans="1:23" x14ac:dyDescent="0.2">
      <c r="A1795" t="s">
        <v>3597</v>
      </c>
      <c r="B1795" s="3" t="str">
        <f>HYPERLINK("http://www.ncbi.nlm.nih.gov/gene/72927","Hepacam")</f>
        <v>Hepacam</v>
      </c>
      <c r="C1795">
        <v>72927</v>
      </c>
      <c r="D1795" t="s">
        <v>3598</v>
      </c>
      <c r="E1795" s="3" t="str">
        <f>HYPERLINK("http://genome.ucsc.edu/cgi-bin/hgTracks?db=mm10&amp;lastVirtModeType=default&amp;lastVirtModeExtraState=&amp;virtModeType=default&amp;virtMode=0&amp;nonVirtPosition=&amp;position=chr9:37367605-37386571","chr9:37367605-37386571")</f>
        <v>chr9:37367605-37386571</v>
      </c>
      <c r="F1795" t="s">
        <v>30</v>
      </c>
      <c r="G1795">
        <v>-0.513807072384868</v>
      </c>
      <c r="H1795">
        <v>0.14908228286167699</v>
      </c>
      <c r="I1795">
        <v>-3.4464663575187799</v>
      </c>
      <c r="J1795">
        <v>5.6796927831050397E-4</v>
      </c>
      <c r="K1795">
        <v>4.2442391773749701E-3</v>
      </c>
      <c r="L1795" t="s">
        <v>26</v>
      </c>
      <c r="M1795" t="s">
        <v>27</v>
      </c>
      <c r="N1795">
        <v>728.41269268320298</v>
      </c>
      <c r="O1795">
        <v>885.00783217780895</v>
      </c>
      <c r="P1795">
        <v>610.96633806224804</v>
      </c>
      <c r="Q1795">
        <v>750.55635201571704</v>
      </c>
      <c r="R1795">
        <v>891.24905293686004</v>
      </c>
      <c r="S1795">
        <v>1013.21809158085</v>
      </c>
      <c r="T1795">
        <v>563.70343001649496</v>
      </c>
      <c r="U1795">
        <v>723.74478010931102</v>
      </c>
      <c r="V1795">
        <v>630.45515566878498</v>
      </c>
      <c r="W1795">
        <v>525.96198645440199</v>
      </c>
    </row>
    <row r="1796" spans="1:23" x14ac:dyDescent="0.2">
      <c r="A1796" t="s">
        <v>3599</v>
      </c>
      <c r="B1796" s="3" t="str">
        <f>HYPERLINK("http://www.ncbi.nlm.nih.gov/gene/333654","Ppp1r13l")</f>
        <v>Ppp1r13l</v>
      </c>
      <c r="C1796">
        <v>333654</v>
      </c>
      <c r="D1796" t="s">
        <v>3600</v>
      </c>
      <c r="E1796" s="3" t="str">
        <f>HYPERLINK("http://genome.ucsc.edu/cgi-bin/hgTracks?db=mm10&amp;lastVirtModeType=default&amp;lastVirtModeExtraState=&amp;virtModeType=default&amp;virtMode=0&amp;nonVirtPosition=&amp;position=chr7:19361215-19378533","chr7:19361215-19378533")</f>
        <v>chr7:19361215-19378533</v>
      </c>
      <c r="F1796" t="s">
        <v>30</v>
      </c>
      <c r="G1796">
        <v>1.0841581881942099</v>
      </c>
      <c r="H1796">
        <v>0.31458822185170998</v>
      </c>
      <c r="I1796">
        <v>3.4462771104801702</v>
      </c>
      <c r="J1796">
        <v>5.6836720911108995E-4</v>
      </c>
      <c r="K1796">
        <v>4.2448440029038501E-3</v>
      </c>
      <c r="L1796" t="s">
        <v>26</v>
      </c>
      <c r="M1796" t="s">
        <v>27</v>
      </c>
      <c r="N1796">
        <v>29.422202102471601</v>
      </c>
      <c r="O1796">
        <v>15.0514084111021</v>
      </c>
      <c r="P1796">
        <v>40.200297370998797</v>
      </c>
      <c r="Q1796">
        <v>16.146983834166001</v>
      </c>
      <c r="R1796">
        <v>9.8606278197269592</v>
      </c>
      <c r="S1796">
        <v>19.146613579413401</v>
      </c>
      <c r="T1796">
        <v>50.4125018713939</v>
      </c>
      <c r="U1796">
        <v>53.531418647138402</v>
      </c>
      <c r="V1796">
        <v>29.4261449553692</v>
      </c>
      <c r="W1796">
        <v>27.431124010093502</v>
      </c>
    </row>
    <row r="1797" spans="1:23" x14ac:dyDescent="0.2">
      <c r="A1797" t="s">
        <v>3601</v>
      </c>
      <c r="B1797" s="3" t="str">
        <f>HYPERLINK("http://www.ncbi.nlm.nih.gov/gene/18844","Plxna1")</f>
        <v>Plxna1</v>
      </c>
      <c r="C1797">
        <v>18844</v>
      </c>
      <c r="D1797" t="s">
        <v>3602</v>
      </c>
      <c r="E1797" s="3" t="str">
        <f>HYPERLINK("http://genome.ucsc.edu/cgi-bin/hgTracks?db=mm10&amp;lastVirtModeType=default&amp;lastVirtModeExtraState=&amp;virtModeType=default&amp;virtMode=0&amp;nonVirtPosition=&amp;position=chr6:89316313-89362613","chr6:89316313-89362613")</f>
        <v>chr6:89316313-89362613</v>
      </c>
      <c r="F1797" t="s">
        <v>25</v>
      </c>
      <c r="G1797">
        <v>0.52726280000676895</v>
      </c>
      <c r="H1797">
        <v>0.153026392245591</v>
      </c>
      <c r="I1797">
        <v>3.44556773684221</v>
      </c>
      <c r="J1797">
        <v>5.6986112469396496E-4</v>
      </c>
      <c r="K1797">
        <v>4.25362894134721E-3</v>
      </c>
      <c r="L1797" t="s">
        <v>26</v>
      </c>
      <c r="M1797" t="s">
        <v>27</v>
      </c>
      <c r="N1797">
        <v>456.19814826560798</v>
      </c>
      <c r="O1797">
        <v>363.91513243918098</v>
      </c>
      <c r="P1797">
        <v>525.41041013542804</v>
      </c>
      <c r="Q1797">
        <v>417.59440950429399</v>
      </c>
      <c r="R1797">
        <v>315.54009023126298</v>
      </c>
      <c r="S1797">
        <v>358.610897581985</v>
      </c>
      <c r="T1797">
        <v>407.882969686732</v>
      </c>
      <c r="U1797">
        <v>614.54068606914905</v>
      </c>
      <c r="V1797">
        <v>572.33851938193095</v>
      </c>
      <c r="W1797">
        <v>506.87946540390197</v>
      </c>
    </row>
    <row r="1798" spans="1:23" x14ac:dyDescent="0.2">
      <c r="A1798" t="s">
        <v>3603</v>
      </c>
      <c r="B1798" s="3" t="str">
        <f>HYPERLINK("http://www.ncbi.nlm.nih.gov/gene/108902","B4gat1")</f>
        <v>B4gat1</v>
      </c>
      <c r="C1798">
        <v>108902</v>
      </c>
      <c r="D1798" t="s">
        <v>3604</v>
      </c>
      <c r="E1798" s="3" t="str">
        <f>HYPERLINK("http://genome.ucsc.edu/cgi-bin/hgTracks?db=mm10&amp;lastVirtModeType=default&amp;lastVirtModeExtraState=&amp;virtModeType=default&amp;virtMode=0&amp;nonVirtPosition=&amp;position=chr19:5038825-5041134","chr19:5038825-5041134")</f>
        <v>chr19:5038825-5041134</v>
      </c>
      <c r="F1798" t="s">
        <v>30</v>
      </c>
      <c r="G1798">
        <v>-0.54853228005242305</v>
      </c>
      <c r="H1798">
        <v>0.15923606878521501</v>
      </c>
      <c r="I1798">
        <v>-3.4447740655561501</v>
      </c>
      <c r="J1798">
        <v>5.7153690186692899E-4</v>
      </c>
      <c r="K1798">
        <v>4.2637608094150698E-3</v>
      </c>
      <c r="L1798" t="s">
        <v>26</v>
      </c>
      <c r="M1798" t="s">
        <v>27</v>
      </c>
      <c r="N1798">
        <v>162.754615981532</v>
      </c>
      <c r="O1798">
        <v>202.28139588065801</v>
      </c>
      <c r="P1798">
        <v>133.10953105718801</v>
      </c>
      <c r="Q1798">
        <v>215.478715304216</v>
      </c>
      <c r="R1798">
        <v>204.03914488511899</v>
      </c>
      <c r="S1798">
        <v>187.32632745263899</v>
      </c>
      <c r="T1798">
        <v>100.825003742788</v>
      </c>
      <c r="U1798">
        <v>154.170485703759</v>
      </c>
      <c r="V1798">
        <v>123.589808812551</v>
      </c>
      <c r="W1798">
        <v>153.85282596965499</v>
      </c>
    </row>
    <row r="1799" spans="1:23" x14ac:dyDescent="0.2">
      <c r="A1799" t="s">
        <v>3605</v>
      </c>
      <c r="B1799" s="3" t="str">
        <f>HYPERLINK("http://www.ncbi.nlm.nih.gov/gene/243510","Ccdc142")</f>
        <v>Ccdc142</v>
      </c>
      <c r="C1799">
        <v>243510</v>
      </c>
      <c r="D1799" t="s">
        <v>3606</v>
      </c>
      <c r="E1799" s="3" t="str">
        <f>HYPERLINK("http://genome.ucsc.edu/cgi-bin/hgTracks?db=mm10&amp;lastVirtModeType=default&amp;lastVirtModeExtraState=&amp;virtModeType=default&amp;virtMode=0&amp;nonVirtPosition=&amp;position=chr6:83101515-83109121","chr6:83101515-83109121")</f>
        <v>chr6:83101515-83109121</v>
      </c>
      <c r="F1799" t="s">
        <v>30</v>
      </c>
      <c r="G1799">
        <v>0.93251102258506602</v>
      </c>
      <c r="H1799">
        <v>0.27073777904684299</v>
      </c>
      <c r="I1799">
        <v>3.4443328369910402</v>
      </c>
      <c r="J1799">
        <v>5.7247050627686001E-4</v>
      </c>
      <c r="K1799">
        <v>4.2683477447402196E-3</v>
      </c>
      <c r="L1799" t="s">
        <v>26</v>
      </c>
      <c r="M1799" t="s">
        <v>27</v>
      </c>
      <c r="N1799">
        <v>32.973066175496498</v>
      </c>
      <c r="O1799">
        <v>19.388373283285102</v>
      </c>
      <c r="P1799">
        <v>43.1615858446551</v>
      </c>
      <c r="Q1799">
        <v>21.158116748217498</v>
      </c>
      <c r="R1799">
        <v>16.307961394163801</v>
      </c>
      <c r="S1799">
        <v>20.699041707473899</v>
      </c>
      <c r="T1799">
        <v>59.578411302556397</v>
      </c>
      <c r="U1799">
        <v>40.683878171825199</v>
      </c>
      <c r="V1799">
        <v>38.989642065864203</v>
      </c>
      <c r="W1799">
        <v>33.394411838374701</v>
      </c>
    </row>
    <row r="1800" spans="1:23" x14ac:dyDescent="0.2">
      <c r="A1800" t="s">
        <v>3607</v>
      </c>
      <c r="B1800" s="3" t="str">
        <f>HYPERLINK("http://www.ncbi.nlm.nih.gov/gene/14026","Evl")</f>
        <v>Evl</v>
      </c>
      <c r="C1800">
        <v>14026</v>
      </c>
      <c r="D1800" t="s">
        <v>3608</v>
      </c>
      <c r="E1800" s="3" t="str">
        <f>HYPERLINK("http://genome.ucsc.edu/cgi-bin/hgTracks?db=mm10&amp;lastVirtModeType=default&amp;lastVirtModeExtraState=&amp;virtModeType=default&amp;virtMode=0&amp;nonVirtPosition=&amp;position=chr12:108554719-108688515","chr12:108554719-108688515")</f>
        <v>chr12:108554719-108688515</v>
      </c>
      <c r="F1800" t="s">
        <v>30</v>
      </c>
      <c r="G1800">
        <v>0.51958944301628796</v>
      </c>
      <c r="H1800">
        <v>0.15086511358895499</v>
      </c>
      <c r="I1800">
        <v>3.44406623012895</v>
      </c>
      <c r="J1800">
        <v>5.7303531317057699E-4</v>
      </c>
      <c r="K1800">
        <v>4.2701813459472496E-3</v>
      </c>
      <c r="L1800" t="s">
        <v>26</v>
      </c>
      <c r="M1800" t="s">
        <v>27</v>
      </c>
      <c r="N1800">
        <v>252.83421911093799</v>
      </c>
      <c r="O1800">
        <v>200.00216030842299</v>
      </c>
      <c r="P1800">
        <v>292.45826321282402</v>
      </c>
      <c r="Q1800">
        <v>159.79946070364301</v>
      </c>
      <c r="R1800">
        <v>217.69232186628</v>
      </c>
      <c r="S1800">
        <v>222.51469835534499</v>
      </c>
      <c r="T1800">
        <v>307.05796594394502</v>
      </c>
      <c r="U1800">
        <v>278.36337696511998</v>
      </c>
      <c r="V1800">
        <v>280.28403069989201</v>
      </c>
      <c r="W1800">
        <v>304.127679242341</v>
      </c>
    </row>
    <row r="1801" spans="1:23" x14ac:dyDescent="0.2">
      <c r="A1801" t="s">
        <v>3609</v>
      </c>
      <c r="B1801" s="3" t="str">
        <f>HYPERLINK("http://www.ncbi.nlm.nih.gov/gene/16649","Kpna4")</f>
        <v>Kpna4</v>
      </c>
      <c r="C1801">
        <v>16649</v>
      </c>
      <c r="D1801" t="s">
        <v>3610</v>
      </c>
      <c r="E1801" s="3" t="str">
        <f>HYPERLINK("http://genome.ucsc.edu/cgi-bin/hgTracks?db=mm10&amp;lastVirtModeType=default&amp;lastVirtModeExtraState=&amp;virtModeType=default&amp;virtMode=0&amp;nonVirtPosition=&amp;position=chr3:69072220-69127092","chr3:69072220-69127092")</f>
        <v>chr3:69072220-69127092</v>
      </c>
      <c r="F1801" t="s">
        <v>25</v>
      </c>
      <c r="G1801">
        <v>-0.39772371121064998</v>
      </c>
      <c r="H1801">
        <v>0.11549429530423801</v>
      </c>
      <c r="I1801">
        <v>-3.4436654222873799</v>
      </c>
      <c r="J1801">
        <v>5.7388540144721596E-4</v>
      </c>
      <c r="K1801">
        <v>4.2741376033257304E-3</v>
      </c>
      <c r="L1801" t="s">
        <v>26</v>
      </c>
      <c r="M1801" t="s">
        <v>27</v>
      </c>
      <c r="N1801">
        <v>457.146382335765</v>
      </c>
      <c r="O1801">
        <v>532.61568938171297</v>
      </c>
      <c r="P1801">
        <v>400.54440205130402</v>
      </c>
      <c r="Q1801">
        <v>510.02197214124402</v>
      </c>
      <c r="R1801">
        <v>539.30049075583599</v>
      </c>
      <c r="S1801">
        <v>548.52460524805804</v>
      </c>
      <c r="T1801">
        <v>407.882969686732</v>
      </c>
      <c r="U1801">
        <v>351.16610632522799</v>
      </c>
      <c r="V1801">
        <v>399.45991776913701</v>
      </c>
      <c r="W1801">
        <v>443.66861442412102</v>
      </c>
    </row>
    <row r="1802" spans="1:23" x14ac:dyDescent="0.2">
      <c r="A1802" t="s">
        <v>3611</v>
      </c>
      <c r="B1802" s="3" t="str">
        <f>HYPERLINK("http://www.ncbi.nlm.nih.gov/gene/71746","Rgl3")</f>
        <v>Rgl3</v>
      </c>
      <c r="C1802">
        <v>71746</v>
      </c>
      <c r="D1802" t="s">
        <v>3612</v>
      </c>
      <c r="E1802" s="3" t="str">
        <f>HYPERLINK("http://genome.ucsc.edu/cgi-bin/hgTracks?db=mm10&amp;lastVirtModeType=default&amp;lastVirtModeExtraState=&amp;virtModeType=default&amp;virtMode=0&amp;nonVirtPosition=&amp;position=chr9:21971526-21989453","chr9:21971526-21989453")</f>
        <v>chr9:21971526-21989453</v>
      </c>
      <c r="F1802" t="s">
        <v>25</v>
      </c>
      <c r="G1802">
        <v>0.891503879389414</v>
      </c>
      <c r="H1802">
        <v>0.258895085708367</v>
      </c>
      <c r="I1802">
        <v>3.4434947923022698</v>
      </c>
      <c r="J1802">
        <v>5.7424765317256601E-4</v>
      </c>
      <c r="K1802">
        <v>4.2744582121366503E-3</v>
      </c>
      <c r="L1802" t="s">
        <v>26</v>
      </c>
      <c r="M1802" t="s">
        <v>27</v>
      </c>
      <c r="N1802">
        <v>47.148089623270103</v>
      </c>
      <c r="O1802">
        <v>29.698000868031201</v>
      </c>
      <c r="P1802">
        <v>60.235656189699299</v>
      </c>
      <c r="Q1802">
        <v>40.0890633124122</v>
      </c>
      <c r="R1802">
        <v>28.823373626894199</v>
      </c>
      <c r="S1802">
        <v>20.181565664787101</v>
      </c>
      <c r="T1802">
        <v>59.578411302556397</v>
      </c>
      <c r="U1802">
        <v>66.378959122451604</v>
      </c>
      <c r="V1802">
        <v>52.967060919664597</v>
      </c>
      <c r="W1802">
        <v>62.018193414124497</v>
      </c>
    </row>
    <row r="1803" spans="1:23" x14ac:dyDescent="0.2">
      <c r="A1803" t="s">
        <v>3613</v>
      </c>
      <c r="B1803" s="3" t="str">
        <f>HYPERLINK("http://www.ncbi.nlm.nih.gov/gene/93671","Cd163")</f>
        <v>Cd163</v>
      </c>
      <c r="C1803">
        <v>93671</v>
      </c>
      <c r="D1803" t="s">
        <v>3614</v>
      </c>
      <c r="E1803" s="3" t="str">
        <f>HYPERLINK("http://genome.ucsc.edu/cgi-bin/hgTracks?db=mm10&amp;lastVirtModeType=default&amp;lastVirtModeExtraState=&amp;virtModeType=default&amp;virtMode=0&amp;nonVirtPosition=&amp;position=chr6:124304650-124330527","chr6:124304650-124330527")</f>
        <v>chr6:124304650-124330527</v>
      </c>
      <c r="F1803" t="s">
        <v>30</v>
      </c>
      <c r="G1803">
        <v>-0.87860579453507903</v>
      </c>
      <c r="H1803">
        <v>0.25525216593005901</v>
      </c>
      <c r="I1803">
        <v>-3.4421090662784999</v>
      </c>
      <c r="J1803">
        <v>5.7719747992221698E-4</v>
      </c>
      <c r="K1803">
        <v>4.2940285853546702E-3</v>
      </c>
      <c r="L1803" t="s">
        <v>26</v>
      </c>
      <c r="M1803" t="s">
        <v>27</v>
      </c>
      <c r="N1803">
        <v>97.198204649140905</v>
      </c>
      <c r="O1803">
        <v>133.52638730719099</v>
      </c>
      <c r="P1803">
        <v>69.9520676556034</v>
      </c>
      <c r="Q1803">
        <v>119.710397391231</v>
      </c>
      <c r="R1803">
        <v>143.73761321832799</v>
      </c>
      <c r="S1803">
        <v>137.13115131201499</v>
      </c>
      <c r="T1803">
        <v>91.659094311625296</v>
      </c>
      <c r="U1803">
        <v>81.367756343650299</v>
      </c>
      <c r="V1803">
        <v>75.772323260075694</v>
      </c>
      <c r="W1803">
        <v>31.009096707062199</v>
      </c>
    </row>
    <row r="1804" spans="1:23" x14ac:dyDescent="0.2">
      <c r="A1804" t="s">
        <v>3615</v>
      </c>
      <c r="B1804" s="3" t="str">
        <f>HYPERLINK("http://www.ncbi.nlm.nih.gov/gene/16396","Itch")</f>
        <v>Itch</v>
      </c>
      <c r="C1804">
        <v>16396</v>
      </c>
      <c r="D1804" t="s">
        <v>3616</v>
      </c>
      <c r="E1804" s="3" t="str">
        <f>HYPERLINK("http://genome.ucsc.edu/cgi-bin/hgTracks?db=mm10&amp;lastVirtModeType=default&amp;lastVirtModeExtraState=&amp;virtModeType=default&amp;virtMode=0&amp;nonVirtPosition=&amp;position=chr2:155133480-155226855","chr2:155133480-155226855")</f>
        <v>chr2:155133480-155226855</v>
      </c>
      <c r="F1804" t="s">
        <v>30</v>
      </c>
      <c r="G1804">
        <v>-0.43255811861238003</v>
      </c>
      <c r="H1804">
        <v>0.12567503018072501</v>
      </c>
      <c r="I1804">
        <v>-3.44187797679737</v>
      </c>
      <c r="J1804">
        <v>5.7769077584796796E-4</v>
      </c>
      <c r="K1804">
        <v>4.2953121484620403E-3</v>
      </c>
      <c r="L1804" t="s">
        <v>26</v>
      </c>
      <c r="M1804" t="s">
        <v>27</v>
      </c>
      <c r="N1804">
        <v>581.24340947014605</v>
      </c>
      <c r="O1804">
        <v>683.20688865100703</v>
      </c>
      <c r="P1804">
        <v>504.77080008450002</v>
      </c>
      <c r="Q1804">
        <v>752.22672965373397</v>
      </c>
      <c r="R1804">
        <v>611.73817973921496</v>
      </c>
      <c r="S1804">
        <v>685.65575656007297</v>
      </c>
      <c r="T1804">
        <v>563.70343001649496</v>
      </c>
      <c r="U1804">
        <v>443.24014639830602</v>
      </c>
      <c r="V1804">
        <v>526.72799470110897</v>
      </c>
      <c r="W1804">
        <v>485.41162922209003</v>
      </c>
    </row>
    <row r="1805" spans="1:23" x14ac:dyDescent="0.2">
      <c r="A1805" t="s">
        <v>3617</v>
      </c>
      <c r="B1805" s="3" t="str">
        <f>HYPERLINK("http://www.ncbi.nlm.nih.gov/gene/22377","Wbp1")</f>
        <v>Wbp1</v>
      </c>
      <c r="C1805">
        <v>22377</v>
      </c>
      <c r="D1805" t="s">
        <v>3618</v>
      </c>
      <c r="E1805" s="3" t="str">
        <f>HYPERLINK("http://genome.ucsc.edu/cgi-bin/hgTracks?db=mm10&amp;lastVirtModeType=default&amp;lastVirtModeExtraState=&amp;virtModeType=default&amp;virtMode=0&amp;nonVirtPosition=&amp;position=chr6:83119043-83121461","chr6:83119043-83121461")</f>
        <v>chr6:83119043-83121461</v>
      </c>
      <c r="F1805" t="s">
        <v>25</v>
      </c>
      <c r="G1805">
        <v>-0.50877861536464297</v>
      </c>
      <c r="H1805">
        <v>0.14786798053974301</v>
      </c>
      <c r="I1805">
        <v>-3.4407625877320802</v>
      </c>
      <c r="J1805">
        <v>5.8007726933256203E-4</v>
      </c>
      <c r="K1805">
        <v>4.3106629931367003E-3</v>
      </c>
      <c r="L1805" t="s">
        <v>26</v>
      </c>
      <c r="M1805" t="s">
        <v>27</v>
      </c>
      <c r="N1805">
        <v>166.02751798546299</v>
      </c>
      <c r="O1805">
        <v>202.86293164479</v>
      </c>
      <c r="P1805">
        <v>138.40095774096801</v>
      </c>
      <c r="Q1805">
        <v>217.14909294223301</v>
      </c>
      <c r="R1805">
        <v>195.316281813822</v>
      </c>
      <c r="S1805">
        <v>196.123420178315</v>
      </c>
      <c r="T1805">
        <v>114.573867889532</v>
      </c>
      <c r="U1805">
        <v>162.735512687301</v>
      </c>
      <c r="V1805">
        <v>142.716803033541</v>
      </c>
      <c r="W1805">
        <v>133.577647353499</v>
      </c>
    </row>
    <row r="1806" spans="1:23" x14ac:dyDescent="0.2">
      <c r="A1806" t="s">
        <v>3619</v>
      </c>
      <c r="B1806" s="3" t="str">
        <f>HYPERLINK("http://www.ncbi.nlm.nih.gov/gene/13435","Dnmt3a")</f>
        <v>Dnmt3a</v>
      </c>
      <c r="C1806">
        <v>13435</v>
      </c>
      <c r="D1806" t="s">
        <v>3620</v>
      </c>
      <c r="E1806" s="3" t="str">
        <f>HYPERLINK("http://genome.ucsc.edu/cgi-bin/hgTracks?db=mm10&amp;lastVirtModeType=default&amp;lastVirtModeExtraState=&amp;virtModeType=default&amp;virtMode=0&amp;nonVirtPosition=&amp;position=chr12:3806979-3914443","chr12:3806979-3914443")</f>
        <v>chr12:3806979-3914443</v>
      </c>
      <c r="F1806" t="s">
        <v>30</v>
      </c>
      <c r="G1806">
        <v>0.40232131132239801</v>
      </c>
      <c r="H1806">
        <v>0.116987553077036</v>
      </c>
      <c r="I1806">
        <v>3.4390095419593099</v>
      </c>
      <c r="J1806">
        <v>5.8384665471867495E-4</v>
      </c>
      <c r="K1806">
        <v>4.3362676391224498E-3</v>
      </c>
      <c r="L1806" t="s">
        <v>26</v>
      </c>
      <c r="M1806" t="s">
        <v>27</v>
      </c>
      <c r="N1806">
        <v>1253.50794197349</v>
      </c>
      <c r="O1806">
        <v>1053.2799438993</v>
      </c>
      <c r="P1806">
        <v>1403.6789405291199</v>
      </c>
      <c r="Q1806">
        <v>957.68317912984696</v>
      </c>
      <c r="R1806">
        <v>1001.61223353457</v>
      </c>
      <c r="S1806">
        <v>1200.5444190334899</v>
      </c>
      <c r="T1806">
        <v>1466.545508986</v>
      </c>
      <c r="U1806">
        <v>1426.0769927597701</v>
      </c>
      <c r="V1806">
        <v>1416.13322597714</v>
      </c>
      <c r="W1806">
        <v>1305.9600343935799</v>
      </c>
    </row>
    <row r="1807" spans="1:23" x14ac:dyDescent="0.2">
      <c r="A1807" t="s">
        <v>3621</v>
      </c>
      <c r="B1807" s="3" t="str">
        <f>HYPERLINK("http://www.ncbi.nlm.nih.gov/gene/13614","Edn1")</f>
        <v>Edn1</v>
      </c>
      <c r="C1807">
        <v>13614</v>
      </c>
      <c r="D1807" t="s">
        <v>3622</v>
      </c>
      <c r="E1807" s="3" t="str">
        <f>HYPERLINK("http://genome.ucsc.edu/cgi-bin/hgTracks?db=mm10&amp;lastVirtModeType=default&amp;lastVirtModeExtraState=&amp;virtModeType=default&amp;virtMode=0&amp;nonVirtPosition=&amp;position=chr13:42301475-42307990","chr13:42301475-42307990")</f>
        <v>chr13:42301475-42307990</v>
      </c>
      <c r="F1807" t="s">
        <v>30</v>
      </c>
      <c r="G1807">
        <v>-0.99769484297418298</v>
      </c>
      <c r="H1807">
        <v>0.290173799748977</v>
      </c>
      <c r="I1807">
        <v>-3.4382664590575298</v>
      </c>
      <c r="J1807">
        <v>5.8545129701387797E-4</v>
      </c>
      <c r="K1807">
        <v>4.3457751210159903E-3</v>
      </c>
      <c r="L1807" t="s">
        <v>26</v>
      </c>
      <c r="M1807" t="s">
        <v>27</v>
      </c>
      <c r="N1807">
        <v>30.956210168285899</v>
      </c>
      <c r="O1807">
        <v>46.2203552348588</v>
      </c>
      <c r="P1807">
        <v>19.508101368356201</v>
      </c>
      <c r="Q1807">
        <v>56.236047146578201</v>
      </c>
      <c r="R1807">
        <v>43.614315356484603</v>
      </c>
      <c r="S1807">
        <v>38.810703201513597</v>
      </c>
      <c r="T1807">
        <v>13.7488641467438</v>
      </c>
      <c r="U1807">
        <v>25.695080950626402</v>
      </c>
      <c r="V1807">
        <v>24.276569588179601</v>
      </c>
      <c r="W1807">
        <v>14.3118907878749</v>
      </c>
    </row>
    <row r="1808" spans="1:23" x14ac:dyDescent="0.2">
      <c r="A1808" t="s">
        <v>3623</v>
      </c>
      <c r="B1808" s="3" t="str">
        <f>HYPERLINK("http://www.ncbi.nlm.nih.gov/gene/70561","Txndc16")</f>
        <v>Txndc16</v>
      </c>
      <c r="C1808">
        <v>70561</v>
      </c>
      <c r="D1808" t="s">
        <v>3624</v>
      </c>
      <c r="E1808" s="3" t="str">
        <f>HYPERLINK("http://genome.ucsc.edu/cgi-bin/hgTracks?db=mm10&amp;lastVirtModeType=default&amp;lastVirtModeExtraState=&amp;virtModeType=default&amp;virtMode=0&amp;nonVirtPosition=&amp;position=chr14:45134447-45219425","chr14:45134447-45219425")</f>
        <v>chr14:45134447-45219425</v>
      </c>
      <c r="F1808" t="s">
        <v>25</v>
      </c>
      <c r="G1808">
        <v>-0.69717855336886603</v>
      </c>
      <c r="H1808">
        <v>0.20293574618346799</v>
      </c>
      <c r="I1808">
        <v>-3.4354645077588599</v>
      </c>
      <c r="J1808">
        <v>5.91538942300543E-4</v>
      </c>
      <c r="K1808">
        <v>4.38853073481805E-3</v>
      </c>
      <c r="L1808" t="s">
        <v>26</v>
      </c>
      <c r="M1808" t="s">
        <v>27</v>
      </c>
      <c r="N1808">
        <v>589.51275025981602</v>
      </c>
      <c r="O1808">
        <v>770.26673571820197</v>
      </c>
      <c r="P1808">
        <v>453.94726116602601</v>
      </c>
      <c r="Q1808">
        <v>1081.8479168891199</v>
      </c>
      <c r="R1808">
        <v>606.42861091320799</v>
      </c>
      <c r="S1808">
        <v>622.52367935227801</v>
      </c>
      <c r="T1808">
        <v>371.21933196208198</v>
      </c>
      <c r="U1808">
        <v>426.11009243122197</v>
      </c>
      <c r="V1808">
        <v>522.31407295780298</v>
      </c>
      <c r="W1808">
        <v>496.14554731299597</v>
      </c>
    </row>
    <row r="1809" spans="1:23" x14ac:dyDescent="0.2">
      <c r="A1809" t="s">
        <v>3625</v>
      </c>
      <c r="B1809" s="3" t="str">
        <f>HYPERLINK("http://www.ncbi.nlm.nih.gov/gene/319277","A230046K03Rik")</f>
        <v>A230046K03Rik</v>
      </c>
      <c r="C1809">
        <v>319277</v>
      </c>
      <c r="D1809" t="s">
        <v>3626</v>
      </c>
      <c r="E1809" s="3" t="str">
        <f>HYPERLINK("http://genome.ucsc.edu/cgi-bin/hgTracks?db=mm10&amp;lastVirtModeType=default&amp;lastVirtModeExtraState=&amp;virtModeType=default&amp;virtMode=0&amp;nonVirtPosition=&amp;position=chr10:83543940-83596473","chr10:83543940-83596473")</f>
        <v>chr10:83543940-83596473</v>
      </c>
      <c r="F1809" t="s">
        <v>30</v>
      </c>
      <c r="G1809">
        <v>-0.42553272890731503</v>
      </c>
      <c r="H1809">
        <v>0.12389806005465399</v>
      </c>
      <c r="I1809">
        <v>-3.43453907768696</v>
      </c>
      <c r="J1809">
        <v>5.9356248329995697E-4</v>
      </c>
      <c r="K1809">
        <v>4.3990157588001903E-3</v>
      </c>
      <c r="L1809" t="s">
        <v>26</v>
      </c>
      <c r="M1809" t="s">
        <v>27</v>
      </c>
      <c r="N1809">
        <v>599.10004893866801</v>
      </c>
      <c r="O1809">
        <v>705.74539223255204</v>
      </c>
      <c r="P1809">
        <v>519.11604146825505</v>
      </c>
      <c r="Q1809">
        <v>785.07748986807201</v>
      </c>
      <c r="R1809">
        <v>685.31363347102399</v>
      </c>
      <c r="S1809">
        <v>646.84505335855999</v>
      </c>
      <c r="T1809">
        <v>522.45683757626398</v>
      </c>
      <c r="U1809">
        <v>473.21774084070302</v>
      </c>
      <c r="V1809">
        <v>577.48809474912105</v>
      </c>
      <c r="W1809">
        <v>503.301492706933</v>
      </c>
    </row>
    <row r="1810" spans="1:23" x14ac:dyDescent="0.2">
      <c r="A1810" t="s">
        <v>3627</v>
      </c>
      <c r="B1810" s="3" t="str">
        <f>HYPERLINK("http://www.ncbi.nlm.nih.gov/gene/15467","Eif2ak1")</f>
        <v>Eif2ak1</v>
      </c>
      <c r="C1810">
        <v>15467</v>
      </c>
      <c r="D1810" t="s">
        <v>3628</v>
      </c>
      <c r="E1810" s="3" t="str">
        <f>HYPERLINK("http://genome.ucsc.edu/cgi-bin/hgTracks?db=mm10&amp;lastVirtModeType=default&amp;lastVirtModeExtraState=&amp;virtModeType=default&amp;virtMode=0&amp;nonVirtPosition=&amp;position=chr5:143871861-143902717","chr5:143871861-143902717")</f>
        <v>chr5:143871861-143902717</v>
      </c>
      <c r="F1810" t="s">
        <v>30</v>
      </c>
      <c r="G1810">
        <v>-0.46193780525802097</v>
      </c>
      <c r="H1810">
        <v>0.13449859408309101</v>
      </c>
      <c r="I1810">
        <v>-3.43451772419751</v>
      </c>
      <c r="J1810">
        <v>5.9360925070210896E-4</v>
      </c>
      <c r="K1810">
        <v>4.3990157588001903E-3</v>
      </c>
      <c r="L1810" t="s">
        <v>26</v>
      </c>
      <c r="M1810" t="s">
        <v>27</v>
      </c>
      <c r="N1810">
        <v>200.99005553881599</v>
      </c>
      <c r="O1810">
        <v>239.71874956657001</v>
      </c>
      <c r="P1810">
        <v>171.94353501800001</v>
      </c>
      <c r="Q1810">
        <v>247.77268297254801</v>
      </c>
      <c r="R1810">
        <v>234.379538176587</v>
      </c>
      <c r="S1810">
        <v>237.00402755057601</v>
      </c>
      <c r="T1810">
        <v>160.40341504534399</v>
      </c>
      <c r="U1810">
        <v>194.854363875584</v>
      </c>
      <c r="V1810">
        <v>175.085562484447</v>
      </c>
      <c r="W1810">
        <v>157.43079866662401</v>
      </c>
    </row>
    <row r="1811" spans="1:23" x14ac:dyDescent="0.2">
      <c r="A1811" t="s">
        <v>3629</v>
      </c>
      <c r="B1811" s="3" t="str">
        <f>HYPERLINK("http://www.ncbi.nlm.nih.gov/gene/18821","Pln")</f>
        <v>Pln</v>
      </c>
      <c r="C1811">
        <v>18821</v>
      </c>
      <c r="D1811" t="s">
        <v>3630</v>
      </c>
      <c r="E1811" s="3" t="str">
        <f>HYPERLINK("http://genome.ucsc.edu/cgi-bin/hgTracks?db=mm10&amp;lastVirtModeType=default&amp;lastVirtModeExtraState=&amp;virtModeType=default&amp;virtMode=0&amp;nonVirtPosition=&amp;position=chr10:53337685-53345999","chr10:53337685-53345999")</f>
        <v>chr10:53337685-53345999</v>
      </c>
      <c r="F1811" t="s">
        <v>30</v>
      </c>
      <c r="G1811">
        <v>1.1276223309028099</v>
      </c>
      <c r="H1811">
        <v>0.32837670288658699</v>
      </c>
      <c r="I1811">
        <v>3.4339291459792101</v>
      </c>
      <c r="J1811">
        <v>5.9489967790846295E-4</v>
      </c>
      <c r="K1811">
        <v>4.4061402582257899E-3</v>
      </c>
      <c r="L1811" t="s">
        <v>26</v>
      </c>
      <c r="M1811" t="s">
        <v>27</v>
      </c>
      <c r="N1811">
        <v>17.4805771102533</v>
      </c>
      <c r="O1811">
        <v>9.0966530094693105</v>
      </c>
      <c r="P1811">
        <v>23.7685201858413</v>
      </c>
      <c r="Q1811">
        <v>8.9086807360916005</v>
      </c>
      <c r="R1811">
        <v>10.619137652013601</v>
      </c>
      <c r="S1811">
        <v>7.7621406403027198</v>
      </c>
      <c r="T1811">
        <v>22.914773577906299</v>
      </c>
      <c r="U1811">
        <v>17.130053967084301</v>
      </c>
      <c r="V1811">
        <v>32.368759450906097</v>
      </c>
      <c r="W1811">
        <v>22.6604937474686</v>
      </c>
    </row>
    <row r="1812" spans="1:23" x14ac:dyDescent="0.2">
      <c r="A1812" t="s">
        <v>3631</v>
      </c>
      <c r="B1812" s="3" t="str">
        <f>HYPERLINK("http://www.ncbi.nlm.nih.gov/gene/78321","Ankrd23")</f>
        <v>Ankrd23</v>
      </c>
      <c r="C1812">
        <v>78321</v>
      </c>
      <c r="D1812" t="s">
        <v>3632</v>
      </c>
      <c r="E1812" s="3" t="str">
        <f>HYPERLINK("http://genome.ucsc.edu/cgi-bin/hgTracks?db=mm10&amp;lastVirtModeType=default&amp;lastVirtModeExtraState=&amp;virtModeType=default&amp;virtMode=0&amp;nonVirtPosition=&amp;position=chr1:36530192-36535739","chr1:36530192-36535739")</f>
        <v>chr1:36530192-36535739</v>
      </c>
      <c r="F1812" t="s">
        <v>25</v>
      </c>
      <c r="G1812">
        <v>0.962825788918519</v>
      </c>
      <c r="H1812">
        <v>0.280463361481399</v>
      </c>
      <c r="I1812">
        <v>3.4329824182128599</v>
      </c>
      <c r="J1812">
        <v>5.9698080856060399E-4</v>
      </c>
      <c r="K1812">
        <v>4.4191100096379402E-3</v>
      </c>
      <c r="L1812" t="s">
        <v>26</v>
      </c>
      <c r="M1812" t="s">
        <v>27</v>
      </c>
      <c r="N1812">
        <v>32.436530022360301</v>
      </c>
      <c r="O1812">
        <v>19.0340266894104</v>
      </c>
      <c r="P1812">
        <v>42.488407522072698</v>
      </c>
      <c r="Q1812">
        <v>21.7149092942233</v>
      </c>
      <c r="R1812">
        <v>13.653176981160399</v>
      </c>
      <c r="S1812">
        <v>21.733993792847599</v>
      </c>
      <c r="T1812">
        <v>54.995456586975202</v>
      </c>
      <c r="U1812">
        <v>32.118851188283003</v>
      </c>
      <c r="V1812">
        <v>37.518334818095703</v>
      </c>
      <c r="W1812">
        <v>45.3209874949371</v>
      </c>
    </row>
    <row r="1813" spans="1:23" x14ac:dyDescent="0.2">
      <c r="A1813" t="s">
        <v>3633</v>
      </c>
      <c r="B1813" s="3" t="str">
        <f>HYPERLINK("http://www.ncbi.nlm.nih.gov/gene/22337","Vdr")</f>
        <v>Vdr</v>
      </c>
      <c r="C1813">
        <v>22337</v>
      </c>
      <c r="D1813" t="s">
        <v>3634</v>
      </c>
      <c r="E1813" s="3" t="str">
        <f>HYPERLINK("http://genome.ucsc.edu/cgi-bin/hgTracks?db=mm10&amp;lastVirtModeType=default&amp;lastVirtModeExtraState=&amp;virtModeType=default&amp;virtMode=0&amp;nonVirtPosition=&amp;position=chr15:97854426-97908296","chr15:97854426-97908296")</f>
        <v>chr15:97854426-97908296</v>
      </c>
      <c r="F1813" t="s">
        <v>25</v>
      </c>
      <c r="G1813">
        <v>1.22761359801776</v>
      </c>
      <c r="H1813">
        <v>0.35767300953416198</v>
      </c>
      <c r="I1813">
        <v>3.4322231907199701</v>
      </c>
      <c r="J1813">
        <v>5.9865466357714495E-4</v>
      </c>
      <c r="K1813">
        <v>4.4290522651721301E-3</v>
      </c>
      <c r="L1813" t="s">
        <v>26</v>
      </c>
      <c r="M1813" t="s">
        <v>27</v>
      </c>
      <c r="N1813">
        <v>16.823358171143301</v>
      </c>
      <c r="O1813">
        <v>7.20209001864814</v>
      </c>
      <c r="P1813">
        <v>24.039309285514801</v>
      </c>
      <c r="Q1813">
        <v>5.5679254600572499</v>
      </c>
      <c r="R1813">
        <v>5.6888237421501699</v>
      </c>
      <c r="S1813">
        <v>10.349520853736999</v>
      </c>
      <c r="T1813">
        <v>36.663637724650101</v>
      </c>
      <c r="U1813">
        <v>10.7062837294277</v>
      </c>
      <c r="V1813">
        <v>30.8974522031377</v>
      </c>
      <c r="W1813">
        <v>17.889863484843598</v>
      </c>
    </row>
    <row r="1814" spans="1:23" x14ac:dyDescent="0.2">
      <c r="A1814" t="s">
        <v>3635</v>
      </c>
      <c r="B1814" s="3" t="str">
        <f>HYPERLINK("http://www.ncbi.nlm.nih.gov/gene/11947","Atp5b")</f>
        <v>Atp5b</v>
      </c>
      <c r="C1814">
        <v>11947</v>
      </c>
      <c r="D1814" t="s">
        <v>3636</v>
      </c>
      <c r="E1814" s="3" t="str">
        <f>HYPERLINK("http://genome.ucsc.edu/cgi-bin/hgTracks?db=mm10&amp;lastVirtModeType=default&amp;lastVirtModeExtraState=&amp;virtModeType=default&amp;virtMode=0&amp;nonVirtPosition=&amp;position=chr10:128083306-128090388","chr10:128083306-128090388")</f>
        <v>chr10:128083306-128090388</v>
      </c>
      <c r="F1814" t="s">
        <v>30</v>
      </c>
      <c r="G1814">
        <v>-0.541500832305291</v>
      </c>
      <c r="H1814">
        <v>0.15781341305996299</v>
      </c>
      <c r="I1814">
        <v>-3.43127255032207</v>
      </c>
      <c r="J1814">
        <v>6.0075668232251504E-4</v>
      </c>
      <c r="K1814">
        <v>4.4421494936393103E-3</v>
      </c>
      <c r="L1814" t="s">
        <v>26</v>
      </c>
      <c r="M1814" t="s">
        <v>27</v>
      </c>
      <c r="N1814">
        <v>3315.0114128099099</v>
      </c>
      <c r="O1814">
        <v>4070.3177054654702</v>
      </c>
      <c r="P1814">
        <v>2748.5316933182298</v>
      </c>
      <c r="Q1814">
        <v>3334.6305580282901</v>
      </c>
      <c r="R1814">
        <v>4564.7121707013002</v>
      </c>
      <c r="S1814">
        <v>4311.6103876668103</v>
      </c>
      <c r="T1814">
        <v>2282.31144835947</v>
      </c>
      <c r="U1814">
        <v>3233.2976862871601</v>
      </c>
      <c r="V1814">
        <v>2761.6437040614001</v>
      </c>
      <c r="W1814">
        <v>2716.8739345649101</v>
      </c>
    </row>
    <row r="1815" spans="1:23" x14ac:dyDescent="0.2">
      <c r="A1815" t="s">
        <v>3637</v>
      </c>
      <c r="B1815" s="3" t="str">
        <f>HYPERLINK("http://www.ncbi.nlm.nih.gov/gene/329165","Abi2")</f>
        <v>Abi2</v>
      </c>
      <c r="C1815">
        <v>329165</v>
      </c>
      <c r="D1815" t="s">
        <v>3638</v>
      </c>
      <c r="E1815" s="3" t="str">
        <f>HYPERLINK("http://genome.ucsc.edu/cgi-bin/hgTracks?db=mm10&amp;lastVirtModeType=default&amp;lastVirtModeExtraState=&amp;virtModeType=default&amp;virtMode=0&amp;nonVirtPosition=&amp;position=chr1:60409618-60481163","chr1:60409618-60481163")</f>
        <v>chr1:60409618-60481163</v>
      </c>
      <c r="F1815" t="s">
        <v>30</v>
      </c>
      <c r="G1815">
        <v>-0.35510041637186202</v>
      </c>
      <c r="H1815">
        <v>0.103497539829997</v>
      </c>
      <c r="I1815">
        <v>-3.4310034514360601</v>
      </c>
      <c r="J1815">
        <v>6.0135294952109401E-4</v>
      </c>
      <c r="K1815">
        <v>4.4441044961572697E-3</v>
      </c>
      <c r="L1815" t="s">
        <v>26</v>
      </c>
      <c r="M1815" t="s">
        <v>27</v>
      </c>
      <c r="N1815">
        <v>1472.82060859584</v>
      </c>
      <c r="O1815">
        <v>1691.0972580691</v>
      </c>
      <c r="P1815">
        <v>1309.1131214908901</v>
      </c>
      <c r="Q1815">
        <v>1664.8097125571201</v>
      </c>
      <c r="R1815">
        <v>1773.7752428024201</v>
      </c>
      <c r="S1815">
        <v>1634.7068188477499</v>
      </c>
      <c r="T1815">
        <v>1159.48754304206</v>
      </c>
      <c r="U1815">
        <v>1400.3819118091401</v>
      </c>
      <c r="V1815">
        <v>1374.20096941574</v>
      </c>
      <c r="W1815">
        <v>1302.38206169661</v>
      </c>
    </row>
    <row r="1816" spans="1:23" x14ac:dyDescent="0.2">
      <c r="A1816" t="s">
        <v>3639</v>
      </c>
      <c r="B1816" s="3" t="str">
        <f>HYPERLINK("http://www.ncbi.nlm.nih.gov/gene/231004","Samd11")</f>
        <v>Samd11</v>
      </c>
      <c r="C1816">
        <v>231004</v>
      </c>
      <c r="D1816" t="s">
        <v>3640</v>
      </c>
      <c r="E1816" s="3" t="str">
        <f>HYPERLINK("http://genome.ucsc.edu/cgi-bin/hgTracks?db=mm10&amp;lastVirtModeType=default&amp;lastVirtModeExtraState=&amp;virtModeType=default&amp;virtMode=0&amp;nonVirtPosition=&amp;position=chr4:156246965-156255338","chr4:156246965-156255338")</f>
        <v>chr4:156246965-156255338</v>
      </c>
      <c r="F1816" t="s">
        <v>25</v>
      </c>
      <c r="G1816">
        <v>1.3035066691894901</v>
      </c>
      <c r="H1816">
        <v>0.38009868156480497</v>
      </c>
      <c r="I1816">
        <v>3.4293901358014902</v>
      </c>
      <c r="J1816">
        <v>6.0493928719102701E-4</v>
      </c>
      <c r="K1816">
        <v>4.4681423026889299E-3</v>
      </c>
      <c r="L1816" t="s">
        <v>26</v>
      </c>
      <c r="M1816" t="s">
        <v>27</v>
      </c>
      <c r="N1816">
        <v>10.4873821326709</v>
      </c>
      <c r="O1816">
        <v>3.58016662979181</v>
      </c>
      <c r="P1816">
        <v>15.6677937598302</v>
      </c>
      <c r="Q1816">
        <v>1.67037763801717</v>
      </c>
      <c r="R1816">
        <v>4.9303139098634796</v>
      </c>
      <c r="S1816">
        <v>4.1398083414947804</v>
      </c>
      <c r="T1816">
        <v>18.3318188623251</v>
      </c>
      <c r="U1816">
        <v>19.2713107129698</v>
      </c>
      <c r="V1816">
        <v>9.5634971104949908</v>
      </c>
      <c r="W1816">
        <v>15.504548353531099</v>
      </c>
    </row>
    <row r="1817" spans="1:23" x14ac:dyDescent="0.2">
      <c r="A1817" t="s">
        <v>3641</v>
      </c>
      <c r="B1817" s="3" t="str">
        <f>HYPERLINK("http://www.ncbi.nlm.nih.gov/gene/229709","Ahcyl1")</f>
        <v>Ahcyl1</v>
      </c>
      <c r="C1817">
        <v>229709</v>
      </c>
      <c r="D1817" t="s">
        <v>3642</v>
      </c>
      <c r="E1817" s="3" t="str">
        <f>HYPERLINK("http://genome.ucsc.edu/cgi-bin/hgTracks?db=mm10&amp;lastVirtModeType=default&amp;lastVirtModeExtraState=&amp;virtModeType=default&amp;virtMode=0&amp;nonVirtPosition=&amp;position=chr3:107663119-107696548","chr3:107663119-107696548")</f>
        <v>chr3:107663119-107696548</v>
      </c>
      <c r="F1817" t="s">
        <v>25</v>
      </c>
      <c r="G1817">
        <v>-0.36690885130945</v>
      </c>
      <c r="H1817">
        <v>0.107000783527544</v>
      </c>
      <c r="I1817">
        <v>-3.42902957542363</v>
      </c>
      <c r="J1817">
        <v>6.0574351557946601E-4</v>
      </c>
      <c r="K1817">
        <v>4.4716159962098299E-3</v>
      </c>
      <c r="L1817" t="s">
        <v>26</v>
      </c>
      <c r="M1817" t="s">
        <v>27</v>
      </c>
      <c r="N1817">
        <v>920.079126908847</v>
      </c>
      <c r="O1817">
        <v>1062.21420877585</v>
      </c>
      <c r="P1817">
        <v>813.47781550859702</v>
      </c>
      <c r="Q1817">
        <v>1008.35130081637</v>
      </c>
      <c r="R1817">
        <v>1104.01106089328</v>
      </c>
      <c r="S1817">
        <v>1074.2802646179</v>
      </c>
      <c r="T1817">
        <v>760.77048278648999</v>
      </c>
      <c r="U1817">
        <v>783.69996899410603</v>
      </c>
      <c r="V1817">
        <v>905.58961100148701</v>
      </c>
      <c r="W1817">
        <v>803.85119925230595</v>
      </c>
    </row>
    <row r="1818" spans="1:23" x14ac:dyDescent="0.2">
      <c r="A1818" t="s">
        <v>3643</v>
      </c>
      <c r="B1818" s="3" t="str">
        <f>HYPERLINK("http://www.ncbi.nlm.nih.gov/gene/68364","0610030E20Rik")</f>
        <v>0610030E20Rik</v>
      </c>
      <c r="C1818">
        <v>68364</v>
      </c>
      <c r="D1818" t="s">
        <v>3644</v>
      </c>
      <c r="E1818" s="3" t="str">
        <f>HYPERLINK("http://genome.ucsc.edu/cgi-bin/hgTracks?db=mm10&amp;lastVirtModeType=default&amp;lastVirtModeExtraState=&amp;virtModeType=default&amp;virtMode=0&amp;nonVirtPosition=&amp;position=chr6:72347316-72353160","chr6:72347316-72353160")</f>
        <v>chr6:72347316-72353160</v>
      </c>
      <c r="F1818" t="s">
        <v>30</v>
      </c>
      <c r="G1818">
        <v>0.58707336778352504</v>
      </c>
      <c r="H1818">
        <v>0.1712772723996</v>
      </c>
      <c r="I1818">
        <v>3.42761978608493</v>
      </c>
      <c r="J1818">
        <v>6.0889760565280401E-4</v>
      </c>
      <c r="K1818">
        <v>4.4924230508521703E-3</v>
      </c>
      <c r="L1818" t="s">
        <v>26</v>
      </c>
      <c r="M1818" t="s">
        <v>27</v>
      </c>
      <c r="N1818">
        <v>127.973691683216</v>
      </c>
      <c r="O1818">
        <v>96.784600403149994</v>
      </c>
      <c r="P1818">
        <v>151.365510143265</v>
      </c>
      <c r="Q1818">
        <v>99.109073189019</v>
      </c>
      <c r="R1818">
        <v>81.5398069708191</v>
      </c>
      <c r="S1818">
        <v>109.704921049612</v>
      </c>
      <c r="T1818">
        <v>174.152279192088</v>
      </c>
      <c r="U1818">
        <v>149.88797221198701</v>
      </c>
      <c r="V1818">
        <v>138.30288129023501</v>
      </c>
      <c r="W1818">
        <v>143.11890787874901</v>
      </c>
    </row>
    <row r="1819" spans="1:23" x14ac:dyDescent="0.2">
      <c r="A1819" t="s">
        <v>3645</v>
      </c>
      <c r="B1819" s="3" t="str">
        <f>HYPERLINK("http://www.ncbi.nlm.nih.gov/gene/13033","Ctsd")</f>
        <v>Ctsd</v>
      </c>
      <c r="C1819">
        <v>13033</v>
      </c>
      <c r="D1819" t="s">
        <v>3646</v>
      </c>
      <c r="E1819" s="3" t="str">
        <f>HYPERLINK("http://genome.ucsc.edu/cgi-bin/hgTracks?db=mm10&amp;lastVirtModeType=default&amp;lastVirtModeExtraState=&amp;virtModeType=default&amp;virtMode=0&amp;nonVirtPosition=&amp;position=chr7:142375915-142387870","chr7:142375915-142387870")</f>
        <v>chr7:142375915-142387870</v>
      </c>
      <c r="F1819" t="s">
        <v>25</v>
      </c>
      <c r="G1819">
        <v>-0.87372920006728605</v>
      </c>
      <c r="H1819">
        <v>0.25516765066493202</v>
      </c>
      <c r="I1819">
        <v>-3.4241378081840201</v>
      </c>
      <c r="J1819">
        <v>6.1675336610720504E-4</v>
      </c>
      <c r="K1819">
        <v>4.54787683124536E-3</v>
      </c>
      <c r="L1819" t="s">
        <v>26</v>
      </c>
      <c r="M1819" t="s">
        <v>27</v>
      </c>
      <c r="N1819">
        <v>3356.40577001877</v>
      </c>
      <c r="O1819">
        <v>4683.0611851924496</v>
      </c>
      <c r="P1819">
        <v>2361.4142086385</v>
      </c>
      <c r="Q1819">
        <v>7700.9977038051802</v>
      </c>
      <c r="R1819">
        <v>3168.2955694614998</v>
      </c>
      <c r="S1819">
        <v>3179.89028231068</v>
      </c>
      <c r="T1819">
        <v>1975.25348241552</v>
      </c>
      <c r="U1819">
        <v>2406.7725823753399</v>
      </c>
      <c r="V1819">
        <v>2435.0134950567999</v>
      </c>
      <c r="W1819">
        <v>2628.6172747063501</v>
      </c>
    </row>
    <row r="1820" spans="1:23" x14ac:dyDescent="0.2">
      <c r="A1820" t="s">
        <v>3647</v>
      </c>
      <c r="B1820" s="3" t="str">
        <f>HYPERLINK("http://www.ncbi.nlm.nih.gov/gene/18823","Plp1")</f>
        <v>Plp1</v>
      </c>
      <c r="C1820">
        <v>18823</v>
      </c>
      <c r="D1820" t="s">
        <v>3648</v>
      </c>
      <c r="E1820" s="3" t="str">
        <f>HYPERLINK("http://genome.ucsc.edu/cgi-bin/hgTracks?db=mm10&amp;lastVirtModeType=default&amp;lastVirtModeExtraState=&amp;virtModeType=default&amp;virtMode=0&amp;nonVirtPosition=&amp;position=chrX:136822745-136838582","chrX:136822745-136838582")</f>
        <v>chrX:136822745-136838582</v>
      </c>
      <c r="F1820" t="s">
        <v>30</v>
      </c>
      <c r="G1820">
        <v>-0.61904653874096005</v>
      </c>
      <c r="H1820">
        <v>0.18079774023221701</v>
      </c>
      <c r="I1820">
        <v>-3.4239727661742601</v>
      </c>
      <c r="J1820">
        <v>6.1712805148444896E-4</v>
      </c>
      <c r="K1820">
        <v>4.5481352434938102E-3</v>
      </c>
      <c r="L1820" t="s">
        <v>26</v>
      </c>
      <c r="M1820" t="s">
        <v>27</v>
      </c>
      <c r="N1820">
        <v>1141.9551200919</v>
      </c>
      <c r="O1820">
        <v>1443.8020348120699</v>
      </c>
      <c r="P1820">
        <v>915.56993405177002</v>
      </c>
      <c r="Q1820">
        <v>1817.9276627086899</v>
      </c>
      <c r="R1820">
        <v>1447.9952698352899</v>
      </c>
      <c r="S1820">
        <v>1065.4831718922201</v>
      </c>
      <c r="T1820">
        <v>884.51026010718397</v>
      </c>
      <c r="U1820">
        <v>796.54750946941897</v>
      </c>
      <c r="V1820">
        <v>882.78434866107602</v>
      </c>
      <c r="W1820">
        <v>1098.4376179694</v>
      </c>
    </row>
    <row r="1821" spans="1:23" x14ac:dyDescent="0.2">
      <c r="A1821" t="s">
        <v>3649</v>
      </c>
      <c r="B1821" s="3" t="str">
        <f>HYPERLINK("http://www.ncbi.nlm.nih.gov/gene/18933","Prrx1")</f>
        <v>Prrx1</v>
      </c>
      <c r="C1821">
        <v>18933</v>
      </c>
      <c r="D1821" t="s">
        <v>3650</v>
      </c>
      <c r="E1821" s="3" t="str">
        <f>HYPERLINK("http://genome.ucsc.edu/cgi-bin/hgTracks?db=mm10&amp;lastVirtModeType=default&amp;lastVirtModeExtraState=&amp;virtModeType=default&amp;virtMode=0&amp;nonVirtPosition=&amp;position=chr1:163245118-163313650","chr1:163245118-163313650")</f>
        <v>chr1:163245118-163313650</v>
      </c>
      <c r="F1821" t="s">
        <v>25</v>
      </c>
      <c r="G1821">
        <v>0.82244256737179</v>
      </c>
      <c r="H1821">
        <v>0.240226377036348</v>
      </c>
      <c r="I1821">
        <v>3.4236147483810702</v>
      </c>
      <c r="J1821">
        <v>6.17941566857767E-4</v>
      </c>
      <c r="K1821">
        <v>4.5516256995557502E-3</v>
      </c>
      <c r="L1821" t="s">
        <v>26</v>
      </c>
      <c r="M1821" t="s">
        <v>27</v>
      </c>
      <c r="N1821">
        <v>1419.0805478851901</v>
      </c>
      <c r="O1821">
        <v>943.15822296910903</v>
      </c>
      <c r="P1821">
        <v>1776.02229157226</v>
      </c>
      <c r="Q1821">
        <v>559.01971618974801</v>
      </c>
      <c r="R1821">
        <v>785.81618624901</v>
      </c>
      <c r="S1821">
        <v>1484.6387664685701</v>
      </c>
      <c r="T1821">
        <v>1649.86369760925</v>
      </c>
      <c r="U1821">
        <v>1627.35512687301</v>
      </c>
      <c r="V1821">
        <v>1893.5724278780101</v>
      </c>
      <c r="W1821">
        <v>1933.29791392876</v>
      </c>
    </row>
    <row r="1822" spans="1:23" x14ac:dyDescent="0.2">
      <c r="A1822" t="s">
        <v>3651</v>
      </c>
      <c r="B1822" s="3" t="str">
        <f>HYPERLINK("http://www.ncbi.nlm.nih.gov/gene/94185","Tnfrsf21")</f>
        <v>Tnfrsf21</v>
      </c>
      <c r="C1822">
        <v>94185</v>
      </c>
      <c r="D1822" t="s">
        <v>3652</v>
      </c>
      <c r="E1822" s="3" t="str">
        <f>HYPERLINK("http://genome.ucsc.edu/cgi-bin/hgTracks?db=mm10&amp;lastVirtModeType=default&amp;lastVirtModeExtraState=&amp;virtModeType=default&amp;virtMode=0&amp;nonVirtPosition=&amp;position=chr17:43016554-43089188","chr17:43016554-43089188")</f>
        <v>chr17:43016554-43089188</v>
      </c>
      <c r="F1822" t="s">
        <v>30</v>
      </c>
      <c r="G1822">
        <v>-0.54973576179535</v>
      </c>
      <c r="H1822">
        <v>0.16059543659280501</v>
      </c>
      <c r="I1822">
        <v>-3.4231094821780199</v>
      </c>
      <c r="J1822">
        <v>6.1909136925641201E-4</v>
      </c>
      <c r="K1822">
        <v>4.5559392010946203E-3</v>
      </c>
      <c r="L1822" t="s">
        <v>26</v>
      </c>
      <c r="M1822" t="s">
        <v>27</v>
      </c>
      <c r="N1822">
        <v>639.07473041242395</v>
      </c>
      <c r="O1822">
        <v>788.80253976350605</v>
      </c>
      <c r="P1822">
        <v>526.77887339911194</v>
      </c>
      <c r="Q1822">
        <v>744.43163400965398</v>
      </c>
      <c r="R1822">
        <v>634.11421979167199</v>
      </c>
      <c r="S1822">
        <v>987.86176548919195</v>
      </c>
      <c r="T1822">
        <v>462.87842627370799</v>
      </c>
      <c r="U1822">
        <v>575.99806464320898</v>
      </c>
      <c r="V1822">
        <v>545.85498892209898</v>
      </c>
      <c r="W1822">
        <v>522.38401375743297</v>
      </c>
    </row>
    <row r="1823" spans="1:23" x14ac:dyDescent="0.2">
      <c r="A1823" t="s">
        <v>3653</v>
      </c>
      <c r="B1823" s="3" t="str">
        <f>HYPERLINK("http://www.ncbi.nlm.nih.gov/gene/14866","Gstm5")</f>
        <v>Gstm5</v>
      </c>
      <c r="C1823">
        <v>14866</v>
      </c>
      <c r="D1823" t="s">
        <v>3654</v>
      </c>
      <c r="E1823" s="3" t="str">
        <f>HYPERLINK("http://genome.ucsc.edu/cgi-bin/hgTracks?db=mm10&amp;lastVirtModeType=default&amp;lastVirtModeExtraState=&amp;virtModeType=default&amp;virtMode=0&amp;nonVirtPosition=&amp;position=chr3:107895853-107898685","chr3:107895853-107898685")</f>
        <v>chr3:107895853-107898685</v>
      </c>
      <c r="F1823" t="s">
        <v>30</v>
      </c>
      <c r="G1823">
        <v>-0.52140942523289102</v>
      </c>
      <c r="H1823">
        <v>0.15232267693095</v>
      </c>
      <c r="I1823">
        <v>-3.4230584423700301</v>
      </c>
      <c r="J1823">
        <v>6.1920762795849595E-4</v>
      </c>
      <c r="K1823">
        <v>4.5559392010946203E-3</v>
      </c>
      <c r="L1823" t="s">
        <v>26</v>
      </c>
      <c r="M1823" t="s">
        <v>27</v>
      </c>
      <c r="N1823">
        <v>279.60789017150699</v>
      </c>
      <c r="O1823">
        <v>343.35123209070798</v>
      </c>
      <c r="P1823">
        <v>231.80038373210601</v>
      </c>
      <c r="Q1823">
        <v>401.44742567012798</v>
      </c>
      <c r="R1823">
        <v>326.91773771556302</v>
      </c>
      <c r="S1823">
        <v>301.68853288643197</v>
      </c>
      <c r="T1823">
        <v>187.90114333883199</v>
      </c>
      <c r="U1823">
        <v>265.51583648980602</v>
      </c>
      <c r="V1823">
        <v>247.179617625101</v>
      </c>
      <c r="W1823">
        <v>226.60493747468601</v>
      </c>
    </row>
    <row r="1824" spans="1:23" x14ac:dyDescent="0.2">
      <c r="A1824" t="s">
        <v>3655</v>
      </c>
      <c r="B1824" s="3" t="str">
        <f>HYPERLINK("http://www.ncbi.nlm.nih.gov/gene/76498","Paqr4")</f>
        <v>Paqr4</v>
      </c>
      <c r="C1824">
        <v>76498</v>
      </c>
      <c r="D1824" t="s">
        <v>3656</v>
      </c>
      <c r="E1824" s="3" t="str">
        <f>HYPERLINK("http://genome.ucsc.edu/cgi-bin/hgTracks?db=mm10&amp;lastVirtModeType=default&amp;lastVirtModeExtraState=&amp;virtModeType=default&amp;virtMode=0&amp;nonVirtPosition=&amp;position=chr17:23736185-23740330","chr17:23736185-23740330")</f>
        <v>chr17:23736185-23740330</v>
      </c>
      <c r="F1824" t="s">
        <v>25</v>
      </c>
      <c r="G1824">
        <v>-0.52233501089677803</v>
      </c>
      <c r="H1824">
        <v>0.15261220126991401</v>
      </c>
      <c r="I1824">
        <v>-3.42262942641762</v>
      </c>
      <c r="J1824">
        <v>6.2018564570173599E-4</v>
      </c>
      <c r="K1824">
        <v>4.56062931443819E-3</v>
      </c>
      <c r="L1824" t="s">
        <v>26</v>
      </c>
      <c r="M1824" t="s">
        <v>27</v>
      </c>
      <c r="N1824">
        <v>171.16337422598301</v>
      </c>
      <c r="O1824">
        <v>208.87271441073599</v>
      </c>
      <c r="P1824">
        <v>142.88136908741899</v>
      </c>
      <c r="Q1824">
        <v>227.72815131634201</v>
      </c>
      <c r="R1824">
        <v>197.591811310683</v>
      </c>
      <c r="S1824">
        <v>201.298180605184</v>
      </c>
      <c r="T1824">
        <v>123.739777320694</v>
      </c>
      <c r="U1824">
        <v>173.44179641672801</v>
      </c>
      <c r="V1824">
        <v>132.41765229916101</v>
      </c>
      <c r="W1824">
        <v>141.92625031309299</v>
      </c>
    </row>
    <row r="1825" spans="1:23" x14ac:dyDescent="0.2">
      <c r="A1825" t="s">
        <v>3657</v>
      </c>
      <c r="B1825" s="3" t="str">
        <f>HYPERLINK("http://www.ncbi.nlm.nih.gov/gene/12725","Clcn3")</f>
        <v>Clcn3</v>
      </c>
      <c r="C1825">
        <v>12725</v>
      </c>
      <c r="D1825" t="s">
        <v>3658</v>
      </c>
      <c r="E1825" s="3" t="str">
        <f>HYPERLINK("http://genome.ucsc.edu/cgi-bin/hgTracks?db=mm10&amp;lastVirtModeType=default&amp;lastVirtModeExtraState=&amp;virtModeType=default&amp;virtMode=0&amp;nonVirtPosition=&amp;position=chr8:60910388-60983311","chr8:60910388-60983311")</f>
        <v>chr8:60910388-60983311</v>
      </c>
      <c r="F1825" t="s">
        <v>25</v>
      </c>
      <c r="G1825">
        <v>-0.39429340828394999</v>
      </c>
      <c r="H1825">
        <v>0.115257330499014</v>
      </c>
      <c r="I1825">
        <v>-3.4209833472355302</v>
      </c>
      <c r="J1825">
        <v>6.2395152683926999E-4</v>
      </c>
      <c r="K1825">
        <v>4.5858040043384504E-3</v>
      </c>
      <c r="L1825" t="s">
        <v>26</v>
      </c>
      <c r="M1825" t="s">
        <v>27</v>
      </c>
      <c r="N1825">
        <v>1163.0006087034601</v>
      </c>
      <c r="O1825">
        <v>1351.7388896494101</v>
      </c>
      <c r="P1825">
        <v>1021.44689799399</v>
      </c>
      <c r="Q1825">
        <v>1494.43119347937</v>
      </c>
      <c r="R1825">
        <v>1316.7730688496899</v>
      </c>
      <c r="S1825">
        <v>1244.01240661918</v>
      </c>
      <c r="T1825">
        <v>1017.41594685904</v>
      </c>
      <c r="U1825">
        <v>1036.3682650086</v>
      </c>
      <c r="V1825">
        <v>1100.5378213308099</v>
      </c>
      <c r="W1825">
        <v>931.46555877752303</v>
      </c>
    </row>
    <row r="1826" spans="1:23" x14ac:dyDescent="0.2">
      <c r="A1826" t="s">
        <v>3659</v>
      </c>
      <c r="B1826" s="3" t="str">
        <f>HYPERLINK("http://www.ncbi.nlm.nih.gov/gene/24000","Ptpn21")</f>
        <v>Ptpn21</v>
      </c>
      <c r="C1826">
        <v>24000</v>
      </c>
      <c r="D1826" t="s">
        <v>3660</v>
      </c>
      <c r="E1826" s="3" t="str">
        <f>HYPERLINK("http://genome.ucsc.edu/cgi-bin/hgTracks?db=mm10&amp;lastVirtModeType=default&amp;lastVirtModeExtraState=&amp;virtModeType=default&amp;virtMode=0&amp;nonVirtPosition=&amp;position=chr12:98676740-98737405","chr12:98676740-98737405")</f>
        <v>chr12:98676740-98737405</v>
      </c>
      <c r="F1826" t="s">
        <v>25</v>
      </c>
      <c r="G1826">
        <v>0.57432505244470999</v>
      </c>
      <c r="H1826">
        <v>0.16800428028469799</v>
      </c>
      <c r="I1826">
        <v>3.4185144061298098</v>
      </c>
      <c r="J1826">
        <v>6.2963984604135002E-4</v>
      </c>
      <c r="K1826">
        <v>4.6250725059460897E-3</v>
      </c>
      <c r="L1826" t="s">
        <v>26</v>
      </c>
      <c r="M1826" t="s">
        <v>27</v>
      </c>
      <c r="N1826">
        <v>127.360239383448</v>
      </c>
      <c r="O1826">
        <v>99.628316357226495</v>
      </c>
      <c r="P1826">
        <v>148.15918165311501</v>
      </c>
      <c r="Q1826">
        <v>104.676998649076</v>
      </c>
      <c r="R1826">
        <v>87.607885629112602</v>
      </c>
      <c r="S1826">
        <v>106.600064793491</v>
      </c>
      <c r="T1826">
        <v>137.48864146743799</v>
      </c>
      <c r="U1826">
        <v>143.46420197433099</v>
      </c>
      <c r="V1826">
        <v>172.14294798891001</v>
      </c>
      <c r="W1826">
        <v>139.54093518177999</v>
      </c>
    </row>
    <row r="1827" spans="1:23" x14ac:dyDescent="0.2">
      <c r="A1827" t="s">
        <v>3661</v>
      </c>
      <c r="B1827" s="3" t="str">
        <f>HYPERLINK("http://www.ncbi.nlm.nih.gov/gene/29876","Clic4")</f>
        <v>Clic4</v>
      </c>
      <c r="C1827">
        <v>29876</v>
      </c>
      <c r="D1827" t="s">
        <v>3662</v>
      </c>
      <c r="E1827" s="3" t="str">
        <f>HYPERLINK("http://genome.ucsc.edu/cgi-bin/hgTracks?db=mm10&amp;lastVirtModeType=default&amp;lastVirtModeExtraState=&amp;virtModeType=default&amp;virtMode=0&amp;nonVirtPosition=&amp;position=chr4:135213969-135272760","chr4:135213969-135272760")</f>
        <v>chr4:135213969-135272760</v>
      </c>
      <c r="F1827" t="s">
        <v>25</v>
      </c>
      <c r="G1827">
        <v>-0.37417197507199901</v>
      </c>
      <c r="H1827">
        <v>0.109462568121085</v>
      </c>
      <c r="I1827">
        <v>-3.41826417463639</v>
      </c>
      <c r="J1827">
        <v>6.3021905177889997E-4</v>
      </c>
      <c r="K1827">
        <v>4.6267891021772199E-3</v>
      </c>
      <c r="L1827" t="s">
        <v>26</v>
      </c>
      <c r="M1827" t="s">
        <v>27</v>
      </c>
      <c r="N1827">
        <v>893.29630588134103</v>
      </c>
      <c r="O1827">
        <v>1036.2464849196001</v>
      </c>
      <c r="P1827">
        <v>786.08367160264902</v>
      </c>
      <c r="Q1827">
        <v>1051.7811194048099</v>
      </c>
      <c r="R1827">
        <v>992.51011554713295</v>
      </c>
      <c r="S1827">
        <v>1064.4482198068499</v>
      </c>
      <c r="T1827">
        <v>673.69434319044603</v>
      </c>
      <c r="U1827">
        <v>790.12373923176301</v>
      </c>
      <c r="V1827">
        <v>815.83986888761103</v>
      </c>
      <c r="W1827">
        <v>864.67673510077395</v>
      </c>
    </row>
    <row r="1828" spans="1:23" x14ac:dyDescent="0.2">
      <c r="A1828" t="s">
        <v>3663</v>
      </c>
      <c r="B1828" s="3" t="str">
        <f>HYPERLINK("http://www.ncbi.nlm.nih.gov/gene/66044","Dtd1")</f>
        <v>Dtd1</v>
      </c>
      <c r="C1828">
        <v>66044</v>
      </c>
      <c r="D1828" t="s">
        <v>3664</v>
      </c>
      <c r="E1828" s="3" t="str">
        <f>HYPERLINK("http://genome.ucsc.edu/cgi-bin/hgTracks?db=mm10&amp;lastVirtModeType=default&amp;lastVirtModeExtraState=&amp;virtModeType=default&amp;virtMode=0&amp;nonVirtPosition=&amp;position=chr2:144599952-144768747","chr2:144599952-144768747")</f>
        <v>chr2:144599952-144768747</v>
      </c>
      <c r="F1828" t="s">
        <v>30</v>
      </c>
      <c r="G1828">
        <v>-0.59988659879631401</v>
      </c>
      <c r="H1828">
        <v>0.175681356959522</v>
      </c>
      <c r="I1828">
        <v>-3.41462867306138</v>
      </c>
      <c r="J1828">
        <v>6.3869018088521298E-4</v>
      </c>
      <c r="K1828">
        <v>4.6864110751966498E-3</v>
      </c>
      <c r="L1828" t="s">
        <v>26</v>
      </c>
      <c r="M1828" t="s">
        <v>27</v>
      </c>
      <c r="N1828">
        <v>139.03724089740899</v>
      </c>
      <c r="O1828">
        <v>173.52100986530101</v>
      </c>
      <c r="P1828">
        <v>113.17441417149</v>
      </c>
      <c r="Q1828">
        <v>159.79946070364301</v>
      </c>
      <c r="R1828">
        <v>207.07318421426601</v>
      </c>
      <c r="S1828">
        <v>153.69038467799399</v>
      </c>
      <c r="T1828">
        <v>114.573867889532</v>
      </c>
      <c r="U1828">
        <v>124.192891261361</v>
      </c>
      <c r="V1828">
        <v>112.555004454287</v>
      </c>
      <c r="W1828">
        <v>101.37589308078</v>
      </c>
    </row>
    <row r="1829" spans="1:23" x14ac:dyDescent="0.2">
      <c r="A1829" t="s">
        <v>3665</v>
      </c>
      <c r="B1829" s="3" t="str">
        <f>HYPERLINK("http://www.ncbi.nlm.nih.gov/gene/54194","Akap8l")</f>
        <v>Akap8l</v>
      </c>
      <c r="C1829">
        <v>54194</v>
      </c>
      <c r="D1829" t="s">
        <v>3666</v>
      </c>
      <c r="E1829" s="3" t="str">
        <f>HYPERLINK("http://genome.ucsc.edu/cgi-bin/hgTracks?db=mm10&amp;lastVirtModeType=default&amp;lastVirtModeExtraState=&amp;virtModeType=default&amp;virtMode=0&amp;nonVirtPosition=&amp;position=chr17:32321423-32350577","chr17:32321423-32350577")</f>
        <v>chr17:32321423-32350577</v>
      </c>
      <c r="F1829" t="s">
        <v>25</v>
      </c>
      <c r="G1829">
        <v>0.60998893267147902</v>
      </c>
      <c r="H1829">
        <v>0.17869098661129701</v>
      </c>
      <c r="I1829">
        <v>3.41365249719269</v>
      </c>
      <c r="J1829">
        <v>6.4098275181928902E-4</v>
      </c>
      <c r="K1829">
        <v>4.7006571903680698E-3</v>
      </c>
      <c r="L1829" t="s">
        <v>26</v>
      </c>
      <c r="M1829" t="s">
        <v>27</v>
      </c>
      <c r="N1829">
        <v>222.668426529985</v>
      </c>
      <c r="O1829">
        <v>169.138998801247</v>
      </c>
      <c r="P1829">
        <v>262.815497326539</v>
      </c>
      <c r="Q1829">
        <v>179.84399235984901</v>
      </c>
      <c r="R1829">
        <v>154.73600578648501</v>
      </c>
      <c r="S1829">
        <v>172.836998257407</v>
      </c>
      <c r="T1829">
        <v>256.64546407255102</v>
      </c>
      <c r="U1829">
        <v>218.408188080325</v>
      </c>
      <c r="V1829">
        <v>224.37435528469001</v>
      </c>
      <c r="W1829">
        <v>351.83398186859102</v>
      </c>
    </row>
    <row r="1830" spans="1:23" x14ac:dyDescent="0.2">
      <c r="A1830" t="s">
        <v>3667</v>
      </c>
      <c r="B1830" s="3" t="str">
        <f>HYPERLINK("http://www.ncbi.nlm.nih.gov/gene/67896","Ccdc80")</f>
        <v>Ccdc80</v>
      </c>
      <c r="C1830">
        <v>67896</v>
      </c>
      <c r="D1830" t="s">
        <v>3668</v>
      </c>
      <c r="E1830" s="3" t="str">
        <f>HYPERLINK("http://genome.ucsc.edu/cgi-bin/hgTracks?db=mm10&amp;lastVirtModeType=default&amp;lastVirtModeExtraState=&amp;virtModeType=default&amp;virtMode=0&amp;nonVirtPosition=&amp;position=chr16:45094052-45127924","chr16:45094052-45127924")</f>
        <v>chr16:45094052-45127924</v>
      </c>
      <c r="F1830" t="s">
        <v>30</v>
      </c>
      <c r="G1830">
        <v>-1.1050814181176301</v>
      </c>
      <c r="H1830">
        <v>0.32376618093963799</v>
      </c>
      <c r="I1830">
        <v>-3.4132083064094201</v>
      </c>
      <c r="J1830">
        <v>6.4202847568822004E-4</v>
      </c>
      <c r="K1830">
        <v>4.7057489424964204E-3</v>
      </c>
      <c r="L1830" t="s">
        <v>26</v>
      </c>
      <c r="M1830" t="s">
        <v>27</v>
      </c>
      <c r="N1830">
        <v>29.079388673595201</v>
      </c>
      <c r="O1830">
        <v>45.138590322401299</v>
      </c>
      <c r="P1830">
        <v>17.034987436990601</v>
      </c>
      <c r="Q1830">
        <v>59.0200098766068</v>
      </c>
      <c r="R1830">
        <v>30.340393291467599</v>
      </c>
      <c r="S1830">
        <v>46.055367799129399</v>
      </c>
      <c r="T1830">
        <v>22.914773577906299</v>
      </c>
      <c r="U1830">
        <v>8.5650269835421398</v>
      </c>
      <c r="V1830">
        <v>23.540915964295401</v>
      </c>
      <c r="W1830">
        <v>13.1192332222186</v>
      </c>
    </row>
    <row r="1831" spans="1:23" x14ac:dyDescent="0.2">
      <c r="A1831" t="s">
        <v>3669</v>
      </c>
      <c r="B1831" s="3" t="str">
        <f>HYPERLINK("http://www.ncbi.nlm.nih.gov/gene/194655","Klf11")</f>
        <v>Klf11</v>
      </c>
      <c r="C1831">
        <v>194655</v>
      </c>
      <c r="D1831" t="s">
        <v>3670</v>
      </c>
      <c r="E1831" s="3" t="str">
        <f>HYPERLINK("http://genome.ucsc.edu/cgi-bin/hgTracks?db=mm10&amp;lastVirtModeType=default&amp;lastVirtModeExtraState=&amp;virtModeType=default&amp;virtMode=0&amp;nonVirtPosition=&amp;position=chr12:24651370-24662782","chr12:24651370-24662782")</f>
        <v>chr12:24651370-24662782</v>
      </c>
      <c r="F1831" t="s">
        <v>30</v>
      </c>
      <c r="G1831">
        <v>0.89123748211089004</v>
      </c>
      <c r="H1831">
        <v>0.26113841679535099</v>
      </c>
      <c r="I1831">
        <v>3.41289302833346</v>
      </c>
      <c r="J1831">
        <v>6.4277167300090803E-4</v>
      </c>
      <c r="K1831">
        <v>4.70861896780917E-3</v>
      </c>
      <c r="L1831" t="s">
        <v>26</v>
      </c>
      <c r="M1831" t="s">
        <v>27</v>
      </c>
      <c r="N1831">
        <v>63.610216287666702</v>
      </c>
      <c r="O1831">
        <v>39.509850012583399</v>
      </c>
      <c r="P1831">
        <v>81.685490993979101</v>
      </c>
      <c r="Q1831">
        <v>57.349632238589699</v>
      </c>
      <c r="R1831">
        <v>33.753687536757703</v>
      </c>
      <c r="S1831">
        <v>27.4262302624029</v>
      </c>
      <c r="T1831">
        <v>96.242049027206505</v>
      </c>
      <c r="U1831">
        <v>92.074040073077995</v>
      </c>
      <c r="V1831">
        <v>72.829708764538793</v>
      </c>
      <c r="W1831">
        <v>65.596166111093197</v>
      </c>
    </row>
    <row r="1832" spans="1:23" x14ac:dyDescent="0.2">
      <c r="A1832" t="s">
        <v>3671</v>
      </c>
      <c r="B1832" s="3" t="str">
        <f>HYPERLINK("http://www.ncbi.nlm.nih.gov/gene/12029","Bcl6b")</f>
        <v>Bcl6b</v>
      </c>
      <c r="C1832">
        <v>12029</v>
      </c>
      <c r="D1832" t="s">
        <v>3672</v>
      </c>
      <c r="E1832" s="3" t="str">
        <f>HYPERLINK("http://genome.ucsc.edu/cgi-bin/hgTracks?db=mm10&amp;lastVirtModeType=default&amp;lastVirtModeExtraState=&amp;virtModeType=default&amp;virtMode=0&amp;nonVirtPosition=&amp;position=chr11:70224126-70229798","chr11:70224126-70229798")</f>
        <v>chr11:70224126-70229798</v>
      </c>
      <c r="F1832" t="s">
        <v>25</v>
      </c>
      <c r="G1832">
        <v>0.63401771558550202</v>
      </c>
      <c r="H1832">
        <v>0.18582497348948901</v>
      </c>
      <c r="I1832">
        <v>3.4119080104233999</v>
      </c>
      <c r="J1832">
        <v>6.4509879020286103E-4</v>
      </c>
      <c r="K1832">
        <v>4.7208365072409003E-3</v>
      </c>
      <c r="L1832" t="s">
        <v>26</v>
      </c>
      <c r="M1832" t="s">
        <v>27</v>
      </c>
      <c r="N1832">
        <v>129.21598023681901</v>
      </c>
      <c r="O1832">
        <v>93.695465460408897</v>
      </c>
      <c r="P1832">
        <v>155.85636631912601</v>
      </c>
      <c r="Q1832">
        <v>94.097940274967499</v>
      </c>
      <c r="R1832">
        <v>103.15733719099001</v>
      </c>
      <c r="S1832">
        <v>83.8311189152693</v>
      </c>
      <c r="T1832">
        <v>201.650007485576</v>
      </c>
      <c r="U1832">
        <v>162.735512687301</v>
      </c>
      <c r="V1832">
        <v>139.77418853800401</v>
      </c>
      <c r="W1832">
        <v>119.265756565624</v>
      </c>
    </row>
    <row r="1833" spans="1:23" x14ac:dyDescent="0.2">
      <c r="A1833" t="s">
        <v>3673</v>
      </c>
      <c r="B1833" s="3" t="str">
        <f>HYPERLINK("http://www.ncbi.nlm.nih.gov/gene/14405","Gabrg1")</f>
        <v>Gabrg1</v>
      </c>
      <c r="C1833">
        <v>14405</v>
      </c>
      <c r="D1833" t="s">
        <v>3674</v>
      </c>
      <c r="E1833" s="3" t="str">
        <f>HYPERLINK("http://genome.ucsc.edu/cgi-bin/hgTracks?db=mm10&amp;lastVirtModeType=default&amp;lastVirtModeExtraState=&amp;virtModeType=default&amp;virtMode=0&amp;nonVirtPosition=&amp;position=chr5:70751046-70842617","chr5:70751046-70842617")</f>
        <v>chr5:70751046-70842617</v>
      </c>
      <c r="F1833" t="s">
        <v>25</v>
      </c>
      <c r="G1833">
        <v>-0.71373572288760001</v>
      </c>
      <c r="H1833">
        <v>0.20919080072885601</v>
      </c>
      <c r="I1833">
        <v>-3.41188867006018</v>
      </c>
      <c r="J1833">
        <v>6.4514456039510505E-4</v>
      </c>
      <c r="K1833">
        <v>4.7208365072409003E-3</v>
      </c>
      <c r="L1833" t="s">
        <v>26</v>
      </c>
      <c r="M1833" t="s">
        <v>27</v>
      </c>
      <c r="N1833">
        <v>153.866505074787</v>
      </c>
      <c r="O1833">
        <v>201.589349165248</v>
      </c>
      <c r="P1833">
        <v>118.074372006942</v>
      </c>
      <c r="Q1833">
        <v>272.27155499679998</v>
      </c>
      <c r="R1833">
        <v>171.043967180648</v>
      </c>
      <c r="S1833">
        <v>161.45252531829601</v>
      </c>
      <c r="T1833">
        <v>114.573867889532</v>
      </c>
      <c r="U1833">
        <v>132.75791824490301</v>
      </c>
      <c r="V1833">
        <v>123.589808812551</v>
      </c>
      <c r="W1833">
        <v>101.37589308078</v>
      </c>
    </row>
    <row r="1834" spans="1:23" x14ac:dyDescent="0.2">
      <c r="A1834" t="s">
        <v>3675</v>
      </c>
      <c r="B1834" s="3" t="str">
        <f>HYPERLINK("http://www.ncbi.nlm.nih.gov/gene/26404","Map3k12")</f>
        <v>Map3k12</v>
      </c>
      <c r="C1834">
        <v>26404</v>
      </c>
      <c r="D1834" t="s">
        <v>3676</v>
      </c>
      <c r="E1834" s="3" t="str">
        <f>HYPERLINK("http://genome.ucsc.edu/cgi-bin/hgTracks?db=mm10&amp;lastVirtModeType=default&amp;lastVirtModeExtraState=&amp;virtModeType=default&amp;virtMode=0&amp;nonVirtPosition=&amp;position=chr15:102497646-102517004","chr15:102497646-102517004")</f>
        <v>chr15:102497646-102517004</v>
      </c>
      <c r="F1834" t="s">
        <v>25</v>
      </c>
      <c r="G1834">
        <v>0.486083263438428</v>
      </c>
      <c r="H1834">
        <v>0.14264753014579101</v>
      </c>
      <c r="I1834">
        <v>3.40758275268862</v>
      </c>
      <c r="J1834">
        <v>6.5541031473583596E-4</v>
      </c>
      <c r="K1834">
        <v>4.7913174825455398E-3</v>
      </c>
      <c r="L1834" t="s">
        <v>26</v>
      </c>
      <c r="M1834" t="s">
        <v>27</v>
      </c>
      <c r="N1834">
        <v>239.009346151415</v>
      </c>
      <c r="O1834">
        <v>193.22758491231599</v>
      </c>
      <c r="P1834">
        <v>273.34566708073902</v>
      </c>
      <c r="Q1834">
        <v>165.92417870970601</v>
      </c>
      <c r="R1834">
        <v>197.971066226826</v>
      </c>
      <c r="S1834">
        <v>215.78750980041499</v>
      </c>
      <c r="T1834">
        <v>252.062509356969</v>
      </c>
      <c r="U1834">
        <v>301.91720116986102</v>
      </c>
      <c r="V1834">
        <v>256.74311473559601</v>
      </c>
      <c r="W1834">
        <v>282.659843060529</v>
      </c>
    </row>
    <row r="1835" spans="1:23" x14ac:dyDescent="0.2">
      <c r="A1835" t="s">
        <v>3677</v>
      </c>
      <c r="B1835" s="3" t="str">
        <f>HYPERLINK("http://www.ncbi.nlm.nih.gov/gene/20269","Scn3a")</f>
        <v>Scn3a</v>
      </c>
      <c r="C1835">
        <v>20269</v>
      </c>
      <c r="D1835" t="s">
        <v>3678</v>
      </c>
      <c r="E1835" s="3" t="str">
        <f>HYPERLINK("http://genome.ucsc.edu/cgi-bin/hgTracks?db=mm10&amp;lastVirtModeType=default&amp;lastVirtModeExtraState=&amp;virtModeType=default&amp;virtMode=0&amp;nonVirtPosition=&amp;position=chr2:65457117-65567492","chr2:65457117-65567492")</f>
        <v>chr2:65457117-65567492</v>
      </c>
      <c r="F1835" t="s">
        <v>25</v>
      </c>
      <c r="G1835">
        <v>-0.71401018427992202</v>
      </c>
      <c r="H1835">
        <v>0.20953777624796899</v>
      </c>
      <c r="I1835">
        <v>-3.4075487344819302</v>
      </c>
      <c r="J1835">
        <v>6.5549201911906704E-4</v>
      </c>
      <c r="K1835">
        <v>4.7913174825455398E-3</v>
      </c>
      <c r="L1835" t="s">
        <v>26</v>
      </c>
      <c r="M1835" t="s">
        <v>27</v>
      </c>
      <c r="N1835">
        <v>527.40596307073497</v>
      </c>
      <c r="O1835">
        <v>691.71377491326496</v>
      </c>
      <c r="P1835">
        <v>404.175104188837</v>
      </c>
      <c r="Q1835">
        <v>1009.46488590838</v>
      </c>
      <c r="R1835">
        <v>540.43825550426595</v>
      </c>
      <c r="S1835">
        <v>525.23818332714995</v>
      </c>
      <c r="T1835">
        <v>403.30001497115097</v>
      </c>
      <c r="U1835">
        <v>353.307363071113</v>
      </c>
      <c r="V1835">
        <v>435.50694533946398</v>
      </c>
      <c r="W1835">
        <v>424.586093373621</v>
      </c>
    </row>
    <row r="1836" spans="1:23" x14ac:dyDescent="0.2">
      <c r="A1836" t="s">
        <v>3679</v>
      </c>
      <c r="B1836" s="3" t="str">
        <f>HYPERLINK("http://www.ncbi.nlm.nih.gov/gene/26891","Cops4")</f>
        <v>Cops4</v>
      </c>
      <c r="C1836">
        <v>26891</v>
      </c>
      <c r="D1836" t="s">
        <v>3680</v>
      </c>
      <c r="E1836" s="3" t="str">
        <f>HYPERLINK("http://genome.ucsc.edu/cgi-bin/hgTracks?db=mm10&amp;lastVirtModeType=default&amp;lastVirtModeExtraState=&amp;virtModeType=default&amp;virtMode=0&amp;nonVirtPosition=&amp;position=chr5:100518308-100547802","chr5:100518308-100547802")</f>
        <v>chr5:100518308-100547802</v>
      </c>
      <c r="F1836" t="s">
        <v>30</v>
      </c>
      <c r="G1836">
        <v>-0.577176390795063</v>
      </c>
      <c r="H1836">
        <v>0.16947082387519599</v>
      </c>
      <c r="I1836">
        <v>-3.40575668187059</v>
      </c>
      <c r="J1836">
        <v>6.59809558626357E-4</v>
      </c>
      <c r="K1836">
        <v>4.8202453898339003E-3</v>
      </c>
      <c r="L1836" t="s">
        <v>26</v>
      </c>
      <c r="M1836" t="s">
        <v>27</v>
      </c>
      <c r="N1836">
        <v>278.99754718643698</v>
      </c>
      <c r="O1836">
        <v>351.60784850262399</v>
      </c>
      <c r="P1836">
        <v>224.53982119929799</v>
      </c>
      <c r="Q1836">
        <v>378.06213873788698</v>
      </c>
      <c r="R1836">
        <v>392.14958329221798</v>
      </c>
      <c r="S1836">
        <v>284.61182347776599</v>
      </c>
      <c r="T1836">
        <v>160.40341504534399</v>
      </c>
      <c r="U1836">
        <v>233.39698530152299</v>
      </c>
      <c r="V1836">
        <v>257.47876835948102</v>
      </c>
      <c r="W1836">
        <v>246.88011609084199</v>
      </c>
    </row>
    <row r="1837" spans="1:23" x14ac:dyDescent="0.2">
      <c r="A1837" t="s">
        <v>3681</v>
      </c>
      <c r="B1837" s="3" t="str">
        <f>HYPERLINK("http://www.ncbi.nlm.nih.gov/gene/26417","Mapk3")</f>
        <v>Mapk3</v>
      </c>
      <c r="C1837">
        <v>26417</v>
      </c>
      <c r="D1837" t="s">
        <v>3682</v>
      </c>
      <c r="E1837" s="3" t="str">
        <f>HYPERLINK("http://genome.ucsc.edu/cgi-bin/hgTracks?db=mm10&amp;lastVirtModeType=default&amp;lastVirtModeExtraState=&amp;virtModeType=default&amp;virtMode=0&amp;nonVirtPosition=&amp;position=chr7:126759625-126765816","chr7:126759625-126765816")</f>
        <v>chr7:126759625-126765816</v>
      </c>
      <c r="F1837" t="s">
        <v>30</v>
      </c>
      <c r="G1837">
        <v>0.53558206703320699</v>
      </c>
      <c r="H1837">
        <v>0.15727657243992099</v>
      </c>
      <c r="I1837">
        <v>3.4053518507201601</v>
      </c>
      <c r="J1837">
        <v>6.6078856106749297E-4</v>
      </c>
      <c r="K1837">
        <v>4.8247653332905097E-3</v>
      </c>
      <c r="L1837" t="s">
        <v>26</v>
      </c>
      <c r="M1837" t="s">
        <v>27</v>
      </c>
      <c r="N1837">
        <v>175.07371565882099</v>
      </c>
      <c r="O1837">
        <v>140.15416272250499</v>
      </c>
      <c r="P1837">
        <v>201.26338036105801</v>
      </c>
      <c r="Q1837">
        <v>143.652476869477</v>
      </c>
      <c r="R1837">
        <v>123.63710266273</v>
      </c>
      <c r="S1837">
        <v>153.17290863530701</v>
      </c>
      <c r="T1837">
        <v>178.735233907669</v>
      </c>
      <c r="U1837">
        <v>177.72430990849901</v>
      </c>
      <c r="V1837">
        <v>224.37435528469001</v>
      </c>
      <c r="W1837">
        <v>224.219622343373</v>
      </c>
    </row>
    <row r="1838" spans="1:23" x14ac:dyDescent="0.2">
      <c r="A1838" t="s">
        <v>3683</v>
      </c>
      <c r="B1838" s="3" t="str">
        <f>HYPERLINK("http://www.ncbi.nlm.nih.gov/gene/399568","BC052040")</f>
        <v>BC052040</v>
      </c>
      <c r="C1838">
        <v>399568</v>
      </c>
      <c r="D1838" t="s">
        <v>3684</v>
      </c>
      <c r="E1838" s="3" t="str">
        <f>HYPERLINK("http://genome.ucsc.edu/cgi-bin/hgTracks?db=mm10&amp;lastVirtModeType=default&amp;lastVirtModeExtraState=&amp;virtModeType=default&amp;virtMode=0&amp;nonVirtPosition=&amp;position=chr2:115581715-115778768","chr2:115581715-115778768")</f>
        <v>chr2:115581715-115778768</v>
      </c>
      <c r="F1838" t="s">
        <v>30</v>
      </c>
      <c r="G1838">
        <v>0.87855828759593602</v>
      </c>
      <c r="H1838">
        <v>0.25806177404331798</v>
      </c>
      <c r="I1838">
        <v>3.40444953869248</v>
      </c>
      <c r="J1838">
        <v>6.6297548295703396E-4</v>
      </c>
      <c r="K1838">
        <v>4.8362553014076499E-3</v>
      </c>
      <c r="L1838" t="s">
        <v>26</v>
      </c>
      <c r="M1838" t="s">
        <v>27</v>
      </c>
      <c r="N1838">
        <v>45.734730575271101</v>
      </c>
      <c r="O1838">
        <v>28.210615385461399</v>
      </c>
      <c r="P1838">
        <v>58.877816967628299</v>
      </c>
      <c r="Q1838">
        <v>34.521137852354897</v>
      </c>
      <c r="R1838">
        <v>25.789334297747398</v>
      </c>
      <c r="S1838">
        <v>24.3213740062818</v>
      </c>
      <c r="T1838">
        <v>87.076139596044001</v>
      </c>
      <c r="U1838">
        <v>40.683878171825199</v>
      </c>
      <c r="V1838">
        <v>58.852289910738399</v>
      </c>
      <c r="W1838">
        <v>48.8989601919058</v>
      </c>
    </row>
    <row r="1839" spans="1:23" x14ac:dyDescent="0.2">
      <c r="A1839" t="s">
        <v>3685</v>
      </c>
      <c r="B1839" s="3" t="str">
        <f>HYPERLINK("http://www.ncbi.nlm.nih.gov/gene/67089","Psmc6")</f>
        <v>Psmc6</v>
      </c>
      <c r="C1839">
        <v>67089</v>
      </c>
      <c r="D1839" t="s">
        <v>3686</v>
      </c>
      <c r="E1839" s="3" t="str">
        <f>HYPERLINK("http://genome.ucsc.edu/cgi-bin/hgTracks?db=mm10&amp;lastVirtModeType=default&amp;lastVirtModeExtraState=&amp;virtModeType=default&amp;virtMode=0&amp;nonVirtPosition=&amp;position=chr14:45329823-45349071","chr14:45329823-45349071")</f>
        <v>chr14:45329823-45349071</v>
      </c>
      <c r="F1839" t="s">
        <v>30</v>
      </c>
      <c r="G1839">
        <v>-0.45956902612997202</v>
      </c>
      <c r="H1839">
        <v>0.13499248083155099</v>
      </c>
      <c r="I1839">
        <v>-3.4044046253468201</v>
      </c>
      <c r="J1839">
        <v>6.6308451447871298E-4</v>
      </c>
      <c r="K1839">
        <v>4.8362553014076499E-3</v>
      </c>
      <c r="L1839" t="s">
        <v>26</v>
      </c>
      <c r="M1839" t="s">
        <v>27</v>
      </c>
      <c r="N1839">
        <v>471.69578468833902</v>
      </c>
      <c r="O1839">
        <v>564.38894160702</v>
      </c>
      <c r="P1839">
        <v>402.17591699932899</v>
      </c>
      <c r="Q1839">
        <v>479.39838211092899</v>
      </c>
      <c r="R1839">
        <v>614.01370923607499</v>
      </c>
      <c r="S1839">
        <v>599.75473347405602</v>
      </c>
      <c r="T1839">
        <v>366.63637724650101</v>
      </c>
      <c r="U1839">
        <v>391.84998449705301</v>
      </c>
      <c r="V1839">
        <v>449.48436419326498</v>
      </c>
      <c r="W1839">
        <v>400.73294206049701</v>
      </c>
    </row>
    <row r="1840" spans="1:23" x14ac:dyDescent="0.2">
      <c r="A1840" t="s">
        <v>3687</v>
      </c>
      <c r="B1840" s="3" t="str">
        <f>HYPERLINK("http://www.ncbi.nlm.nih.gov/gene/67200","Ccdc77")</f>
        <v>Ccdc77</v>
      </c>
      <c r="C1840">
        <v>67200</v>
      </c>
      <c r="D1840" t="s">
        <v>3688</v>
      </c>
      <c r="E1840" s="3" t="str">
        <f>HYPERLINK("http://genome.ucsc.edu/cgi-bin/hgTracks?db=mm10&amp;lastVirtModeType=default&amp;lastVirtModeExtraState=&amp;virtModeType=default&amp;virtMode=0&amp;nonVirtPosition=&amp;position=chr6:120324321-120357469","chr6:120324321-120357469")</f>
        <v>chr6:120324321-120357469</v>
      </c>
      <c r="F1840" t="s">
        <v>25</v>
      </c>
      <c r="G1840">
        <v>0.78839827033273202</v>
      </c>
      <c r="H1840">
        <v>0.23175677316288201</v>
      </c>
      <c r="I1840">
        <v>3.4018348614934899</v>
      </c>
      <c r="J1840">
        <v>6.6935070659758598E-4</v>
      </c>
      <c r="K1840">
        <v>4.8793006597976502E-3</v>
      </c>
      <c r="L1840" t="s">
        <v>26</v>
      </c>
      <c r="M1840" t="s">
        <v>27</v>
      </c>
      <c r="N1840">
        <v>76.1935151091417</v>
      </c>
      <c r="O1840">
        <v>51.820787698967003</v>
      </c>
      <c r="P1840">
        <v>94.473060666772895</v>
      </c>
      <c r="Q1840">
        <v>33.407552760343499</v>
      </c>
      <c r="R1840">
        <v>58.405257086075103</v>
      </c>
      <c r="S1840">
        <v>63.649553250482299</v>
      </c>
      <c r="T1840">
        <v>87.076139596044001</v>
      </c>
      <c r="U1840">
        <v>98.497810310734593</v>
      </c>
      <c r="V1840">
        <v>89.749742113876096</v>
      </c>
      <c r="W1840">
        <v>102.568550646437</v>
      </c>
    </row>
    <row r="1841" spans="1:23" x14ac:dyDescent="0.2">
      <c r="A1841" t="s">
        <v>3689</v>
      </c>
      <c r="B1841" s="3" t="str">
        <f>HYPERLINK("http://www.ncbi.nlm.nih.gov/gene/20652","Soat1")</f>
        <v>Soat1</v>
      </c>
      <c r="C1841">
        <v>20652</v>
      </c>
      <c r="D1841" t="s">
        <v>3690</v>
      </c>
      <c r="E1841" s="3" t="str">
        <f>HYPERLINK("http://genome.ucsc.edu/cgi-bin/hgTracks?db=mm10&amp;lastVirtModeType=default&amp;lastVirtModeExtraState=&amp;virtModeType=default&amp;virtMode=0&amp;nonVirtPosition=&amp;position=chr1:156428107-156474328","chr1:156428107-156474328")</f>
        <v>chr1:156428107-156474328</v>
      </c>
      <c r="F1841" t="s">
        <v>25</v>
      </c>
      <c r="G1841">
        <v>0.54495892740554797</v>
      </c>
      <c r="H1841">
        <v>0.16024916503943101</v>
      </c>
      <c r="I1841">
        <v>3.4006974530660199</v>
      </c>
      <c r="J1841">
        <v>6.7214173777442804E-4</v>
      </c>
      <c r="K1841">
        <v>4.8928051437009097E-3</v>
      </c>
      <c r="L1841" t="s">
        <v>26</v>
      </c>
      <c r="M1841" t="s">
        <v>27</v>
      </c>
      <c r="N1841">
        <v>536.54347765729301</v>
      </c>
      <c r="O1841">
        <v>422.03073449562498</v>
      </c>
      <c r="P1841">
        <v>622.42803502854304</v>
      </c>
      <c r="Q1841">
        <v>501.11329140515198</v>
      </c>
      <c r="R1841">
        <v>326.159227883276</v>
      </c>
      <c r="S1841">
        <v>438.81968419844702</v>
      </c>
      <c r="T1841">
        <v>600.367067741146</v>
      </c>
      <c r="U1841">
        <v>578.13932138909502</v>
      </c>
      <c r="V1841">
        <v>717.26228328712398</v>
      </c>
      <c r="W1841">
        <v>593.94346769680703</v>
      </c>
    </row>
    <row r="1842" spans="1:23" x14ac:dyDescent="0.2">
      <c r="A1842" t="s">
        <v>3691</v>
      </c>
      <c r="B1842" s="3" t="str">
        <f>HYPERLINK("http://www.ncbi.nlm.nih.gov/gene/18938","Ppp1r14b")</f>
        <v>Ppp1r14b</v>
      </c>
      <c r="C1842">
        <v>18938</v>
      </c>
      <c r="D1842" t="s">
        <v>3692</v>
      </c>
      <c r="E1842" s="3" t="str">
        <f>HYPERLINK("http://genome.ucsc.edu/cgi-bin/hgTracks?db=mm10&amp;lastVirtModeType=default&amp;lastVirtModeExtraState=&amp;virtModeType=default&amp;virtMode=0&amp;nonVirtPosition=&amp;position=chr19:6975047-6977324","chr19:6975047-6977324")</f>
        <v>chr19:6975047-6977324</v>
      </c>
      <c r="F1842" t="s">
        <v>30</v>
      </c>
      <c r="G1842">
        <v>-0.626627611145539</v>
      </c>
      <c r="H1842">
        <v>0.18426531558504</v>
      </c>
      <c r="I1842">
        <v>-3.4006812902146302</v>
      </c>
      <c r="J1842">
        <v>6.7218147686331901E-4</v>
      </c>
      <c r="K1842">
        <v>4.8928051437009097E-3</v>
      </c>
      <c r="L1842" t="s">
        <v>26</v>
      </c>
      <c r="M1842" t="s">
        <v>27</v>
      </c>
      <c r="N1842">
        <v>189.35268784268399</v>
      </c>
      <c r="O1842">
        <v>239.06294505828299</v>
      </c>
      <c r="P1842">
        <v>152.069994930984</v>
      </c>
      <c r="Q1842">
        <v>179.28719981384299</v>
      </c>
      <c r="R1842">
        <v>283.30342235907801</v>
      </c>
      <c r="S1842">
        <v>254.598213001929</v>
      </c>
      <c r="T1842">
        <v>160.40341504534399</v>
      </c>
      <c r="U1842">
        <v>156.31174244964399</v>
      </c>
      <c r="V1842">
        <v>160.37249000676201</v>
      </c>
      <c r="W1842">
        <v>131.192332222186</v>
      </c>
    </row>
    <row r="1843" spans="1:23" x14ac:dyDescent="0.2">
      <c r="A1843" t="s">
        <v>3693</v>
      </c>
      <c r="B1843" s="3" t="str">
        <f>HYPERLINK("http://www.ncbi.nlm.nih.gov/gene/11308","Abi1")</f>
        <v>Abi1</v>
      </c>
      <c r="C1843">
        <v>11308</v>
      </c>
      <c r="D1843" t="s">
        <v>3694</v>
      </c>
      <c r="E1843" s="3" t="str">
        <f>HYPERLINK("http://genome.ucsc.edu/cgi-bin/hgTracks?db=mm10&amp;lastVirtModeType=default&amp;lastVirtModeExtraState=&amp;virtModeType=default&amp;virtMode=0&amp;nonVirtPosition=&amp;position=chr2:22940073-23040241","chr2:22940073-23040241")</f>
        <v>chr2:22940073-23040241</v>
      </c>
      <c r="F1843" t="s">
        <v>25</v>
      </c>
      <c r="G1843">
        <v>-0.46284767381137198</v>
      </c>
      <c r="H1843">
        <v>0.13610631587630401</v>
      </c>
      <c r="I1843">
        <v>-3.4006333272000102</v>
      </c>
      <c r="J1843">
        <v>6.7229941486144902E-4</v>
      </c>
      <c r="K1843">
        <v>4.8928051437009097E-3</v>
      </c>
      <c r="L1843" t="s">
        <v>26</v>
      </c>
      <c r="M1843" t="s">
        <v>27</v>
      </c>
      <c r="N1843">
        <v>334.66307671563101</v>
      </c>
      <c r="O1843">
        <v>400.48925004358802</v>
      </c>
      <c r="P1843">
        <v>285.293446719663</v>
      </c>
      <c r="Q1843">
        <v>430.95743060843103</v>
      </c>
      <c r="R1843">
        <v>421.73146675139901</v>
      </c>
      <c r="S1843">
        <v>348.77885277093498</v>
      </c>
      <c r="T1843">
        <v>284.14319236603802</v>
      </c>
      <c r="U1843">
        <v>250.52703926860801</v>
      </c>
      <c r="V1843">
        <v>311.91713652691402</v>
      </c>
      <c r="W1843">
        <v>294.58641871709102</v>
      </c>
    </row>
    <row r="1844" spans="1:23" x14ac:dyDescent="0.2">
      <c r="A1844" t="s">
        <v>3695</v>
      </c>
      <c r="B1844" s="3" t="str">
        <f>HYPERLINK("http://www.ncbi.nlm.nih.gov/gene/268930","Pkmyt1")</f>
        <v>Pkmyt1</v>
      </c>
      <c r="C1844">
        <v>268930</v>
      </c>
      <c r="D1844" t="s">
        <v>3696</v>
      </c>
      <c r="E1844" s="3" t="str">
        <f>HYPERLINK("http://genome.ucsc.edu/cgi-bin/hgTracks?db=mm10&amp;lastVirtModeType=default&amp;lastVirtModeExtraState=&amp;virtModeType=default&amp;virtMode=0&amp;nonVirtPosition=&amp;position=chr17:23726335-23736729","chr17:23726335-23736729")</f>
        <v>chr17:23726335-23736729</v>
      </c>
      <c r="F1844" t="s">
        <v>30</v>
      </c>
      <c r="G1844">
        <v>0.98118280907669497</v>
      </c>
      <c r="H1844">
        <v>0.28864900918547898</v>
      </c>
      <c r="I1844">
        <v>3.39922458713936</v>
      </c>
      <c r="J1844">
        <v>6.7577200958511704E-4</v>
      </c>
      <c r="K1844">
        <v>4.9154062902521996E-3</v>
      </c>
      <c r="L1844" t="s">
        <v>26</v>
      </c>
      <c r="M1844" t="s">
        <v>27</v>
      </c>
      <c r="N1844">
        <v>66.437822708765296</v>
      </c>
      <c r="O1844">
        <v>38.013534530898603</v>
      </c>
      <c r="P1844">
        <v>87.756038842165296</v>
      </c>
      <c r="Q1844">
        <v>17.817361472183201</v>
      </c>
      <c r="R1844">
        <v>45.510589937201402</v>
      </c>
      <c r="S1844">
        <v>50.7126521833111</v>
      </c>
      <c r="T1844">
        <v>109.99091317395001</v>
      </c>
      <c r="U1844">
        <v>92.074040073077995</v>
      </c>
      <c r="V1844">
        <v>65.473172525696498</v>
      </c>
      <c r="W1844">
        <v>83.486029595936799</v>
      </c>
    </row>
    <row r="1845" spans="1:23" x14ac:dyDescent="0.2">
      <c r="A1845" t="s">
        <v>3697</v>
      </c>
      <c r="B1845" s="3" t="str">
        <f>HYPERLINK("http://www.ncbi.nlm.nih.gov/gene/245269","Nim1k")</f>
        <v>Nim1k</v>
      </c>
      <c r="C1845">
        <v>245269</v>
      </c>
      <c r="D1845" t="s">
        <v>3698</v>
      </c>
      <c r="E1845" s="3" t="str">
        <f>HYPERLINK("http://genome.ucsc.edu/cgi-bin/hgTracks?db=mm10&amp;lastVirtModeType=default&amp;lastVirtModeExtraState=&amp;virtModeType=default&amp;virtMode=0&amp;nonVirtPosition=&amp;position=chr13:119710093-119755882","chr13:119710093-119755882")</f>
        <v>chr13:119710093-119755882</v>
      </c>
      <c r="F1845" t="s">
        <v>25</v>
      </c>
      <c r="G1845">
        <v>-0.58439103463450004</v>
      </c>
      <c r="H1845">
        <v>0.171927304418587</v>
      </c>
      <c r="I1845">
        <v>-3.3990589023119799</v>
      </c>
      <c r="J1845">
        <v>6.7618152272542597E-4</v>
      </c>
      <c r="K1845">
        <v>4.9157148592921703E-3</v>
      </c>
      <c r="L1845" t="s">
        <v>26</v>
      </c>
      <c r="M1845" t="s">
        <v>27</v>
      </c>
      <c r="N1845">
        <v>187.22555003558099</v>
      </c>
      <c r="O1845">
        <v>235.09611087128999</v>
      </c>
      <c r="P1845">
        <v>151.3226294088</v>
      </c>
      <c r="Q1845">
        <v>281.18023573289099</v>
      </c>
      <c r="R1845">
        <v>197.971066226826</v>
      </c>
      <c r="S1845">
        <v>226.137030654152</v>
      </c>
      <c r="T1845">
        <v>128.322732036275</v>
      </c>
      <c r="U1845">
        <v>175.58305316261399</v>
      </c>
      <c r="V1845">
        <v>161.84379725453101</v>
      </c>
      <c r="W1845">
        <v>139.54093518177999</v>
      </c>
    </row>
    <row r="1846" spans="1:23" x14ac:dyDescent="0.2">
      <c r="A1846" t="s">
        <v>3699</v>
      </c>
      <c r="B1846" s="3" t="str">
        <f>HYPERLINK("http://www.ncbi.nlm.nih.gov/gene/319885","Zcchc7")</f>
        <v>Zcchc7</v>
      </c>
      <c r="C1846">
        <v>319885</v>
      </c>
      <c r="D1846" t="s">
        <v>3700</v>
      </c>
      <c r="E1846" s="3" t="str">
        <f>HYPERLINK("http://genome.ucsc.edu/cgi-bin/hgTracks?db=mm10&amp;lastVirtModeType=default&amp;lastVirtModeExtraState=&amp;virtModeType=default&amp;virtMode=0&amp;nonVirtPosition=&amp;position=chr4:44756558-44932214","chr4:44756558-44932214")</f>
        <v>chr4:44756558-44932214</v>
      </c>
      <c r="F1846" t="s">
        <v>30</v>
      </c>
      <c r="G1846">
        <v>0.60110216883324796</v>
      </c>
      <c r="H1846">
        <v>0.17686864385992501</v>
      </c>
      <c r="I1846">
        <v>3.3985796222269</v>
      </c>
      <c r="J1846">
        <v>6.7736742952642095E-4</v>
      </c>
      <c r="K1846">
        <v>4.9209790426631202E-3</v>
      </c>
      <c r="L1846" t="s">
        <v>26</v>
      </c>
      <c r="M1846" t="s">
        <v>27</v>
      </c>
      <c r="N1846">
        <v>217.71195318310501</v>
      </c>
      <c r="O1846">
        <v>165.40457767644099</v>
      </c>
      <c r="P1846">
        <v>256.94248481310302</v>
      </c>
      <c r="Q1846">
        <v>185.96871036591199</v>
      </c>
      <c r="R1846">
        <v>171.043967180648</v>
      </c>
      <c r="S1846">
        <v>139.201055482762</v>
      </c>
      <c r="T1846">
        <v>293.30910179720098</v>
      </c>
      <c r="U1846">
        <v>179.86556665438499</v>
      </c>
      <c r="V1846">
        <v>280.28403069989201</v>
      </c>
      <c r="W1846">
        <v>274.31124010093498</v>
      </c>
    </row>
    <row r="1847" spans="1:23" x14ac:dyDescent="0.2">
      <c r="A1847" t="s">
        <v>3701</v>
      </c>
      <c r="B1847" s="3" t="str">
        <f>HYPERLINK("http://www.ncbi.nlm.nih.gov/gene/170736","Parvb")</f>
        <v>Parvb</v>
      </c>
      <c r="C1847">
        <v>170736</v>
      </c>
      <c r="D1847" t="s">
        <v>3702</v>
      </c>
      <c r="E1847" s="3" t="str">
        <f>HYPERLINK("http://genome.ucsc.edu/cgi-bin/hgTracks?db=mm10&amp;lastVirtModeType=default&amp;lastVirtModeExtraState=&amp;virtModeType=default&amp;virtMode=0&amp;nonVirtPosition=&amp;position=chr15:84232042-84315609","chr15:84232042-84315609")</f>
        <v>chr15:84232042-84315609</v>
      </c>
      <c r="F1847" t="s">
        <v>30</v>
      </c>
      <c r="G1847">
        <v>0.82583209961291304</v>
      </c>
      <c r="H1847">
        <v>0.24300119246422899</v>
      </c>
      <c r="I1847">
        <v>3.3984693294642199</v>
      </c>
      <c r="J1847">
        <v>6.7764060597944899E-4</v>
      </c>
      <c r="K1847">
        <v>4.9209790426631202E-3</v>
      </c>
      <c r="L1847" t="s">
        <v>26</v>
      </c>
      <c r="M1847" t="s">
        <v>27</v>
      </c>
      <c r="N1847">
        <v>117.675317653303</v>
      </c>
      <c r="O1847">
        <v>79.857023923775699</v>
      </c>
      <c r="P1847">
        <v>146.03903795044801</v>
      </c>
      <c r="Q1847">
        <v>77.394163894795795</v>
      </c>
      <c r="R1847">
        <v>57.646747253788398</v>
      </c>
      <c r="S1847">
        <v>104.530160622743</v>
      </c>
      <c r="T1847">
        <v>100.825003742788</v>
      </c>
      <c r="U1847">
        <v>132.75791824490301</v>
      </c>
      <c r="V1847">
        <v>207.45432193535299</v>
      </c>
      <c r="W1847">
        <v>143.11890787874901</v>
      </c>
    </row>
    <row r="1848" spans="1:23" x14ac:dyDescent="0.2">
      <c r="A1848" t="s">
        <v>3703</v>
      </c>
      <c r="B1848" s="3" t="str">
        <f>HYPERLINK("http://www.ncbi.nlm.nih.gov/gene/66231","Thoc7")</f>
        <v>Thoc7</v>
      </c>
      <c r="C1848">
        <v>66231</v>
      </c>
      <c r="D1848" t="s">
        <v>3704</v>
      </c>
      <c r="E1848" s="3" t="str">
        <f>HYPERLINK("http://genome.ucsc.edu/cgi-bin/hgTracks?db=mm10&amp;lastVirtModeType=default&amp;lastVirtModeExtraState=&amp;virtModeType=default&amp;virtMode=0&amp;nonVirtPosition=&amp;position=chr14:13949011-13961313","chr14:13949011-13961313")</f>
        <v>chr14:13949011-13961313</v>
      </c>
      <c r="F1848" t="s">
        <v>25</v>
      </c>
      <c r="G1848">
        <v>-0.50921070297165205</v>
      </c>
      <c r="H1848">
        <v>0.149868631266278</v>
      </c>
      <c r="I1848">
        <v>-3.39771370879417</v>
      </c>
      <c r="J1848">
        <v>6.7951490625452302E-4</v>
      </c>
      <c r="K1848">
        <v>4.9319155065877104E-3</v>
      </c>
      <c r="L1848" t="s">
        <v>26</v>
      </c>
      <c r="M1848" t="s">
        <v>27</v>
      </c>
      <c r="N1848">
        <v>181.52754976996999</v>
      </c>
      <c r="O1848">
        <v>219.65891320774401</v>
      </c>
      <c r="P1848">
        <v>152.92902719163999</v>
      </c>
      <c r="Q1848">
        <v>199.33173147004999</v>
      </c>
      <c r="R1848">
        <v>249.549734822321</v>
      </c>
      <c r="S1848">
        <v>210.09527333086001</v>
      </c>
      <c r="T1848">
        <v>160.40341504534399</v>
      </c>
      <c r="U1848">
        <v>141.32294522844501</v>
      </c>
      <c r="V1848">
        <v>153.75160739180399</v>
      </c>
      <c r="W1848">
        <v>156.238141100967</v>
      </c>
    </row>
    <row r="1849" spans="1:23" x14ac:dyDescent="0.2">
      <c r="A1849" t="s">
        <v>3705</v>
      </c>
      <c r="B1849" s="3" t="str">
        <f>HYPERLINK("http://www.ncbi.nlm.nih.gov/gene/75625","Mageh1")</f>
        <v>Mageh1</v>
      </c>
      <c r="C1849">
        <v>75625</v>
      </c>
      <c r="D1849" t="s">
        <v>3706</v>
      </c>
      <c r="E1849" s="3" t="str">
        <f>HYPERLINK("http://genome.ucsc.edu/cgi-bin/hgTracks?db=mm10&amp;lastVirtModeType=default&amp;lastVirtModeExtraState=&amp;virtModeType=default&amp;virtMode=0&amp;nonVirtPosition=&amp;position=chrX:153036165-153037563","chrX:153036165-153037563")</f>
        <v>chrX:153036165-153037563</v>
      </c>
      <c r="F1849" t="s">
        <v>25</v>
      </c>
      <c r="G1849">
        <v>-0.53506195184183203</v>
      </c>
      <c r="H1849">
        <v>0.1575322577046</v>
      </c>
      <c r="I1849">
        <v>-3.3965230971625102</v>
      </c>
      <c r="J1849">
        <v>6.8247797354398405E-4</v>
      </c>
      <c r="K1849">
        <v>4.9507381060278901E-3</v>
      </c>
      <c r="L1849" t="s">
        <v>26</v>
      </c>
      <c r="M1849" t="s">
        <v>27</v>
      </c>
      <c r="N1849">
        <v>242.29959789165599</v>
      </c>
      <c r="O1849">
        <v>300.43848063499598</v>
      </c>
      <c r="P1849">
        <v>198.69543583415</v>
      </c>
      <c r="Q1849">
        <v>275.05551772682799</v>
      </c>
      <c r="R1849">
        <v>327.67624754784998</v>
      </c>
      <c r="S1849">
        <v>298.583676630311</v>
      </c>
      <c r="T1849">
        <v>146.65455089860001</v>
      </c>
      <c r="U1849">
        <v>231.255728555638</v>
      </c>
      <c r="V1849">
        <v>233.202198771301</v>
      </c>
      <c r="W1849">
        <v>183.66926511106101</v>
      </c>
    </row>
    <row r="1850" spans="1:23" x14ac:dyDescent="0.2">
      <c r="A1850" t="s">
        <v>3707</v>
      </c>
      <c r="B1850" s="3" t="str">
        <f>HYPERLINK("http://www.ncbi.nlm.nih.gov/gene/81003","Trim23")</f>
        <v>Trim23</v>
      </c>
      <c r="C1850">
        <v>81003</v>
      </c>
      <c r="D1850" t="s">
        <v>3708</v>
      </c>
      <c r="E1850" s="3" t="str">
        <f>HYPERLINK("http://genome.ucsc.edu/cgi-bin/hgTracks?db=mm10&amp;lastVirtModeType=default&amp;lastVirtModeExtraState=&amp;virtModeType=default&amp;virtMode=0&amp;nonVirtPosition=&amp;position=chr13:104179097-104202048","chr13:104179097-104202048")</f>
        <v>chr13:104179097-104202048</v>
      </c>
      <c r="F1850" t="s">
        <v>30</v>
      </c>
      <c r="G1850">
        <v>-0.51650174871790699</v>
      </c>
      <c r="H1850">
        <v>0.15208360832402301</v>
      </c>
      <c r="I1850">
        <v>-3.3961697411694001</v>
      </c>
      <c r="J1850">
        <v>6.8335967675989804E-4</v>
      </c>
      <c r="K1850">
        <v>4.95445015240487E-3</v>
      </c>
      <c r="L1850" t="s">
        <v>26</v>
      </c>
      <c r="M1850" t="s">
        <v>27</v>
      </c>
      <c r="N1850">
        <v>256.15241848913098</v>
      </c>
      <c r="O1850">
        <v>311.40575803310003</v>
      </c>
      <c r="P1850">
        <v>214.712413831155</v>
      </c>
      <c r="Q1850">
        <v>303.45193757312001</v>
      </c>
      <c r="R1850">
        <v>350.81079743259397</v>
      </c>
      <c r="S1850">
        <v>279.95453909358503</v>
      </c>
      <c r="T1850">
        <v>201.650007485576</v>
      </c>
      <c r="U1850">
        <v>250.52703926860801</v>
      </c>
      <c r="V1850">
        <v>226.58131615634301</v>
      </c>
      <c r="W1850">
        <v>180.09129241409201</v>
      </c>
    </row>
    <row r="1851" spans="1:23" x14ac:dyDescent="0.2">
      <c r="A1851" t="s">
        <v>3709</v>
      </c>
      <c r="B1851" s="3" t="str">
        <f>HYPERLINK("http://www.ncbi.nlm.nih.gov/gene/107508","Eprs")</f>
        <v>Eprs</v>
      </c>
      <c r="C1851">
        <v>107508</v>
      </c>
      <c r="D1851" t="s">
        <v>3710</v>
      </c>
      <c r="E1851" s="3" t="str">
        <f>HYPERLINK("http://genome.ucsc.edu/cgi-bin/hgTracks?db=mm10&amp;lastVirtModeType=default&amp;lastVirtModeExtraState=&amp;virtModeType=default&amp;virtMode=0&amp;nonVirtPosition=&amp;position=chr1:185363094-185428355","chr1:185363094-185428355")</f>
        <v>chr1:185363094-185428355</v>
      </c>
      <c r="F1851" t="s">
        <v>30</v>
      </c>
      <c r="G1851">
        <v>-0.440583811782437</v>
      </c>
      <c r="H1851">
        <v>0.12974018237644799</v>
      </c>
      <c r="I1851">
        <v>-3.3958932669299098</v>
      </c>
      <c r="J1851">
        <v>6.8405028079088399E-4</v>
      </c>
      <c r="K1851">
        <v>4.9567734361854604E-3</v>
      </c>
      <c r="L1851" t="s">
        <v>26</v>
      </c>
      <c r="M1851" t="s">
        <v>27</v>
      </c>
      <c r="N1851">
        <v>1385.7072877395501</v>
      </c>
      <c r="O1851">
        <v>1641.7117198302799</v>
      </c>
      <c r="P1851">
        <v>1193.7039636715001</v>
      </c>
      <c r="Q1851">
        <v>1399.7764606583901</v>
      </c>
      <c r="R1851">
        <v>1837.8693236306499</v>
      </c>
      <c r="S1851">
        <v>1687.4893752018099</v>
      </c>
      <c r="T1851">
        <v>1072.4114034460199</v>
      </c>
      <c r="U1851">
        <v>1154.1373860322999</v>
      </c>
      <c r="V1851">
        <v>1269.7381548241799</v>
      </c>
      <c r="W1851">
        <v>1278.52891038349</v>
      </c>
    </row>
    <row r="1852" spans="1:23" x14ac:dyDescent="0.2">
      <c r="A1852" t="s">
        <v>3711</v>
      </c>
      <c r="B1852" s="3" t="str">
        <f>HYPERLINK("http://www.ncbi.nlm.nih.gov/gene/74841","Usp38")</f>
        <v>Usp38</v>
      </c>
      <c r="C1852">
        <v>74841</v>
      </c>
      <c r="D1852" t="s">
        <v>3712</v>
      </c>
      <c r="E1852" s="3" t="str">
        <f>HYPERLINK("http://genome.ucsc.edu/cgi-bin/hgTracks?db=mm10&amp;lastVirtModeType=default&amp;lastVirtModeExtraState=&amp;virtModeType=default&amp;virtMode=0&amp;nonVirtPosition=&amp;position=chr8:80980732-81014906","chr8:80980732-81014906")</f>
        <v>chr8:80980732-81014906</v>
      </c>
      <c r="F1852" t="s">
        <v>25</v>
      </c>
      <c r="G1852">
        <v>-0.41919976979135898</v>
      </c>
      <c r="H1852">
        <v>0.12347238154053899</v>
      </c>
      <c r="I1852">
        <v>-3.3950893678496401</v>
      </c>
      <c r="J1852">
        <v>6.8606202482976799E-4</v>
      </c>
      <c r="K1852">
        <v>4.9686622901543602E-3</v>
      </c>
      <c r="L1852" t="s">
        <v>26</v>
      </c>
      <c r="M1852" t="s">
        <v>27</v>
      </c>
      <c r="N1852">
        <v>285.39512438349198</v>
      </c>
      <c r="O1852">
        <v>336.50857389345998</v>
      </c>
      <c r="P1852">
        <v>247.06003725101601</v>
      </c>
      <c r="Q1852">
        <v>325.166846867343</v>
      </c>
      <c r="R1852">
        <v>321.608168889556</v>
      </c>
      <c r="S1852">
        <v>362.75070592347998</v>
      </c>
      <c r="T1852">
        <v>238.31364521022601</v>
      </c>
      <c r="U1852">
        <v>231.255728555638</v>
      </c>
      <c r="V1852">
        <v>257.47876835948102</v>
      </c>
      <c r="W1852">
        <v>261.192006878717</v>
      </c>
    </row>
    <row r="1853" spans="1:23" x14ac:dyDescent="0.2">
      <c r="A1853" t="s">
        <v>3713</v>
      </c>
      <c r="B1853" s="3" t="str">
        <f>HYPERLINK("http://www.ncbi.nlm.nih.gov/gene/76497","Ppp1r11")</f>
        <v>Ppp1r11</v>
      </c>
      <c r="C1853">
        <v>76497</v>
      </c>
      <c r="D1853" t="s">
        <v>3714</v>
      </c>
      <c r="E1853" s="3" t="str">
        <f>HYPERLINK("http://genome.ucsc.edu/cgi-bin/hgTracks?db=mm10&amp;lastVirtModeType=default&amp;lastVirtModeExtraState=&amp;virtModeType=default&amp;virtMode=0&amp;nonVirtPosition=&amp;position=chr17:36948354-36951792","chr17:36948354-36951792")</f>
        <v>chr17:36948354-36951792</v>
      </c>
      <c r="F1853" t="s">
        <v>25</v>
      </c>
      <c r="G1853">
        <v>-0.58356276820279196</v>
      </c>
      <c r="H1853">
        <v>0.17189886751550501</v>
      </c>
      <c r="I1853">
        <v>-3.3948028665759198</v>
      </c>
      <c r="J1853">
        <v>6.8678031769406399E-4</v>
      </c>
      <c r="K1853">
        <v>4.9711758022925497E-3</v>
      </c>
      <c r="L1853" t="s">
        <v>26</v>
      </c>
      <c r="M1853" t="s">
        <v>27</v>
      </c>
      <c r="N1853">
        <v>124.86783777907</v>
      </c>
      <c r="O1853">
        <v>155.19329115321199</v>
      </c>
      <c r="P1853">
        <v>102.12374774846499</v>
      </c>
      <c r="Q1853">
        <v>162.02663088766599</v>
      </c>
      <c r="R1853">
        <v>169.52694751607501</v>
      </c>
      <c r="S1853">
        <v>134.026295055894</v>
      </c>
      <c r="T1853">
        <v>105.407958458369</v>
      </c>
      <c r="U1853">
        <v>96.356553564849094</v>
      </c>
      <c r="V1853">
        <v>93.428010233297201</v>
      </c>
      <c r="W1853">
        <v>113.30246873734301</v>
      </c>
    </row>
    <row r="1854" spans="1:23" x14ac:dyDescent="0.2">
      <c r="A1854" t="s">
        <v>3715</v>
      </c>
      <c r="B1854" s="3" t="str">
        <f>HYPERLINK("http://www.ncbi.nlm.nih.gov/gene/17263","Meg3")</f>
        <v>Meg3</v>
      </c>
      <c r="C1854">
        <v>17263</v>
      </c>
      <c r="D1854" t="s">
        <v>3716</v>
      </c>
      <c r="E1854" s="3" t="str">
        <f>HYPERLINK("http://genome.ucsc.edu/cgi-bin/hgTracks?db=mm10&amp;lastVirtModeType=default&amp;lastVirtModeExtraState=&amp;virtModeType=default&amp;virtMode=0&amp;nonVirtPosition=&amp;position=chr12:109540995-109571729","chr12:109540995-109571729")</f>
        <v>chr12:109540995-109571729</v>
      </c>
      <c r="F1854" t="s">
        <v>30</v>
      </c>
      <c r="G1854">
        <v>1.1321650839267201</v>
      </c>
      <c r="H1854">
        <v>0.33356281942808202</v>
      </c>
      <c r="I1854">
        <v>3.3941585152323199</v>
      </c>
      <c r="J1854">
        <v>6.8839833803606605E-4</v>
      </c>
      <c r="K1854">
        <v>4.9801956481042497E-3</v>
      </c>
      <c r="L1854" t="s">
        <v>26</v>
      </c>
      <c r="M1854" t="s">
        <v>27</v>
      </c>
      <c r="N1854">
        <v>1358.5215773126799</v>
      </c>
      <c r="O1854">
        <v>677.63633188163203</v>
      </c>
      <c r="P1854">
        <v>1869.1855113859699</v>
      </c>
      <c r="Q1854">
        <v>491.09102557704898</v>
      </c>
      <c r="R1854">
        <v>837.01559992836201</v>
      </c>
      <c r="S1854">
        <v>704.80237013948602</v>
      </c>
      <c r="T1854">
        <v>1191.5682260511301</v>
      </c>
      <c r="U1854">
        <v>1704.4403697248899</v>
      </c>
      <c r="V1854">
        <v>1346.24613170814</v>
      </c>
      <c r="W1854">
        <v>3234.4873180597201</v>
      </c>
    </row>
    <row r="1855" spans="1:23" x14ac:dyDescent="0.2">
      <c r="A1855" t="s">
        <v>3717</v>
      </c>
      <c r="B1855" s="3" t="str">
        <f>HYPERLINK("http://www.ncbi.nlm.nih.gov/gene/15331","Hmgn2")</f>
        <v>Hmgn2</v>
      </c>
      <c r="C1855">
        <v>15331</v>
      </c>
      <c r="D1855" t="s">
        <v>3718</v>
      </c>
      <c r="E1855" s="3" t="str">
        <f>HYPERLINK("http://genome.ucsc.edu/cgi-bin/hgTracks?db=mm10&amp;lastVirtModeType=default&amp;lastVirtModeExtraState=&amp;virtModeType=default&amp;virtMode=0&amp;nonVirtPosition=&amp;position=chr4:133964738-133967991","chr4:133964738-133967991")</f>
        <v>chr4:133964738-133967991</v>
      </c>
      <c r="F1855" t="s">
        <v>25</v>
      </c>
      <c r="G1855">
        <v>0.78423027615947105</v>
      </c>
      <c r="H1855">
        <v>0.23106785367274901</v>
      </c>
      <c r="I1855">
        <v>3.39393932861877</v>
      </c>
      <c r="J1855">
        <v>6.8894954116089605E-4</v>
      </c>
      <c r="K1855">
        <v>4.9814920657049499E-3</v>
      </c>
      <c r="L1855" t="s">
        <v>26</v>
      </c>
      <c r="M1855" t="s">
        <v>27</v>
      </c>
      <c r="N1855">
        <v>83.5258341690826</v>
      </c>
      <c r="O1855">
        <v>56.345061676380702</v>
      </c>
      <c r="P1855">
        <v>103.911413538609</v>
      </c>
      <c r="Q1855">
        <v>35.634722944366402</v>
      </c>
      <c r="R1855">
        <v>65.611100492798599</v>
      </c>
      <c r="S1855">
        <v>67.789361591976999</v>
      </c>
      <c r="T1855">
        <v>114.573867889532</v>
      </c>
      <c r="U1855">
        <v>100.63906705661999</v>
      </c>
      <c r="V1855">
        <v>107.405429087098</v>
      </c>
      <c r="W1855">
        <v>93.027290121186695</v>
      </c>
    </row>
    <row r="1856" spans="1:23" x14ac:dyDescent="0.2">
      <c r="A1856" t="s">
        <v>3719</v>
      </c>
      <c r="B1856" s="3" t="str">
        <f>HYPERLINK("http://www.ncbi.nlm.nih.gov/gene/219140","Spata13")</f>
        <v>Spata13</v>
      </c>
      <c r="C1856">
        <v>219140</v>
      </c>
      <c r="D1856" t="s">
        <v>3720</v>
      </c>
      <c r="E1856" s="3" t="str">
        <f>HYPERLINK("http://genome.ucsc.edu/cgi-bin/hgTracks?db=mm10&amp;lastVirtModeType=default&amp;lastVirtModeExtraState=&amp;virtModeType=default&amp;virtMode=0&amp;nonVirtPosition=&amp;position=chr14:60634704-60764556","chr14:60634704-60764556")</f>
        <v>chr14:60634704-60764556</v>
      </c>
      <c r="F1856" t="s">
        <v>30</v>
      </c>
      <c r="G1856">
        <v>0.59184823262395303</v>
      </c>
      <c r="H1856">
        <v>0.17444992422654801</v>
      </c>
      <c r="I1856">
        <v>3.3926539965437601</v>
      </c>
      <c r="J1856">
        <v>6.9219011569383697E-4</v>
      </c>
      <c r="K1856">
        <v>4.9995241851435697E-3</v>
      </c>
      <c r="L1856" t="s">
        <v>26</v>
      </c>
      <c r="M1856" t="s">
        <v>27</v>
      </c>
      <c r="N1856">
        <v>744.17895806409695</v>
      </c>
      <c r="O1856">
        <v>570.636089011124</v>
      </c>
      <c r="P1856">
        <v>874.336109853827</v>
      </c>
      <c r="Q1856">
        <v>532.29367398147303</v>
      </c>
      <c r="R1856">
        <v>442.21123222313997</v>
      </c>
      <c r="S1856">
        <v>737.40336082875797</v>
      </c>
      <c r="T1856">
        <v>751.60457335532703</v>
      </c>
      <c r="U1856">
        <v>867.20898208364201</v>
      </c>
      <c r="V1856">
        <v>869.54258343115998</v>
      </c>
      <c r="W1856">
        <v>1008.98830054518</v>
      </c>
    </row>
    <row r="1857" spans="1:23" x14ac:dyDescent="0.2">
      <c r="A1857" t="s">
        <v>3721</v>
      </c>
      <c r="B1857" s="3" t="str">
        <f>HYPERLINK("http://www.ncbi.nlm.nih.gov/gene/12846","Comt")</f>
        <v>Comt</v>
      </c>
      <c r="C1857">
        <v>12846</v>
      </c>
      <c r="D1857" t="s">
        <v>3722</v>
      </c>
      <c r="E1857" s="3" t="str">
        <f>HYPERLINK("http://genome.ucsc.edu/cgi-bin/hgTracks?db=mm10&amp;lastVirtModeType=default&amp;lastVirtModeExtraState=&amp;virtModeType=default&amp;virtMode=0&amp;nonVirtPosition=&amp;position=chr16:18406881-18426716","chr16:18406881-18426716")</f>
        <v>chr16:18406881-18426716</v>
      </c>
      <c r="F1857" t="s">
        <v>25</v>
      </c>
      <c r="G1857">
        <v>-0.56422960141918299</v>
      </c>
      <c r="H1857">
        <v>0.166372299322155</v>
      </c>
      <c r="I1857">
        <v>-3.3913674555079498</v>
      </c>
      <c r="J1857">
        <v>6.9544792024394796E-4</v>
      </c>
      <c r="K1857">
        <v>5.0203466846289596E-3</v>
      </c>
      <c r="L1857" t="s">
        <v>26</v>
      </c>
      <c r="M1857" t="s">
        <v>27</v>
      </c>
      <c r="N1857">
        <v>197.07091280324099</v>
      </c>
      <c r="O1857">
        <v>244.914497071912</v>
      </c>
      <c r="P1857">
        <v>161.18822460173899</v>
      </c>
      <c r="Q1857">
        <v>270.60117735878202</v>
      </c>
      <c r="R1857">
        <v>228.69071443443701</v>
      </c>
      <c r="S1857">
        <v>235.45159942251601</v>
      </c>
      <c r="T1857">
        <v>160.40341504534399</v>
      </c>
      <c r="U1857">
        <v>160.59425594141501</v>
      </c>
      <c r="V1857">
        <v>194.948210329321</v>
      </c>
      <c r="W1857">
        <v>128.80701709087401</v>
      </c>
    </row>
    <row r="1858" spans="1:23" x14ac:dyDescent="0.2">
      <c r="A1858" t="s">
        <v>3723</v>
      </c>
      <c r="B1858" s="3" t="str">
        <f>HYPERLINK("http://www.ncbi.nlm.nih.gov/gene/67273","Ndufa10")</f>
        <v>Ndufa10</v>
      </c>
      <c r="C1858">
        <v>67273</v>
      </c>
      <c r="D1858" t="s">
        <v>3724</v>
      </c>
      <c r="E1858" s="3" t="str">
        <f>HYPERLINK("http://genome.ucsc.edu/cgi-bin/hgTracks?db=mm10&amp;lastVirtModeType=default&amp;lastVirtModeExtraState=&amp;virtModeType=default&amp;virtMode=0&amp;nonVirtPosition=&amp;position=chr1:92439718-92473758","chr1:92439718-92473758")</f>
        <v>chr1:92439718-92473758</v>
      </c>
      <c r="F1858" t="s">
        <v>25</v>
      </c>
      <c r="G1858">
        <v>-0.52554954047914804</v>
      </c>
      <c r="H1858">
        <v>0.154976006467509</v>
      </c>
      <c r="I1858">
        <v>-3.39116713908441</v>
      </c>
      <c r="J1858">
        <v>6.9595644568055503E-4</v>
      </c>
      <c r="K1858">
        <v>5.0213107565238802E-3</v>
      </c>
      <c r="L1858" t="s">
        <v>26</v>
      </c>
      <c r="M1858" t="s">
        <v>27</v>
      </c>
      <c r="N1858">
        <v>340.56647634146901</v>
      </c>
      <c r="O1858">
        <v>417.418365276099</v>
      </c>
      <c r="P1858">
        <v>282.92755964049701</v>
      </c>
      <c r="Q1858">
        <v>361.91515490372097</v>
      </c>
      <c r="R1858">
        <v>508.960097464368</v>
      </c>
      <c r="S1858">
        <v>381.37984346020698</v>
      </c>
      <c r="T1858">
        <v>256.64546407255102</v>
      </c>
      <c r="U1858">
        <v>269.79834998157702</v>
      </c>
      <c r="V1858">
        <v>292.79014230592401</v>
      </c>
      <c r="W1858">
        <v>312.47628220193502</v>
      </c>
    </row>
    <row r="1859" spans="1:23" x14ac:dyDescent="0.2">
      <c r="A1859" t="s">
        <v>3725</v>
      </c>
      <c r="B1859" s="3" t="str">
        <f>HYPERLINK("http://www.ncbi.nlm.nih.gov/gene/18612","Etv4")</f>
        <v>Etv4</v>
      </c>
      <c r="C1859">
        <v>18612</v>
      </c>
      <c r="D1859" t="s">
        <v>3726</v>
      </c>
      <c r="E1859" s="3" t="str">
        <f>HYPERLINK("http://genome.ucsc.edu/cgi-bin/hgTracks?db=mm10&amp;lastVirtModeType=default&amp;lastVirtModeExtraState=&amp;virtModeType=default&amp;virtMode=0&amp;nonVirtPosition=&amp;position=chr11:101769747-101785310","chr11:101769747-101785310")</f>
        <v>chr11:101769747-101785310</v>
      </c>
      <c r="F1859" t="s">
        <v>25</v>
      </c>
      <c r="G1859">
        <v>-0.47095498939911801</v>
      </c>
      <c r="H1859">
        <v>0.13888710800215601</v>
      </c>
      <c r="I1859">
        <v>-3.3909194033459702</v>
      </c>
      <c r="J1859">
        <v>6.9658582827294903E-4</v>
      </c>
      <c r="K1859">
        <v>5.02314530231721E-3</v>
      </c>
      <c r="L1859" t="s">
        <v>26</v>
      </c>
      <c r="M1859" t="s">
        <v>27</v>
      </c>
      <c r="N1859">
        <v>625.510024867075</v>
      </c>
      <c r="O1859">
        <v>750.29392622377497</v>
      </c>
      <c r="P1859">
        <v>531.92209884955003</v>
      </c>
      <c r="Q1859">
        <v>665.923885022847</v>
      </c>
      <c r="R1859">
        <v>751.30398887996603</v>
      </c>
      <c r="S1859">
        <v>833.65390476851201</v>
      </c>
      <c r="T1859">
        <v>439.96365269580099</v>
      </c>
      <c r="U1859">
        <v>627.38822654446199</v>
      </c>
      <c r="V1859">
        <v>500.98011786516099</v>
      </c>
      <c r="W1859">
        <v>559.35639829277602</v>
      </c>
    </row>
    <row r="1860" spans="1:23" x14ac:dyDescent="0.2">
      <c r="A1860" t="s">
        <v>3727</v>
      </c>
      <c r="B1860" s="3" t="str">
        <f>HYPERLINK("http://www.ncbi.nlm.nih.gov/gene/93760","Arid1a")</f>
        <v>Arid1a</v>
      </c>
      <c r="C1860">
        <v>93760</v>
      </c>
      <c r="D1860" t="s">
        <v>3728</v>
      </c>
      <c r="E1860" s="3" t="str">
        <f>HYPERLINK("http://genome.ucsc.edu/cgi-bin/hgTracks?db=mm10&amp;lastVirtModeType=default&amp;lastVirtModeExtraState=&amp;virtModeType=default&amp;virtMode=0&amp;nonVirtPosition=&amp;position=chr4:133679007-133753611","chr4:133679007-133753611")</f>
        <v>chr4:133679007-133753611</v>
      </c>
      <c r="F1860" t="s">
        <v>25</v>
      </c>
      <c r="G1860">
        <v>0.62127267938702901</v>
      </c>
      <c r="H1860">
        <v>0.183249185461444</v>
      </c>
      <c r="I1860">
        <v>3.3903161851584098</v>
      </c>
      <c r="J1860">
        <v>6.9812054107082605E-4</v>
      </c>
      <c r="K1860">
        <v>5.0315027801288601E-3</v>
      </c>
      <c r="L1860" t="s">
        <v>26</v>
      </c>
      <c r="M1860" t="s">
        <v>27</v>
      </c>
      <c r="N1860">
        <v>849.56549536208195</v>
      </c>
      <c r="O1860">
        <v>639.12219401873904</v>
      </c>
      <c r="P1860">
        <v>1007.39797136959</v>
      </c>
      <c r="Q1860">
        <v>534.52084416549599</v>
      </c>
      <c r="R1860">
        <v>497.96170489621102</v>
      </c>
      <c r="S1860">
        <v>884.88403299450999</v>
      </c>
      <c r="T1860">
        <v>999.08412799671498</v>
      </c>
      <c r="U1860">
        <v>974.27181937791897</v>
      </c>
      <c r="V1860">
        <v>1026.9724589423899</v>
      </c>
      <c r="W1860">
        <v>1029.26347916133</v>
      </c>
    </row>
    <row r="1861" spans="1:23" x14ac:dyDescent="0.2">
      <c r="A1861" t="s">
        <v>3729</v>
      </c>
      <c r="B1861" s="3" t="str">
        <f>HYPERLINK("http://www.ncbi.nlm.nih.gov/gene/17750","Mt2")</f>
        <v>Mt2</v>
      </c>
      <c r="C1861">
        <v>17750</v>
      </c>
      <c r="D1861" t="s">
        <v>3730</v>
      </c>
      <c r="E1861" s="3" t="str">
        <f>HYPERLINK("http://genome.ucsc.edu/cgi-bin/hgTracks?db=mm10&amp;lastVirtModeType=default&amp;lastVirtModeExtraState=&amp;virtModeType=default&amp;virtMode=0&amp;nonVirtPosition=&amp;position=chr8:94172617-94173567","chr8:94172617-94173567")</f>
        <v>chr8:94172617-94173567</v>
      </c>
      <c r="F1861" t="s">
        <v>30</v>
      </c>
      <c r="G1861">
        <v>-0.95358674100677399</v>
      </c>
      <c r="H1861">
        <v>0.28128035628227699</v>
      </c>
      <c r="I1861">
        <v>-3.3901647225226301</v>
      </c>
      <c r="J1861">
        <v>6.9850638684271899E-4</v>
      </c>
      <c r="K1861">
        <v>5.0315755923673201E-3</v>
      </c>
      <c r="L1861" t="s">
        <v>26</v>
      </c>
      <c r="M1861" t="s">
        <v>27</v>
      </c>
      <c r="N1861">
        <v>209.07734897635899</v>
      </c>
      <c r="O1861">
        <v>303.81921610461399</v>
      </c>
      <c r="P1861">
        <v>138.02094863016799</v>
      </c>
      <c r="Q1861">
        <v>133.073418495368</v>
      </c>
      <c r="R1861">
        <v>350.43154251645001</v>
      </c>
      <c r="S1861">
        <v>427.95268730202298</v>
      </c>
      <c r="T1861">
        <v>100.825003742788</v>
      </c>
      <c r="U1861">
        <v>124.192891261361</v>
      </c>
      <c r="V1861">
        <v>158.901182758994</v>
      </c>
      <c r="W1861">
        <v>168.16471675752999</v>
      </c>
    </row>
    <row r="1862" spans="1:23" x14ac:dyDescent="0.2">
      <c r="A1862" t="s">
        <v>3731</v>
      </c>
      <c r="B1862" s="3" t="str">
        <f>HYPERLINK("http://www.ncbi.nlm.nih.gov/gene/22030","Traf2")</f>
        <v>Traf2</v>
      </c>
      <c r="C1862">
        <v>22030</v>
      </c>
      <c r="D1862" t="s">
        <v>3732</v>
      </c>
      <c r="E1862" s="3" t="str">
        <f>HYPERLINK("http://genome.ucsc.edu/cgi-bin/hgTracks?db=mm10&amp;lastVirtModeType=default&amp;lastVirtModeExtraState=&amp;virtModeType=default&amp;virtMode=0&amp;nonVirtPosition=&amp;position=chr2:25517981-25546940","chr2:25517981-25546940")</f>
        <v>chr2:25517981-25546940</v>
      </c>
      <c r="F1862" t="s">
        <v>25</v>
      </c>
      <c r="G1862">
        <v>0.52030333730693501</v>
      </c>
      <c r="H1862">
        <v>0.153496561679309</v>
      </c>
      <c r="I1862">
        <v>3.3896742155956199</v>
      </c>
      <c r="J1862">
        <v>6.9975729667258002E-4</v>
      </c>
      <c r="K1862">
        <v>5.0378763224422102E-3</v>
      </c>
      <c r="L1862" t="s">
        <v>26</v>
      </c>
      <c r="M1862" t="s">
        <v>27</v>
      </c>
      <c r="N1862">
        <v>126.354790627207</v>
      </c>
      <c r="O1862">
        <v>99.931708730761997</v>
      </c>
      <c r="P1862">
        <v>146.172102049541</v>
      </c>
      <c r="Q1862">
        <v>103.006621011059</v>
      </c>
      <c r="R1862">
        <v>98.985533113412899</v>
      </c>
      <c r="S1862">
        <v>97.802972067814196</v>
      </c>
      <c r="T1862">
        <v>142.07159618301901</v>
      </c>
      <c r="U1862">
        <v>158.45299919553</v>
      </c>
      <c r="V1862">
        <v>133.88895954693001</v>
      </c>
      <c r="W1862">
        <v>150.27485327268599</v>
      </c>
    </row>
    <row r="1863" spans="1:23" x14ac:dyDescent="0.2">
      <c r="A1863" t="s">
        <v>3733</v>
      </c>
      <c r="B1863" s="3" t="str">
        <f>HYPERLINK("http://www.ncbi.nlm.nih.gov/gene/70439","Taf15")</f>
        <v>Taf15</v>
      </c>
      <c r="C1863">
        <v>70439</v>
      </c>
      <c r="D1863" t="s">
        <v>3734</v>
      </c>
      <c r="E1863" s="3" t="str">
        <f>HYPERLINK("http://genome.ucsc.edu/cgi-bin/hgTracks?db=mm10&amp;lastVirtModeType=default&amp;lastVirtModeExtraState=&amp;virtModeType=default&amp;virtMode=0&amp;nonVirtPosition=&amp;position=chr11:83473107-83506740","chr11:83473107-83506740")</f>
        <v>chr11:83473107-83506740</v>
      </c>
      <c r="F1863" t="s">
        <v>30</v>
      </c>
      <c r="G1863">
        <v>0.76047599878296801</v>
      </c>
      <c r="H1863">
        <v>0.22436230111562699</v>
      </c>
      <c r="I1863">
        <v>3.3894999070768601</v>
      </c>
      <c r="J1863">
        <v>7.0020232615913499E-4</v>
      </c>
      <c r="K1863">
        <v>5.03837149360397E-3</v>
      </c>
      <c r="L1863" t="s">
        <v>26</v>
      </c>
      <c r="M1863" t="s">
        <v>27</v>
      </c>
      <c r="N1863">
        <v>203.94359549660001</v>
      </c>
      <c r="O1863">
        <v>138.94477918274001</v>
      </c>
      <c r="P1863">
        <v>252.692707731995</v>
      </c>
      <c r="Q1863">
        <v>110.244924109134</v>
      </c>
      <c r="R1863">
        <v>111.500945346143</v>
      </c>
      <c r="S1863">
        <v>195.08846809294201</v>
      </c>
      <c r="T1863">
        <v>352.88751309975697</v>
      </c>
      <c r="U1863">
        <v>216.26693133443899</v>
      </c>
      <c r="V1863">
        <v>222.16739441303801</v>
      </c>
      <c r="W1863">
        <v>219.44899208074801</v>
      </c>
    </row>
    <row r="1864" spans="1:23" x14ac:dyDescent="0.2">
      <c r="A1864" t="s">
        <v>3735</v>
      </c>
      <c r="B1864" s="3" t="str">
        <f>HYPERLINK("http://www.ncbi.nlm.nih.gov/gene/18763","Pkd1")</f>
        <v>Pkd1</v>
      </c>
      <c r="C1864">
        <v>18763</v>
      </c>
      <c r="D1864" t="s">
        <v>3736</v>
      </c>
      <c r="E1864" s="3" t="str">
        <f>HYPERLINK("http://genome.ucsc.edu/cgi-bin/hgTracks?db=mm10&amp;lastVirtModeType=default&amp;lastVirtModeExtraState=&amp;virtModeType=default&amp;virtMode=0&amp;nonVirtPosition=&amp;position=chr17:24549949-24596514","chr17:24549949-24596514")</f>
        <v>chr17:24549949-24596514</v>
      </c>
      <c r="F1864" t="s">
        <v>30</v>
      </c>
      <c r="G1864">
        <v>0.48994735417384999</v>
      </c>
      <c r="H1864">
        <v>0.14457367605090299</v>
      </c>
      <c r="I1864">
        <v>3.3889112289110299</v>
      </c>
      <c r="J1864">
        <v>7.0170723335778598E-4</v>
      </c>
      <c r="K1864">
        <v>5.0464884865167097E-3</v>
      </c>
      <c r="L1864" t="s">
        <v>26</v>
      </c>
      <c r="M1864" t="s">
        <v>27</v>
      </c>
      <c r="N1864">
        <v>1089.13724062351</v>
      </c>
      <c r="O1864">
        <v>879.27974700946504</v>
      </c>
      <c r="P1864">
        <v>1246.53036083405</v>
      </c>
      <c r="Q1864">
        <v>850.77901029674797</v>
      </c>
      <c r="R1864">
        <v>733.47900782122804</v>
      </c>
      <c r="S1864">
        <v>1053.5812229104199</v>
      </c>
      <c r="T1864">
        <v>1136.57276946415</v>
      </c>
      <c r="U1864">
        <v>1383.25185784206</v>
      </c>
      <c r="V1864">
        <v>1290.3364562929401</v>
      </c>
      <c r="W1864">
        <v>1175.9603597370501</v>
      </c>
    </row>
    <row r="1865" spans="1:23" x14ac:dyDescent="0.2">
      <c r="A1865" t="s">
        <v>3737</v>
      </c>
      <c r="B1865" s="3" t="str">
        <f>HYPERLINK("http://www.ncbi.nlm.nih.gov/gene/21810","Tgfbi")</f>
        <v>Tgfbi</v>
      </c>
      <c r="C1865">
        <v>21810</v>
      </c>
      <c r="D1865" t="s">
        <v>3738</v>
      </c>
      <c r="E1865" s="3" t="str">
        <f>HYPERLINK("http://genome.ucsc.edu/cgi-bin/hgTracks?db=mm10&amp;lastVirtModeType=default&amp;lastVirtModeExtraState=&amp;virtModeType=default&amp;virtMode=0&amp;nonVirtPosition=&amp;position=chr13:56609602-56639339","chr13:56609602-56639339")</f>
        <v>chr13:56609602-56639339</v>
      </c>
      <c r="F1865" t="s">
        <v>30</v>
      </c>
      <c r="G1865">
        <v>0.81755268721069996</v>
      </c>
      <c r="H1865">
        <v>0.241274445574306</v>
      </c>
      <c r="I1865">
        <v>3.3884760786194201</v>
      </c>
      <c r="J1865">
        <v>7.0282159069536205E-4</v>
      </c>
      <c r="K1865">
        <v>5.0517895442842697E-3</v>
      </c>
      <c r="L1865" t="s">
        <v>26</v>
      </c>
      <c r="M1865" t="s">
        <v>27</v>
      </c>
      <c r="N1865">
        <v>223.673266040627</v>
      </c>
      <c r="O1865">
        <v>147.702796459328</v>
      </c>
      <c r="P1865">
        <v>280.651118226601</v>
      </c>
      <c r="Q1865">
        <v>121.380775029248</v>
      </c>
      <c r="R1865">
        <v>122.4993379143</v>
      </c>
      <c r="S1865">
        <v>199.228276434436</v>
      </c>
      <c r="T1865">
        <v>394.13410553998898</v>
      </c>
      <c r="U1865">
        <v>171.30053967084299</v>
      </c>
      <c r="V1865">
        <v>322.21628726129302</v>
      </c>
      <c r="W1865">
        <v>234.95354043427901</v>
      </c>
    </row>
    <row r="1866" spans="1:23" x14ac:dyDescent="0.2">
      <c r="A1866" t="s">
        <v>3739</v>
      </c>
      <c r="B1866" s="3" t="str">
        <f>HYPERLINK("http://www.ncbi.nlm.nih.gov/gene/13030","Ctsb")</f>
        <v>Ctsb</v>
      </c>
      <c r="C1866">
        <v>13030</v>
      </c>
      <c r="D1866" t="s">
        <v>3740</v>
      </c>
      <c r="E1866" s="3" t="str">
        <f>HYPERLINK("http://genome.ucsc.edu/cgi-bin/hgTracks?db=mm10&amp;lastVirtModeType=default&amp;lastVirtModeExtraState=&amp;virtModeType=default&amp;virtMode=0&amp;nonVirtPosition=&amp;position=chr14:63122461-63145923","chr14:63122461-63145923")</f>
        <v>chr14:63122461-63145923</v>
      </c>
      <c r="F1866" t="s">
        <v>30</v>
      </c>
      <c r="G1866">
        <v>-0.74438943669014201</v>
      </c>
      <c r="H1866">
        <v>0.21977356643764101</v>
      </c>
      <c r="I1866">
        <v>-3.38707447285912</v>
      </c>
      <c r="J1866">
        <v>7.0642209051805904E-4</v>
      </c>
      <c r="K1866">
        <v>5.0749453938451301E-3</v>
      </c>
      <c r="L1866" t="s">
        <v>26</v>
      </c>
      <c r="M1866" t="s">
        <v>27</v>
      </c>
      <c r="N1866">
        <v>1975.86256096136</v>
      </c>
      <c r="O1866">
        <v>2618.9123310298401</v>
      </c>
      <c r="P1866">
        <v>1493.57523341</v>
      </c>
      <c r="Q1866">
        <v>3904.2293325921401</v>
      </c>
      <c r="R1866">
        <v>2027.49678170232</v>
      </c>
      <c r="S1866">
        <v>1925.0108787950701</v>
      </c>
      <c r="T1866">
        <v>1631.53187874693</v>
      </c>
      <c r="U1866">
        <v>1252.63519634304</v>
      </c>
      <c r="V1866">
        <v>1441.8811028130899</v>
      </c>
      <c r="W1866">
        <v>1648.2527557369201</v>
      </c>
    </row>
    <row r="1867" spans="1:23" x14ac:dyDescent="0.2">
      <c r="A1867" t="s">
        <v>3741</v>
      </c>
      <c r="B1867" s="3" t="str">
        <f>HYPERLINK("http://www.ncbi.nlm.nih.gov/gene/268527","Greb1")</f>
        <v>Greb1</v>
      </c>
      <c r="C1867">
        <v>268527</v>
      </c>
      <c r="D1867" t="s">
        <v>3742</v>
      </c>
      <c r="E1867" s="3" t="str">
        <f>HYPERLINK("http://genome.ucsc.edu/cgi-bin/hgTracks?db=mm10&amp;lastVirtModeType=default&amp;lastVirtModeExtraState=&amp;virtModeType=default&amp;virtMode=0&amp;nonVirtPosition=&amp;position=chr12:16670614-16800886","chr12:16670614-16800886")</f>
        <v>chr12:16670614-16800886</v>
      </c>
      <c r="F1867" t="s">
        <v>25</v>
      </c>
      <c r="G1867">
        <v>0.85007806529629804</v>
      </c>
      <c r="H1867">
        <v>0.25099230501832898</v>
      </c>
      <c r="I1867">
        <v>3.3868690326351598</v>
      </c>
      <c r="J1867">
        <v>7.0695127135936698E-4</v>
      </c>
      <c r="K1867">
        <v>5.0760238470634201E-3</v>
      </c>
      <c r="L1867" t="s">
        <v>26</v>
      </c>
      <c r="M1867" t="s">
        <v>27</v>
      </c>
      <c r="N1867">
        <v>35.586196931012402</v>
      </c>
      <c r="O1867">
        <v>22.758034075472999</v>
      </c>
      <c r="P1867">
        <v>45.207319072666898</v>
      </c>
      <c r="Q1867">
        <v>21.7149092942233</v>
      </c>
      <c r="R1867">
        <v>22.755294968600701</v>
      </c>
      <c r="S1867">
        <v>23.803897963594999</v>
      </c>
      <c r="T1867">
        <v>45.829547155812598</v>
      </c>
      <c r="U1867">
        <v>53.531418647138402</v>
      </c>
      <c r="V1867">
        <v>39.7252956897484</v>
      </c>
      <c r="W1867">
        <v>41.743014797968399</v>
      </c>
    </row>
    <row r="1868" spans="1:23" x14ac:dyDescent="0.2">
      <c r="A1868" t="s">
        <v>3743</v>
      </c>
      <c r="B1868" s="3" t="str">
        <f>HYPERLINK("http://www.ncbi.nlm.nih.gov/gene/14235","Foxm1")</f>
        <v>Foxm1</v>
      </c>
      <c r="C1868">
        <v>14235</v>
      </c>
      <c r="D1868" t="s">
        <v>3744</v>
      </c>
      <c r="E1868" s="3" t="str">
        <f>HYPERLINK("http://genome.ucsc.edu/cgi-bin/hgTracks?db=mm10&amp;lastVirtModeType=default&amp;lastVirtModeExtraState=&amp;virtModeType=default&amp;virtMode=0&amp;nonVirtPosition=&amp;position=chr6:128362993-128375886","chr6:128362993-128375886")</f>
        <v>chr6:128362993-128375886</v>
      </c>
      <c r="F1868" t="s">
        <v>30</v>
      </c>
      <c r="G1868">
        <v>0.81169258045472803</v>
      </c>
      <c r="H1868">
        <v>0.23979685557882799</v>
      </c>
      <c r="I1868">
        <v>3.3849175315307698</v>
      </c>
      <c r="J1868">
        <v>7.11996423457051E-4</v>
      </c>
      <c r="K1868">
        <v>5.1095091674776896E-3</v>
      </c>
      <c r="L1868" t="s">
        <v>26</v>
      </c>
      <c r="M1868" t="s">
        <v>27</v>
      </c>
      <c r="N1868">
        <v>377.339095043268</v>
      </c>
      <c r="O1868">
        <v>251.27156044480799</v>
      </c>
      <c r="P1868">
        <v>471.88974599211298</v>
      </c>
      <c r="Q1868">
        <v>129.17587067332801</v>
      </c>
      <c r="R1868">
        <v>269.650245377918</v>
      </c>
      <c r="S1868">
        <v>354.98856528317702</v>
      </c>
      <c r="T1868">
        <v>536.20570172300802</v>
      </c>
      <c r="U1868">
        <v>466.793970603047</v>
      </c>
      <c r="V1868">
        <v>423.00083373343199</v>
      </c>
      <c r="W1868">
        <v>461.55847790896502</v>
      </c>
    </row>
    <row r="1869" spans="1:23" x14ac:dyDescent="0.2">
      <c r="A1869" t="s">
        <v>3745</v>
      </c>
      <c r="B1869" s="3" t="str">
        <f>HYPERLINK("http://www.ncbi.nlm.nih.gov/gene/12317","Calr")</f>
        <v>Calr</v>
      </c>
      <c r="C1869">
        <v>12317</v>
      </c>
      <c r="D1869" t="s">
        <v>3746</v>
      </c>
      <c r="E1869" s="3" t="str">
        <f>HYPERLINK("http://genome.ucsc.edu/cgi-bin/hgTracks?db=mm10&amp;lastVirtModeType=default&amp;lastVirtModeExtraState=&amp;virtModeType=default&amp;virtMode=0&amp;nonVirtPosition=&amp;position=chr8:84842087-84846931","chr8:84842087-84846931")</f>
        <v>chr8:84842087-84846931</v>
      </c>
      <c r="F1869" t="s">
        <v>25</v>
      </c>
      <c r="G1869">
        <v>-0.76712533294249696</v>
      </c>
      <c r="H1869">
        <v>0.226654010539073</v>
      </c>
      <c r="I1869">
        <v>-3.3845654489764798</v>
      </c>
      <c r="J1869">
        <v>7.12910205593016E-4</v>
      </c>
      <c r="K1869">
        <v>5.1101082454188202E-3</v>
      </c>
      <c r="L1869" t="s">
        <v>26</v>
      </c>
      <c r="M1869" t="s">
        <v>27</v>
      </c>
      <c r="N1869">
        <v>2359.6756830137701</v>
      </c>
      <c r="O1869">
        <v>3158.0580518500601</v>
      </c>
      <c r="P1869">
        <v>1760.8889063865499</v>
      </c>
      <c r="Q1869">
        <v>4395.3203581691896</v>
      </c>
      <c r="R1869">
        <v>2762.1135542719799</v>
      </c>
      <c r="S1869">
        <v>2316.74024310902</v>
      </c>
      <c r="T1869">
        <v>1704.8591541962301</v>
      </c>
      <c r="U1869">
        <v>1201.24503444179</v>
      </c>
      <c r="V1869">
        <v>1946.5394887976699</v>
      </c>
      <c r="W1869">
        <v>2190.9119481105099</v>
      </c>
    </row>
    <row r="1870" spans="1:23" x14ac:dyDescent="0.2">
      <c r="A1870" t="s">
        <v>3747</v>
      </c>
      <c r="B1870" s="3" t="str">
        <f>HYPERLINK("http://www.ncbi.nlm.nih.gov/gene/74257","Tspan17")</f>
        <v>Tspan17</v>
      </c>
      <c r="C1870">
        <v>74257</v>
      </c>
      <c r="D1870" t="s">
        <v>3748</v>
      </c>
      <c r="E1870" s="3" t="str">
        <f>HYPERLINK("http://genome.ucsc.edu/cgi-bin/hgTracks?db=mm10&amp;lastVirtModeType=default&amp;lastVirtModeExtraState=&amp;virtModeType=default&amp;virtMode=0&amp;nonVirtPosition=&amp;position=chr13:54789404-54796775","chr13:54789404-54796775")</f>
        <v>chr13:54789404-54796775</v>
      </c>
      <c r="F1870" t="s">
        <v>30</v>
      </c>
      <c r="G1870">
        <v>0.95945669292042801</v>
      </c>
      <c r="H1870">
        <v>0.28348024309113401</v>
      </c>
      <c r="I1870">
        <v>3.3845628268774202</v>
      </c>
      <c r="J1870">
        <v>7.1291701497856101E-4</v>
      </c>
      <c r="K1870">
        <v>5.1101082454188202E-3</v>
      </c>
      <c r="L1870" t="s">
        <v>26</v>
      </c>
      <c r="M1870" t="s">
        <v>27</v>
      </c>
      <c r="N1870">
        <v>35.972247776259898</v>
      </c>
      <c r="O1870">
        <v>22.4497611904461</v>
      </c>
      <c r="P1870">
        <v>46.114112715620301</v>
      </c>
      <c r="Q1870">
        <v>22.271701840228999</v>
      </c>
      <c r="R1870">
        <v>19.721255639453901</v>
      </c>
      <c r="S1870">
        <v>25.3563260916555</v>
      </c>
      <c r="T1870">
        <v>36.663637724650101</v>
      </c>
      <c r="U1870">
        <v>27.836337696512</v>
      </c>
      <c r="V1870">
        <v>60.3235971585069</v>
      </c>
      <c r="W1870">
        <v>59.632878282812001</v>
      </c>
    </row>
    <row r="1871" spans="1:23" x14ac:dyDescent="0.2">
      <c r="A1871" t="s">
        <v>3749</v>
      </c>
      <c r="B1871" s="3" t="str">
        <f>HYPERLINK("http://www.ncbi.nlm.nih.gov/gene/20363","Sepp1")</f>
        <v>Sepp1</v>
      </c>
      <c r="C1871">
        <v>20363</v>
      </c>
      <c r="D1871" t="s">
        <v>3750</v>
      </c>
      <c r="E1871" s="3" t="str">
        <f>HYPERLINK("http://genome.ucsc.edu/cgi-bin/hgTracks?db=mm10&amp;lastVirtModeType=default&amp;lastVirtModeExtraState=&amp;virtModeType=default&amp;virtMode=0&amp;nonVirtPosition=&amp;position=chr15:3270810-3280508","chr15:3270810-3280508")</f>
        <v>chr15:3270810-3280508</v>
      </c>
      <c r="F1871" t="s">
        <v>30</v>
      </c>
      <c r="G1871">
        <v>-1.1754521689239099</v>
      </c>
      <c r="H1871">
        <v>0.347310235825391</v>
      </c>
      <c r="I1871">
        <v>-3.3844443603293799</v>
      </c>
      <c r="J1871">
        <v>7.1322472636007597E-4</v>
      </c>
      <c r="K1871">
        <v>5.1101082454188202E-3</v>
      </c>
      <c r="L1871" t="s">
        <v>26</v>
      </c>
      <c r="M1871" t="s">
        <v>27</v>
      </c>
      <c r="N1871">
        <v>319.28642710906598</v>
      </c>
      <c r="O1871">
        <v>514.93042482675901</v>
      </c>
      <c r="P1871">
        <v>172.553428820796</v>
      </c>
      <c r="Q1871">
        <v>861.91486121686205</v>
      </c>
      <c r="R1871">
        <v>435.00538881641597</v>
      </c>
      <c r="S1871">
        <v>247.871024447</v>
      </c>
      <c r="T1871">
        <v>128.322732036275</v>
      </c>
      <c r="U1871">
        <v>154.170485703759</v>
      </c>
      <c r="V1871">
        <v>203.77605381593199</v>
      </c>
      <c r="W1871">
        <v>203.94444372721699</v>
      </c>
    </row>
    <row r="1872" spans="1:23" x14ac:dyDescent="0.2">
      <c r="A1872" t="s">
        <v>3751</v>
      </c>
      <c r="B1872" s="3" t="str">
        <f>HYPERLINK("http://www.ncbi.nlm.nih.gov/gene/69048","Slc30a5")</f>
        <v>Slc30a5</v>
      </c>
      <c r="C1872">
        <v>69048</v>
      </c>
      <c r="D1872" t="s">
        <v>3752</v>
      </c>
      <c r="E1872" s="3" t="str">
        <f>HYPERLINK("http://genome.ucsc.edu/cgi-bin/hgTracks?db=mm10&amp;lastVirtModeType=default&amp;lastVirtModeExtraState=&amp;virtModeType=default&amp;virtMode=0&amp;nonVirtPosition=&amp;position=chr13:100802647-100833427","chr13:100802647-100833427")</f>
        <v>chr13:100802647-100833427</v>
      </c>
      <c r="F1872" t="s">
        <v>25</v>
      </c>
      <c r="G1872">
        <v>-0.40801079431271497</v>
      </c>
      <c r="H1872">
        <v>0.120563274800395</v>
      </c>
      <c r="I1872">
        <v>-3.3842046426510901</v>
      </c>
      <c r="J1872">
        <v>7.1384775947795599E-4</v>
      </c>
      <c r="K1872">
        <v>5.1118370840477602E-3</v>
      </c>
      <c r="L1872" t="s">
        <v>26</v>
      </c>
      <c r="M1872" t="s">
        <v>27</v>
      </c>
      <c r="N1872">
        <v>390.17251431780699</v>
      </c>
      <c r="O1872">
        <v>454.01208090837099</v>
      </c>
      <c r="P1872">
        <v>342.29283937488498</v>
      </c>
      <c r="Q1872">
        <v>468.26253119081503</v>
      </c>
      <c r="R1872">
        <v>478.24044925675798</v>
      </c>
      <c r="S1872">
        <v>415.533262277539</v>
      </c>
      <c r="T1872">
        <v>352.88751309975697</v>
      </c>
      <c r="U1872">
        <v>364.01364680054098</v>
      </c>
      <c r="V1872">
        <v>345.757203225588</v>
      </c>
      <c r="W1872">
        <v>306.51299437365401</v>
      </c>
    </row>
    <row r="1873" spans="1:23" x14ac:dyDescent="0.2">
      <c r="A1873" t="s">
        <v>3753</v>
      </c>
      <c r="B1873" s="3" t="str">
        <f>HYPERLINK("http://www.ncbi.nlm.nih.gov/gene/14814","Grin2d")</f>
        <v>Grin2d</v>
      </c>
      <c r="C1873">
        <v>14814</v>
      </c>
      <c r="D1873" t="s">
        <v>3754</v>
      </c>
      <c r="E1873" s="3" t="str">
        <f>HYPERLINK("http://genome.ucsc.edu/cgi-bin/hgTracks?db=mm10&amp;lastVirtModeType=default&amp;lastVirtModeExtraState=&amp;virtModeType=default&amp;virtMode=0&amp;nonVirtPosition=&amp;position=chr7:45832482-45866681","chr7:45832482-45866681")</f>
        <v>chr7:45832482-45866681</v>
      </c>
      <c r="F1873" t="s">
        <v>25</v>
      </c>
      <c r="G1873">
        <v>1.02547116643532</v>
      </c>
      <c r="H1873">
        <v>0.30303291065721599</v>
      </c>
      <c r="I1873">
        <v>3.3840257291239002</v>
      </c>
      <c r="J1873">
        <v>7.1431309036864904E-4</v>
      </c>
      <c r="K1873">
        <v>5.1124353784749201E-3</v>
      </c>
      <c r="L1873" t="s">
        <v>26</v>
      </c>
      <c r="M1873" t="s">
        <v>27</v>
      </c>
      <c r="N1873">
        <v>30.251231980412101</v>
      </c>
      <c r="O1873">
        <v>16.600987373465401</v>
      </c>
      <c r="P1873">
        <v>40.488915435622197</v>
      </c>
      <c r="Q1873">
        <v>19.487739110200401</v>
      </c>
      <c r="R1873">
        <v>14.790941729590401</v>
      </c>
      <c r="S1873">
        <v>15.5242812806054</v>
      </c>
      <c r="T1873">
        <v>41.246592440231403</v>
      </c>
      <c r="U1873">
        <v>51.390161901252803</v>
      </c>
      <c r="V1873">
        <v>22.805262340411101</v>
      </c>
      <c r="W1873">
        <v>46.513645060593397</v>
      </c>
    </row>
    <row r="1874" spans="1:23" x14ac:dyDescent="0.2">
      <c r="A1874" t="s">
        <v>3755</v>
      </c>
      <c r="B1874" s="3" t="str">
        <f>HYPERLINK("http://www.ncbi.nlm.nih.gov/gene/229877","Rap1gds1")</f>
        <v>Rap1gds1</v>
      </c>
      <c r="C1874">
        <v>229877</v>
      </c>
      <c r="D1874" t="s">
        <v>3756</v>
      </c>
      <c r="E1874" s="3" t="str">
        <f>HYPERLINK("http://genome.ucsc.edu/cgi-bin/hgTracks?db=mm10&amp;lastVirtModeType=default&amp;lastVirtModeExtraState=&amp;virtModeType=default&amp;virtMode=0&amp;nonVirtPosition=&amp;position=chr3:138925896-139075201","chr3:138925896-139075201")</f>
        <v>chr3:138925896-139075201</v>
      </c>
      <c r="F1874" t="s">
        <v>25</v>
      </c>
      <c r="G1874">
        <v>-0.414813516158761</v>
      </c>
      <c r="H1874">
        <v>0.122589091990273</v>
      </c>
      <c r="I1874">
        <v>-3.3837718301369999</v>
      </c>
      <c r="J1874">
        <v>7.14973932499521E-4</v>
      </c>
      <c r="K1874">
        <v>5.1144315865924604E-3</v>
      </c>
      <c r="L1874" t="s">
        <v>26</v>
      </c>
      <c r="M1874" t="s">
        <v>27</v>
      </c>
      <c r="N1874">
        <v>756.48714715975495</v>
      </c>
      <c r="O1874">
        <v>890.499425146524</v>
      </c>
      <c r="P1874">
        <v>655.977938669678</v>
      </c>
      <c r="Q1874">
        <v>993.31790207421295</v>
      </c>
      <c r="R1874">
        <v>853.32356132252505</v>
      </c>
      <c r="S1874">
        <v>824.85681204283503</v>
      </c>
      <c r="T1874">
        <v>586.61820359440196</v>
      </c>
      <c r="U1874">
        <v>625.24696979857595</v>
      </c>
      <c r="V1874">
        <v>723.88316590208296</v>
      </c>
      <c r="W1874">
        <v>688.16341538364998</v>
      </c>
    </row>
    <row r="1875" spans="1:23" x14ac:dyDescent="0.2">
      <c r="A1875" t="s">
        <v>3757</v>
      </c>
      <c r="B1875" s="3" t="str">
        <f>HYPERLINK("http://www.ncbi.nlm.nih.gov/gene/170833","Hook2")</f>
        <v>Hook2</v>
      </c>
      <c r="C1875">
        <v>170833</v>
      </c>
      <c r="D1875" t="s">
        <v>3758</v>
      </c>
      <c r="E1875" s="3" t="str">
        <f>HYPERLINK("http://genome.ucsc.edu/cgi-bin/hgTracks?db=mm10&amp;lastVirtModeType=default&amp;lastVirtModeExtraState=&amp;virtModeType=default&amp;virtMode=0&amp;nonVirtPosition=&amp;position=chr8:84990594-85003364","chr8:84990594-85003364")</f>
        <v>chr8:84990594-85003364</v>
      </c>
      <c r="F1875" t="s">
        <v>30</v>
      </c>
      <c r="G1875">
        <v>0.75598382527951202</v>
      </c>
      <c r="H1875">
        <v>0.22348317162487299</v>
      </c>
      <c r="I1875">
        <v>3.3827326674442699</v>
      </c>
      <c r="J1875">
        <v>7.1768456443068102E-4</v>
      </c>
      <c r="K1875">
        <v>5.1310806205505897E-3</v>
      </c>
      <c r="L1875" t="s">
        <v>26</v>
      </c>
      <c r="M1875" t="s">
        <v>27</v>
      </c>
      <c r="N1875">
        <v>49.398939547075599</v>
      </c>
      <c r="O1875">
        <v>34.240350012095597</v>
      </c>
      <c r="P1875">
        <v>60.767881698310603</v>
      </c>
      <c r="Q1875">
        <v>32.293967668332101</v>
      </c>
      <c r="R1875">
        <v>31.098903123754301</v>
      </c>
      <c r="S1875">
        <v>39.328179244200399</v>
      </c>
      <c r="T1875">
        <v>59.578411302556397</v>
      </c>
      <c r="U1875">
        <v>66.378959122451604</v>
      </c>
      <c r="V1875">
        <v>61.059250782391103</v>
      </c>
      <c r="W1875">
        <v>56.054905585843301</v>
      </c>
    </row>
    <row r="1876" spans="1:23" x14ac:dyDescent="0.2">
      <c r="A1876" t="s">
        <v>3759</v>
      </c>
      <c r="B1876" s="3" t="str">
        <f>HYPERLINK("http://www.ncbi.nlm.nih.gov/gene/215653","Rassf2")</f>
        <v>Rassf2</v>
      </c>
      <c r="C1876">
        <v>215653</v>
      </c>
      <c r="D1876" t="s">
        <v>3760</v>
      </c>
      <c r="E1876" s="3" t="str">
        <f>HYPERLINK("http://genome.ucsc.edu/cgi-bin/hgTracks?db=mm10&amp;lastVirtModeType=default&amp;lastVirtModeExtraState=&amp;virtModeType=default&amp;virtMode=0&amp;nonVirtPosition=&amp;position=chr2:131992849-132029988","chr2:131992849-132029988")</f>
        <v>chr2:131992849-132029988</v>
      </c>
      <c r="F1876" t="s">
        <v>25</v>
      </c>
      <c r="G1876">
        <v>-0.72359342812785599</v>
      </c>
      <c r="H1876">
        <v>0.213924375555373</v>
      </c>
      <c r="I1876">
        <v>-3.38247301762279</v>
      </c>
      <c r="J1876">
        <v>7.1836334427731897E-4</v>
      </c>
      <c r="K1876">
        <v>5.1331929259432101E-3</v>
      </c>
      <c r="L1876" t="s">
        <v>26</v>
      </c>
      <c r="M1876" t="s">
        <v>27</v>
      </c>
      <c r="N1876">
        <v>687.99439741678702</v>
      </c>
      <c r="O1876">
        <v>903.49014454284804</v>
      </c>
      <c r="P1876">
        <v>526.372587072241</v>
      </c>
      <c r="Q1876">
        <v>1303.4513501993999</v>
      </c>
      <c r="R1876">
        <v>687.20990805173994</v>
      </c>
      <c r="S1876">
        <v>719.80917537740504</v>
      </c>
      <c r="T1876">
        <v>595.78411302556401</v>
      </c>
      <c r="U1876">
        <v>524.60790274195597</v>
      </c>
      <c r="V1876">
        <v>576.01678750135204</v>
      </c>
      <c r="W1876">
        <v>409.08154502009</v>
      </c>
    </row>
    <row r="1877" spans="1:23" x14ac:dyDescent="0.2">
      <c r="A1877" t="s">
        <v>3761</v>
      </c>
      <c r="B1877" s="3" t="str">
        <f>HYPERLINK("http://www.ncbi.nlm.nih.gov/gene/67920","Mak16")</f>
        <v>Mak16</v>
      </c>
      <c r="C1877">
        <v>67920</v>
      </c>
      <c r="D1877" t="s">
        <v>3762</v>
      </c>
      <c r="E1877" s="3" t="str">
        <f>HYPERLINK("http://genome.ucsc.edu/cgi-bin/hgTracks?db=mm10&amp;lastVirtModeType=default&amp;lastVirtModeExtraState=&amp;virtModeType=default&amp;virtMode=0&amp;nonVirtPosition=&amp;position=chr8:31159467-31168724","chr8:31159467-31168724")</f>
        <v>chr8:31159467-31168724</v>
      </c>
      <c r="F1877" t="s">
        <v>25</v>
      </c>
      <c r="G1877">
        <v>-0.65849771461213003</v>
      </c>
      <c r="H1877">
        <v>0.194710976660217</v>
      </c>
      <c r="I1877">
        <v>-3.3819239464924999</v>
      </c>
      <c r="J1877">
        <v>7.1980069765301103E-4</v>
      </c>
      <c r="K1877">
        <v>5.1393953992445096E-3</v>
      </c>
      <c r="L1877" t="s">
        <v>26</v>
      </c>
      <c r="M1877" t="s">
        <v>27</v>
      </c>
      <c r="N1877">
        <v>92.502058873402305</v>
      </c>
      <c r="O1877">
        <v>119.23015470263699</v>
      </c>
      <c r="P1877">
        <v>72.455987001475805</v>
      </c>
      <c r="Q1877">
        <v>98.552280643013304</v>
      </c>
      <c r="R1877">
        <v>138.04878947617701</v>
      </c>
      <c r="S1877">
        <v>121.08939398872199</v>
      </c>
      <c r="T1877">
        <v>68.744320733718993</v>
      </c>
      <c r="U1877">
        <v>68.520215868337104</v>
      </c>
      <c r="V1877">
        <v>75.036669636191505</v>
      </c>
      <c r="W1877">
        <v>77.522741767655603</v>
      </c>
    </row>
    <row r="1878" spans="1:23" x14ac:dyDescent="0.2">
      <c r="A1878" t="s">
        <v>3763</v>
      </c>
      <c r="B1878" s="3" t="str">
        <f>HYPERLINK("http://www.ncbi.nlm.nih.gov/gene/71276","Ccdc57")</f>
        <v>Ccdc57</v>
      </c>
      <c r="C1878">
        <v>71276</v>
      </c>
      <c r="D1878" t="s">
        <v>3764</v>
      </c>
      <c r="E1878" s="3" t="str">
        <f>HYPERLINK("http://genome.ucsc.edu/cgi-bin/hgTracks?db=mm10&amp;lastVirtModeType=default&amp;lastVirtModeExtraState=&amp;virtModeType=default&amp;virtMode=0&amp;nonVirtPosition=&amp;position=chr11:120826541-120932872","chr11:120826541-120932872")</f>
        <v>chr11:120826541-120932872</v>
      </c>
      <c r="F1878" t="s">
        <v>25</v>
      </c>
      <c r="G1878">
        <v>1.0243957706195601</v>
      </c>
      <c r="H1878">
        <v>0.30291003030507402</v>
      </c>
      <c r="I1878">
        <v>3.3818482986114402</v>
      </c>
      <c r="J1878">
        <v>7.1999893727000999E-4</v>
      </c>
      <c r="K1878">
        <v>5.1393953992445096E-3</v>
      </c>
      <c r="L1878" t="s">
        <v>26</v>
      </c>
      <c r="M1878" t="s">
        <v>27</v>
      </c>
      <c r="N1878">
        <v>37.8848870088759</v>
      </c>
      <c r="O1878">
        <v>20.336477824791899</v>
      </c>
      <c r="P1878">
        <v>51.046193896938902</v>
      </c>
      <c r="Q1878">
        <v>11.692643466120201</v>
      </c>
      <c r="R1878">
        <v>26.5478441300341</v>
      </c>
      <c r="S1878">
        <v>22.768945878221299</v>
      </c>
      <c r="T1878">
        <v>73.327275449300203</v>
      </c>
      <c r="U1878">
        <v>40.683878171825199</v>
      </c>
      <c r="V1878">
        <v>35.311373946442998</v>
      </c>
      <c r="W1878">
        <v>54.862248020187003</v>
      </c>
    </row>
    <row r="1879" spans="1:23" x14ac:dyDescent="0.2">
      <c r="A1879" t="s">
        <v>3765</v>
      </c>
      <c r="B1879" s="3" t="str">
        <f>HYPERLINK("http://www.ncbi.nlm.nih.gov/gene/20352","Sema4b")</f>
        <v>Sema4b</v>
      </c>
      <c r="C1879">
        <v>20352</v>
      </c>
      <c r="D1879" t="s">
        <v>3766</v>
      </c>
      <c r="E1879" s="3" t="str">
        <f>HYPERLINK("http://genome.ucsc.edu/cgi-bin/hgTracks?db=mm10&amp;lastVirtModeType=default&amp;lastVirtModeExtraState=&amp;virtModeType=default&amp;virtMode=0&amp;nonVirtPosition=&amp;position=chr7:80186840-80226524","chr7:80186840-80226524")</f>
        <v>chr7:80186840-80226524</v>
      </c>
      <c r="F1879" t="s">
        <v>30</v>
      </c>
      <c r="G1879">
        <v>0.58430337676662503</v>
      </c>
      <c r="H1879">
        <v>0.17279596332945801</v>
      </c>
      <c r="I1879">
        <v>3.3814642744435699</v>
      </c>
      <c r="J1879">
        <v>7.21006077217904E-4</v>
      </c>
      <c r="K1879">
        <v>5.1438425040090299E-3</v>
      </c>
      <c r="L1879" t="s">
        <v>26</v>
      </c>
      <c r="M1879" t="s">
        <v>27</v>
      </c>
      <c r="N1879">
        <v>94.4167961730694</v>
      </c>
      <c r="O1879">
        <v>72.701094016450497</v>
      </c>
      <c r="P1879">
        <v>110.703572790534</v>
      </c>
      <c r="Q1879">
        <v>77.394163894795795</v>
      </c>
      <c r="R1879">
        <v>73.954708647952202</v>
      </c>
      <c r="S1879">
        <v>66.754409506603395</v>
      </c>
      <c r="T1879">
        <v>100.825003742788</v>
      </c>
      <c r="U1879">
        <v>119.91037776959</v>
      </c>
      <c r="V1879">
        <v>105.198468215445</v>
      </c>
      <c r="W1879">
        <v>116.880441434312</v>
      </c>
    </row>
    <row r="1880" spans="1:23" x14ac:dyDescent="0.2">
      <c r="A1880" t="s">
        <v>3767</v>
      </c>
      <c r="B1880" s="3" t="str">
        <f>HYPERLINK("http://www.ncbi.nlm.nih.gov/gene/245555","C77370")</f>
        <v>C77370</v>
      </c>
      <c r="C1880">
        <v>245555</v>
      </c>
      <c r="D1880" t="s">
        <v>3768</v>
      </c>
      <c r="E1880" s="3" t="str">
        <f>HYPERLINK("http://genome.ucsc.edu/cgi-bin/hgTracks?db=mm10&amp;lastVirtModeType=default&amp;lastVirtModeExtraState=&amp;virtModeType=default&amp;virtMode=0&amp;nonVirtPosition=&amp;position=chrX:104077434-104201117","chrX:104077434-104201117")</f>
        <v>chrX:104077434-104201117</v>
      </c>
      <c r="F1880" t="s">
        <v>25</v>
      </c>
      <c r="G1880">
        <v>-0.46342729012154099</v>
      </c>
      <c r="H1880">
        <v>0.13705846677837</v>
      </c>
      <c r="I1880">
        <v>-3.3812379564330399</v>
      </c>
      <c r="J1880">
        <v>7.2160023053884396E-4</v>
      </c>
      <c r="K1880">
        <v>5.1453400890019499E-3</v>
      </c>
      <c r="L1880" t="s">
        <v>26</v>
      </c>
      <c r="M1880" t="s">
        <v>27</v>
      </c>
      <c r="N1880">
        <v>404.53864120488902</v>
      </c>
      <c r="O1880">
        <v>479.66299486669601</v>
      </c>
      <c r="P1880">
        <v>348.19537595853399</v>
      </c>
      <c r="Q1880">
        <v>505.010839227193</v>
      </c>
      <c r="R1880">
        <v>512.75264662580196</v>
      </c>
      <c r="S1880">
        <v>421.22549874709398</v>
      </c>
      <c r="T1880">
        <v>407.882969686732</v>
      </c>
      <c r="U1880">
        <v>286.92840394866198</v>
      </c>
      <c r="V1880">
        <v>350.90677859277798</v>
      </c>
      <c r="W1880">
        <v>347.06335160596598</v>
      </c>
    </row>
    <row r="1881" spans="1:23" x14ac:dyDescent="0.2">
      <c r="A1881" t="s">
        <v>3769</v>
      </c>
      <c r="B1881" s="3" t="str">
        <f>HYPERLINK("http://www.ncbi.nlm.nih.gov/gene/11803","Aplp1")</f>
        <v>Aplp1</v>
      </c>
      <c r="C1881">
        <v>11803</v>
      </c>
      <c r="D1881" t="s">
        <v>3770</v>
      </c>
      <c r="E1881" s="3" t="str">
        <f>HYPERLINK("http://genome.ucsc.edu/cgi-bin/hgTracks?db=mm10&amp;lastVirtModeType=default&amp;lastVirtModeExtraState=&amp;virtModeType=default&amp;virtMode=0&amp;nonVirtPosition=&amp;position=chr7:30434979-30445582","chr7:30434979-30445582")</f>
        <v>chr7:30434979-30445582</v>
      </c>
      <c r="F1881" t="s">
        <v>25</v>
      </c>
      <c r="G1881">
        <v>-0.65234223700797001</v>
      </c>
      <c r="H1881">
        <v>0.192944681431756</v>
      </c>
      <c r="I1881">
        <v>-3.38098066330324</v>
      </c>
      <c r="J1881">
        <v>7.2227625542573004E-4</v>
      </c>
      <c r="K1881">
        <v>5.1474195510409501E-3</v>
      </c>
      <c r="L1881" t="s">
        <v>26</v>
      </c>
      <c r="M1881" t="s">
        <v>27</v>
      </c>
      <c r="N1881">
        <v>755.02142646034599</v>
      </c>
      <c r="O1881">
        <v>969.45341765070896</v>
      </c>
      <c r="P1881">
        <v>594.19743306757198</v>
      </c>
      <c r="Q1881">
        <v>868.59637176893102</v>
      </c>
      <c r="R1881">
        <v>958.75642801037498</v>
      </c>
      <c r="S1881">
        <v>1081.0074531728201</v>
      </c>
      <c r="T1881">
        <v>389.55115082440699</v>
      </c>
      <c r="U1881">
        <v>835.09013089535904</v>
      </c>
      <c r="V1881">
        <v>570.13155851027796</v>
      </c>
      <c r="W1881">
        <v>582.01689204024501</v>
      </c>
    </row>
    <row r="1882" spans="1:23" x14ac:dyDescent="0.2">
      <c r="A1882" t="s">
        <v>3771</v>
      </c>
      <c r="B1882" s="3" t="str">
        <f>HYPERLINK("http://www.ncbi.nlm.nih.gov/gene/76022","Gon4l")</f>
        <v>Gon4l</v>
      </c>
      <c r="C1882">
        <v>76022</v>
      </c>
      <c r="D1882" t="s">
        <v>3772</v>
      </c>
      <c r="E1882" s="3" t="str">
        <f>HYPERLINK("http://genome.ucsc.edu/cgi-bin/hgTracks?db=mm10&amp;lastVirtModeType=default&amp;lastVirtModeExtraState=&amp;virtModeType=default&amp;virtMode=0&amp;nonVirtPosition=&amp;position=chr3:88835230-88910099","chr3:88835230-88910099")</f>
        <v>chr3:88835230-88910099</v>
      </c>
      <c r="F1882" t="s">
        <v>30</v>
      </c>
      <c r="G1882">
        <v>0.426199605096864</v>
      </c>
      <c r="H1882">
        <v>0.126066282987678</v>
      </c>
      <c r="I1882">
        <v>3.38075808214733</v>
      </c>
      <c r="J1882">
        <v>7.2286155093918304E-4</v>
      </c>
      <c r="K1882">
        <v>5.1488505471418101E-3</v>
      </c>
      <c r="L1882" t="s">
        <v>26</v>
      </c>
      <c r="M1882" t="s">
        <v>27</v>
      </c>
      <c r="N1882">
        <v>221.78638492795201</v>
      </c>
      <c r="O1882">
        <v>183.88084209976401</v>
      </c>
      <c r="P1882">
        <v>250.21554204909401</v>
      </c>
      <c r="Q1882">
        <v>189.30946564194701</v>
      </c>
      <c r="R1882">
        <v>178.62906550351499</v>
      </c>
      <c r="S1882">
        <v>183.70399515383099</v>
      </c>
      <c r="T1882">
        <v>256.64546407255102</v>
      </c>
      <c r="U1882">
        <v>246.24452577683701</v>
      </c>
      <c r="V1882">
        <v>233.202198771301</v>
      </c>
      <c r="W1882">
        <v>264.769979575685</v>
      </c>
    </row>
    <row r="1883" spans="1:23" x14ac:dyDescent="0.2">
      <c r="A1883" t="s">
        <v>3773</v>
      </c>
      <c r="B1883" s="3" t="str">
        <f>HYPERLINK("http://www.ncbi.nlm.nih.gov/gene/67040","Ddx17")</f>
        <v>Ddx17</v>
      </c>
      <c r="C1883">
        <v>67040</v>
      </c>
      <c r="D1883" t="s">
        <v>3774</v>
      </c>
      <c r="E1883" s="3" t="str">
        <f>HYPERLINK("http://genome.ucsc.edu/cgi-bin/hgTracks?db=mm10&amp;lastVirtModeType=default&amp;lastVirtModeExtraState=&amp;virtModeType=default&amp;virtMode=0&amp;nonVirtPosition=&amp;position=chr15:79527695-79546741","chr15:79527695-79546741")</f>
        <v>chr15:79527695-79546741</v>
      </c>
      <c r="F1883" t="s">
        <v>25</v>
      </c>
      <c r="G1883">
        <v>0.43872113921272499</v>
      </c>
      <c r="H1883">
        <v>0.12979944656870601</v>
      </c>
      <c r="I1883">
        <v>3.37999237138889</v>
      </c>
      <c r="J1883">
        <v>7.2487841742773602E-4</v>
      </c>
      <c r="K1883">
        <v>5.1604714980195698E-3</v>
      </c>
      <c r="L1883" t="s">
        <v>26</v>
      </c>
      <c r="M1883" t="s">
        <v>27</v>
      </c>
      <c r="N1883">
        <v>2688.7148011791</v>
      </c>
      <c r="O1883">
        <v>2222.8897522386001</v>
      </c>
      <c r="P1883">
        <v>3038.08358788448</v>
      </c>
      <c r="Q1883">
        <v>2300.1100075496502</v>
      </c>
      <c r="R1883">
        <v>1911.0655224463101</v>
      </c>
      <c r="S1883">
        <v>2457.4937267198402</v>
      </c>
      <c r="T1883">
        <v>3185.1535273289801</v>
      </c>
      <c r="U1883">
        <v>2668.0059053733798</v>
      </c>
      <c r="V1883">
        <v>3203.0358783919401</v>
      </c>
      <c r="W1883">
        <v>3096.1390404436002</v>
      </c>
    </row>
    <row r="1884" spans="1:23" x14ac:dyDescent="0.2">
      <c r="A1884" t="s">
        <v>3775</v>
      </c>
      <c r="B1884" s="3" t="str">
        <f>HYPERLINK("http://www.ncbi.nlm.nih.gov/gene/52187","Rragd")</f>
        <v>Rragd</v>
      </c>
      <c r="C1884">
        <v>52187</v>
      </c>
      <c r="D1884" t="s">
        <v>3776</v>
      </c>
      <c r="E1884" s="3" t="str">
        <f>HYPERLINK("http://genome.ucsc.edu/cgi-bin/hgTracks?db=mm10&amp;lastVirtModeType=default&amp;lastVirtModeExtraState=&amp;virtModeType=default&amp;virtMode=0&amp;nonVirtPosition=&amp;position=chr4:32982997-33022180","chr4:32982997-33022180")</f>
        <v>chr4:32982997-33022180</v>
      </c>
      <c r="F1884" t="s">
        <v>30</v>
      </c>
      <c r="G1884">
        <v>-0.36382687699690103</v>
      </c>
      <c r="H1884">
        <v>0.107651466845939</v>
      </c>
      <c r="I1884">
        <v>-3.3796741248085</v>
      </c>
      <c r="J1884">
        <v>7.2571820928333402E-4</v>
      </c>
      <c r="K1884">
        <v>5.1637048568082501E-3</v>
      </c>
      <c r="L1884" t="s">
        <v>26</v>
      </c>
      <c r="M1884" t="s">
        <v>27</v>
      </c>
      <c r="N1884">
        <v>477.76271021985701</v>
      </c>
      <c r="O1884">
        <v>548.96830899437703</v>
      </c>
      <c r="P1884">
        <v>424.358511138967</v>
      </c>
      <c r="Q1884">
        <v>551.78141309167302</v>
      </c>
      <c r="R1884">
        <v>564.71057013743996</v>
      </c>
      <c r="S1884">
        <v>530.41294375401901</v>
      </c>
      <c r="T1884">
        <v>417.04887911789501</v>
      </c>
      <c r="U1884">
        <v>447.52265989007702</v>
      </c>
      <c r="V1884">
        <v>442.86348157830702</v>
      </c>
      <c r="W1884">
        <v>389.99902396958998</v>
      </c>
    </row>
    <row r="1885" spans="1:23" x14ac:dyDescent="0.2">
      <c r="A1885" t="s">
        <v>3777</v>
      </c>
      <c r="B1885" s="3" t="str">
        <f>HYPERLINK("http://www.ncbi.nlm.nih.gov/gene/107831","Adgrb1")</f>
        <v>Adgrb1</v>
      </c>
      <c r="C1885">
        <v>107831</v>
      </c>
      <c r="D1885" t="s">
        <v>3778</v>
      </c>
      <c r="E1885" s="3" t="str">
        <f>HYPERLINK("http://genome.ucsc.edu/cgi-bin/hgTracks?db=mm10&amp;lastVirtModeType=default&amp;lastVirtModeExtraState=&amp;virtModeType=default&amp;virtMode=0&amp;nonVirtPosition=&amp;position=chr15:74516195-74589464","chr15:74516195-74589464")</f>
        <v>chr15:74516195-74589464</v>
      </c>
      <c r="F1885" t="s">
        <v>30</v>
      </c>
      <c r="G1885">
        <v>0.64759421845226295</v>
      </c>
      <c r="H1885">
        <v>0.19165250185212501</v>
      </c>
      <c r="I1885">
        <v>3.3790021637804402</v>
      </c>
      <c r="J1885">
        <v>7.2749435562638205E-4</v>
      </c>
      <c r="K1885">
        <v>5.1735936888969098E-3</v>
      </c>
      <c r="L1885" t="s">
        <v>26</v>
      </c>
      <c r="M1885" t="s">
        <v>27</v>
      </c>
      <c r="N1885">
        <v>1260.0787472566401</v>
      </c>
      <c r="O1885">
        <v>932.49199300911198</v>
      </c>
      <c r="P1885">
        <v>1505.76881294229</v>
      </c>
      <c r="Q1885">
        <v>1019.48715173648</v>
      </c>
      <c r="R1885">
        <v>673.17747615443704</v>
      </c>
      <c r="S1885">
        <v>1104.8113511364199</v>
      </c>
      <c r="T1885">
        <v>1484.87732784833</v>
      </c>
      <c r="U1885">
        <v>1929.27232804287</v>
      </c>
      <c r="V1885">
        <v>1237.36939537328</v>
      </c>
      <c r="W1885">
        <v>1371.55620050468</v>
      </c>
    </row>
    <row r="1886" spans="1:23" x14ac:dyDescent="0.2">
      <c r="A1886" t="s">
        <v>3779</v>
      </c>
      <c r="B1886" s="3" t="str">
        <f>HYPERLINK("http://www.ncbi.nlm.nih.gov/gene/12527","Cd9")</f>
        <v>Cd9</v>
      </c>
      <c r="C1886">
        <v>12527</v>
      </c>
      <c r="D1886" t="s">
        <v>3780</v>
      </c>
      <c r="E1886" s="3" t="str">
        <f>HYPERLINK("http://genome.ucsc.edu/cgi-bin/hgTracks?db=mm10&amp;lastVirtModeType=default&amp;lastVirtModeExtraState=&amp;virtModeType=default&amp;virtMode=0&amp;nonVirtPosition=&amp;position=chr6:125460265-125494755","chr6:125460265-125494755")</f>
        <v>chr6:125460265-125494755</v>
      </c>
      <c r="F1886" t="s">
        <v>25</v>
      </c>
      <c r="G1886">
        <v>-0.63472756662589802</v>
      </c>
      <c r="H1886">
        <v>0.18785696568501101</v>
      </c>
      <c r="I1886">
        <v>-3.37878110780398</v>
      </c>
      <c r="J1886">
        <v>7.28079539177667E-4</v>
      </c>
      <c r="K1886">
        <v>5.1750069581359597E-3</v>
      </c>
      <c r="L1886" t="s">
        <v>26</v>
      </c>
      <c r="M1886" t="s">
        <v>27</v>
      </c>
      <c r="N1886">
        <v>1293.4623163185599</v>
      </c>
      <c r="O1886">
        <v>1649.19166615325</v>
      </c>
      <c r="P1886">
        <v>1026.66530394254</v>
      </c>
      <c r="Q1886">
        <v>2084.6312922454299</v>
      </c>
      <c r="R1886">
        <v>1396.41660123979</v>
      </c>
      <c r="S1886">
        <v>1466.5271049745299</v>
      </c>
      <c r="T1886">
        <v>820.34889408904598</v>
      </c>
      <c r="U1886">
        <v>867.20898208364201</v>
      </c>
      <c r="V1886">
        <v>1274.15207656749</v>
      </c>
      <c r="W1886">
        <v>1144.9512630299901</v>
      </c>
    </row>
    <row r="1887" spans="1:23" x14ac:dyDescent="0.2">
      <c r="A1887" t="s">
        <v>3781</v>
      </c>
      <c r="B1887" s="3" t="str">
        <f>HYPERLINK("http://www.ncbi.nlm.nih.gov/gene/546336","Prrg1")</f>
        <v>Prrg1</v>
      </c>
      <c r="C1887">
        <v>546336</v>
      </c>
      <c r="D1887" t="s">
        <v>3782</v>
      </c>
      <c r="E1887" s="3" t="str">
        <f>HYPERLINK("http://genome.ucsc.edu/cgi-bin/hgTracks?db=mm10&amp;lastVirtModeType=default&amp;lastVirtModeExtraState=&amp;virtModeType=default&amp;virtMode=0&amp;nonVirtPosition=&amp;position=chrX:78449609-78583897","chrX:78449609-78583897")</f>
        <v>chrX:78449609-78583897</v>
      </c>
      <c r="F1887" t="s">
        <v>25</v>
      </c>
      <c r="G1887">
        <v>-0.88869831506147701</v>
      </c>
      <c r="H1887">
        <v>0.26312852962473199</v>
      </c>
      <c r="I1887">
        <v>-3.3774304760069902</v>
      </c>
      <c r="J1887">
        <v>7.3166446516163396E-4</v>
      </c>
      <c r="K1887">
        <v>5.1977288344718497E-3</v>
      </c>
      <c r="L1887" t="s">
        <v>26</v>
      </c>
      <c r="M1887" t="s">
        <v>27</v>
      </c>
      <c r="N1887">
        <v>135.15470368143801</v>
      </c>
      <c r="O1887">
        <v>187.606345907302</v>
      </c>
      <c r="P1887">
        <v>95.815972012039794</v>
      </c>
      <c r="Q1887">
        <v>263.91966680671402</v>
      </c>
      <c r="R1887">
        <v>163.83812377392499</v>
      </c>
      <c r="S1887">
        <v>135.06124714126699</v>
      </c>
      <c r="T1887">
        <v>146.65455089860001</v>
      </c>
      <c r="U1887">
        <v>53.531418647138402</v>
      </c>
      <c r="V1887">
        <v>100.78454647213999</v>
      </c>
      <c r="W1887">
        <v>82.293372030280594</v>
      </c>
    </row>
    <row r="1888" spans="1:23" x14ac:dyDescent="0.2">
      <c r="A1888" t="s">
        <v>3783</v>
      </c>
      <c r="B1888" s="3" t="str">
        <f>HYPERLINK("http://www.ncbi.nlm.nih.gov/gene/20371","Foxp3")</f>
        <v>Foxp3</v>
      </c>
      <c r="C1888">
        <v>20371</v>
      </c>
      <c r="D1888" t="s">
        <v>3784</v>
      </c>
      <c r="E1888" s="3" t="str">
        <f>HYPERLINK("http://genome.ucsc.edu/cgi-bin/hgTracks?db=mm10&amp;lastVirtModeType=default&amp;lastVirtModeExtraState=&amp;virtModeType=default&amp;virtMode=0&amp;nonVirtPosition=&amp;position=chrX:7579675-7595243","chrX:7579675-7595243")</f>
        <v>chrX:7579675-7595243</v>
      </c>
      <c r="F1888" t="s">
        <v>30</v>
      </c>
      <c r="G1888">
        <v>1.2462068769388399</v>
      </c>
      <c r="H1888">
        <v>0.36904603595545898</v>
      </c>
      <c r="I1888">
        <v>3.3768331197824999</v>
      </c>
      <c r="J1888">
        <v>7.3325522667095201E-4</v>
      </c>
      <c r="K1888">
        <v>5.2062676247882902E-3</v>
      </c>
      <c r="L1888" t="s">
        <v>26</v>
      </c>
      <c r="M1888" t="s">
        <v>27</v>
      </c>
      <c r="N1888">
        <v>12.4055275628087</v>
      </c>
      <c r="O1888">
        <v>4.6332698319052303</v>
      </c>
      <c r="P1888">
        <v>18.2347208609863</v>
      </c>
      <c r="Q1888">
        <v>3.8975478220400701</v>
      </c>
      <c r="R1888">
        <v>3.7925491614334499</v>
      </c>
      <c r="S1888">
        <v>6.2097125122421701</v>
      </c>
      <c r="T1888">
        <v>32.0806830090688</v>
      </c>
      <c r="U1888">
        <v>12.847540475313201</v>
      </c>
      <c r="V1888">
        <v>12.506111606031901</v>
      </c>
      <c r="W1888">
        <v>15.504548353531099</v>
      </c>
    </row>
    <row r="1889" spans="1:23" x14ac:dyDescent="0.2">
      <c r="A1889" t="s">
        <v>3785</v>
      </c>
      <c r="B1889" s="3" t="str">
        <f>HYPERLINK("http://www.ncbi.nlm.nih.gov/gene/100037278","Fam129c")</f>
        <v>Fam129c</v>
      </c>
      <c r="C1889">
        <v>100037278</v>
      </c>
      <c r="D1889" t="s">
        <v>3786</v>
      </c>
      <c r="E1889" s="3" t="str">
        <f>HYPERLINK("http://genome.ucsc.edu/cgi-bin/hgTracks?db=mm10&amp;lastVirtModeType=default&amp;lastVirtModeExtraState=&amp;virtModeType=default&amp;virtMode=0&amp;nonVirtPosition=&amp;position=chr8:71597645-71608149","chr8:71597645-71608149")</f>
        <v>chr8:71597645-71608149</v>
      </c>
      <c r="F1889" t="s">
        <v>30</v>
      </c>
      <c r="G1889">
        <v>1.20970966341078</v>
      </c>
      <c r="H1889">
        <v>0.35833136858912401</v>
      </c>
      <c r="I1889">
        <v>3.3759524547734499</v>
      </c>
      <c r="J1889">
        <v>7.3560630049603005E-4</v>
      </c>
      <c r="K1889">
        <v>5.2201928828523297E-3</v>
      </c>
      <c r="L1889" t="s">
        <v>26</v>
      </c>
      <c r="M1889" t="s">
        <v>27</v>
      </c>
      <c r="N1889">
        <v>16.583453787559801</v>
      </c>
      <c r="O1889">
        <v>6.96064731909666</v>
      </c>
      <c r="P1889">
        <v>23.800558638907098</v>
      </c>
      <c r="Q1889">
        <v>9.4654732820973209</v>
      </c>
      <c r="R1889">
        <v>4.1718040775767902</v>
      </c>
      <c r="S1889">
        <v>7.2446645976158699</v>
      </c>
      <c r="T1889">
        <v>36.663637724650101</v>
      </c>
      <c r="U1889">
        <v>17.130053967084301</v>
      </c>
      <c r="V1889">
        <v>13.977418853800399</v>
      </c>
      <c r="W1889">
        <v>27.431124010093502</v>
      </c>
    </row>
    <row r="1890" spans="1:23" x14ac:dyDescent="0.2">
      <c r="A1890" t="s">
        <v>3787</v>
      </c>
      <c r="B1890" s="3" t="str">
        <f>HYPERLINK("http://www.ncbi.nlm.nih.gov/gene/12703","Socs1")</f>
        <v>Socs1</v>
      </c>
      <c r="C1890">
        <v>12703</v>
      </c>
      <c r="D1890" t="s">
        <v>3788</v>
      </c>
      <c r="E1890" s="3" t="str">
        <f>HYPERLINK("http://genome.ucsc.edu/cgi-bin/hgTracks?db=mm10&amp;lastVirtModeType=default&amp;lastVirtModeExtraState=&amp;virtModeType=default&amp;virtMode=0&amp;nonVirtPosition=&amp;position=chr16:10783808-10785536","chr16:10783808-10785536")</f>
        <v>chr16:10783808-10785536</v>
      </c>
      <c r="F1890" t="s">
        <v>25</v>
      </c>
      <c r="G1890">
        <v>1.28950097568605</v>
      </c>
      <c r="H1890">
        <v>0.38222908954684498</v>
      </c>
      <c r="I1890">
        <v>3.3736337996012402</v>
      </c>
      <c r="J1890">
        <v>7.4182984299603501E-4</v>
      </c>
      <c r="K1890">
        <v>5.2615696120550401E-3</v>
      </c>
      <c r="L1890" t="s">
        <v>26</v>
      </c>
      <c r="M1890" t="s">
        <v>27</v>
      </c>
      <c r="N1890">
        <v>12.6332148733004</v>
      </c>
      <c r="O1890">
        <v>4.1867758203349004</v>
      </c>
      <c r="P1890">
        <v>18.968044163024501</v>
      </c>
      <c r="Q1890">
        <v>4.4543403680458002</v>
      </c>
      <c r="R1890">
        <v>1.8962745807167201</v>
      </c>
      <c r="S1890">
        <v>6.2097125122421701</v>
      </c>
      <c r="T1890">
        <v>36.663637724650101</v>
      </c>
      <c r="U1890">
        <v>12.847540475313201</v>
      </c>
      <c r="V1890">
        <v>13.241765229916099</v>
      </c>
      <c r="W1890">
        <v>13.1192332222186</v>
      </c>
    </row>
    <row r="1891" spans="1:23" x14ac:dyDescent="0.2">
      <c r="A1891" t="s">
        <v>3789</v>
      </c>
      <c r="B1891" s="3" t="str">
        <f>HYPERLINK("http://www.ncbi.nlm.nih.gov/gene/68041","Mid1ip1")</f>
        <v>Mid1ip1</v>
      </c>
      <c r="C1891">
        <v>68041</v>
      </c>
      <c r="D1891" t="s">
        <v>3790</v>
      </c>
      <c r="E1891" s="3" t="str">
        <f>HYPERLINK("http://genome.ucsc.edu/cgi-bin/hgTracks?db=mm10&amp;lastVirtModeType=default&amp;lastVirtModeExtraState=&amp;virtModeType=default&amp;virtMode=0&amp;nonVirtPosition=&amp;position=chrX:10717364-10719702","chrX:10717364-10719702")</f>
        <v>chrX:10717364-10719702</v>
      </c>
      <c r="F1891" t="s">
        <v>30</v>
      </c>
      <c r="G1891">
        <v>-0.61380361093619296</v>
      </c>
      <c r="H1891">
        <v>0.181973253710486</v>
      </c>
      <c r="I1891">
        <v>-3.3730430072583002</v>
      </c>
      <c r="J1891">
        <v>7.4342339803885795E-4</v>
      </c>
      <c r="K1891">
        <v>5.2700808486703804E-3</v>
      </c>
      <c r="L1891" t="s">
        <v>26</v>
      </c>
      <c r="M1891" t="s">
        <v>27</v>
      </c>
      <c r="N1891">
        <v>224.373967207497</v>
      </c>
      <c r="O1891">
        <v>283.72752493538002</v>
      </c>
      <c r="P1891">
        <v>179.85879891158501</v>
      </c>
      <c r="Q1891">
        <v>254.45419352461599</v>
      </c>
      <c r="R1891">
        <v>329.193267212423</v>
      </c>
      <c r="S1891">
        <v>267.53511406910002</v>
      </c>
      <c r="T1891">
        <v>137.48864146743799</v>
      </c>
      <c r="U1891">
        <v>241.96201228506499</v>
      </c>
      <c r="V1891">
        <v>151.54464652015099</v>
      </c>
      <c r="W1891">
        <v>188.439895373686</v>
      </c>
    </row>
    <row r="1892" spans="1:23" x14ac:dyDescent="0.2">
      <c r="A1892" t="s">
        <v>3791</v>
      </c>
      <c r="B1892" s="3" t="str">
        <f>HYPERLINK("http://www.ncbi.nlm.nih.gov/gene/30924","Angptl3")</f>
        <v>Angptl3</v>
      </c>
      <c r="C1892">
        <v>30924</v>
      </c>
      <c r="D1892" t="s">
        <v>3792</v>
      </c>
      <c r="E1892" s="3" t="str">
        <f>HYPERLINK("http://genome.ucsc.edu/cgi-bin/hgTracks?db=mm10&amp;lastVirtModeType=default&amp;lastVirtModeExtraState=&amp;virtModeType=default&amp;virtMode=0&amp;nonVirtPosition=&amp;position=chr4:99030953-99038192","chr4:99030953-99038192")</f>
        <v>chr4:99030953-99038192</v>
      </c>
      <c r="F1892" t="s">
        <v>30</v>
      </c>
      <c r="G1892">
        <v>1.1838651543540299</v>
      </c>
      <c r="H1892">
        <v>0.35102571143545702</v>
      </c>
      <c r="I1892">
        <v>3.3725881489216798</v>
      </c>
      <c r="J1892">
        <v>7.4465246129304602E-4</v>
      </c>
      <c r="K1892">
        <v>5.2760005868651696E-3</v>
      </c>
      <c r="L1892" t="s">
        <v>26</v>
      </c>
      <c r="M1892" t="s">
        <v>27</v>
      </c>
      <c r="N1892">
        <v>13.686716993202401</v>
      </c>
      <c r="O1892">
        <v>6.6106176750053303</v>
      </c>
      <c r="P1892">
        <v>18.993791481850302</v>
      </c>
      <c r="Q1892">
        <v>7.79509564408015</v>
      </c>
      <c r="R1892">
        <v>5.3095688260068199</v>
      </c>
      <c r="S1892">
        <v>6.72718855492902</v>
      </c>
      <c r="T1892">
        <v>18.3318188623251</v>
      </c>
      <c r="U1892">
        <v>10.7062837294277</v>
      </c>
      <c r="V1892">
        <v>24.276569588179601</v>
      </c>
      <c r="W1892">
        <v>22.6604937474686</v>
      </c>
    </row>
    <row r="1893" spans="1:23" x14ac:dyDescent="0.2">
      <c r="A1893" t="s">
        <v>3793</v>
      </c>
      <c r="B1893" s="3" t="str">
        <f>HYPERLINK("http://www.ncbi.nlm.nih.gov/gene/384061","Fndc5")</f>
        <v>Fndc5</v>
      </c>
      <c r="C1893">
        <v>384061</v>
      </c>
      <c r="D1893" t="s">
        <v>3794</v>
      </c>
      <c r="E1893" s="3" t="str">
        <f>HYPERLINK("http://genome.ucsc.edu/cgi-bin/hgTracks?db=mm10&amp;lastVirtModeType=default&amp;lastVirtModeExtraState=&amp;virtModeType=default&amp;virtMode=0&amp;nonVirtPosition=&amp;position=chr4:129136998-129144593","chr4:129136998-129144593")</f>
        <v>chr4:129136998-129144593</v>
      </c>
      <c r="F1893" t="s">
        <v>30</v>
      </c>
      <c r="G1893">
        <v>-1.1355975326187899</v>
      </c>
      <c r="H1893">
        <v>0.336932736870031</v>
      </c>
      <c r="I1893">
        <v>-3.37039832688279</v>
      </c>
      <c r="J1893">
        <v>7.5059598961629002E-4</v>
      </c>
      <c r="K1893">
        <v>5.3139982449420999E-3</v>
      </c>
      <c r="L1893" t="s">
        <v>26</v>
      </c>
      <c r="M1893" t="s">
        <v>27</v>
      </c>
      <c r="N1893">
        <v>56.0706857510093</v>
      </c>
      <c r="O1893">
        <v>88.963288253700895</v>
      </c>
      <c r="P1893">
        <v>31.401233873990702</v>
      </c>
      <c r="Q1893">
        <v>109.131339017122</v>
      </c>
      <c r="R1893">
        <v>119.465298585154</v>
      </c>
      <c r="S1893">
        <v>38.293227158826703</v>
      </c>
      <c r="T1893">
        <v>18.3318188623251</v>
      </c>
      <c r="U1893">
        <v>42.825134917710699</v>
      </c>
      <c r="V1893">
        <v>19.126994220989999</v>
      </c>
      <c r="W1893">
        <v>45.3209874949371</v>
      </c>
    </row>
    <row r="1894" spans="1:23" x14ac:dyDescent="0.2">
      <c r="A1894" t="s">
        <v>3795</v>
      </c>
      <c r="B1894" s="3" t="str">
        <f>HYPERLINK("http://www.ncbi.nlm.nih.gov/gene/56802","Nespas")</f>
        <v>Nespas</v>
      </c>
      <c r="C1894">
        <v>56802</v>
      </c>
      <c r="D1894" t="s">
        <v>3796</v>
      </c>
      <c r="E1894" s="3" t="str">
        <f>HYPERLINK("http://genome.ucsc.edu/cgi-bin/hgTracks?db=mm10&amp;lastVirtModeType=default&amp;lastVirtModeExtraState=&amp;virtModeType=default&amp;virtMode=0&amp;nonVirtPosition=&amp;position=chr2:174281236-174295436","chr2:174281236-174295436")</f>
        <v>chr2:174281236-174295436</v>
      </c>
      <c r="F1894" t="s">
        <v>25</v>
      </c>
      <c r="G1894">
        <v>1.10752737906974</v>
      </c>
      <c r="H1894">
        <v>0.32861192517796001</v>
      </c>
      <c r="I1894">
        <v>3.3703201077378999</v>
      </c>
      <c r="J1894">
        <v>7.5080910159289497E-4</v>
      </c>
      <c r="K1894">
        <v>5.3139982449420999E-3</v>
      </c>
      <c r="L1894" t="s">
        <v>26</v>
      </c>
      <c r="M1894" t="s">
        <v>27</v>
      </c>
      <c r="N1894">
        <v>22.216503583186899</v>
      </c>
      <c r="O1894">
        <v>12.0831508456822</v>
      </c>
      <c r="P1894">
        <v>29.816518136315601</v>
      </c>
      <c r="Q1894">
        <v>7.79509564408015</v>
      </c>
      <c r="R1894">
        <v>11.377647484300301</v>
      </c>
      <c r="S1894">
        <v>17.076709408666002</v>
      </c>
      <c r="T1894">
        <v>13.7488641467438</v>
      </c>
      <c r="U1894">
        <v>32.118851188283003</v>
      </c>
      <c r="V1894">
        <v>41.1966029375169</v>
      </c>
      <c r="W1894">
        <v>32.201754272718503</v>
      </c>
    </row>
    <row r="1895" spans="1:23" x14ac:dyDescent="0.2">
      <c r="A1895" t="s">
        <v>3797</v>
      </c>
      <c r="B1895" s="3" t="str">
        <f>HYPERLINK("http://www.ncbi.nlm.nih.gov/gene/69008","Cab39l")</f>
        <v>Cab39l</v>
      </c>
      <c r="C1895">
        <v>69008</v>
      </c>
      <c r="D1895" t="s">
        <v>3798</v>
      </c>
      <c r="E1895" s="3" t="str">
        <f>HYPERLINK("http://genome.ucsc.edu/cgi-bin/hgTracks?db=mm10&amp;lastVirtModeType=default&amp;lastVirtModeExtraState=&amp;virtModeType=default&amp;virtMode=0&amp;nonVirtPosition=&amp;position=chr14:59440980-59548903","chr14:59440980-59548903")</f>
        <v>chr14:59440980-59548903</v>
      </c>
      <c r="F1895" t="s">
        <v>30</v>
      </c>
      <c r="G1895">
        <v>-0.64370057676632098</v>
      </c>
      <c r="H1895">
        <v>0.19109730928987001</v>
      </c>
      <c r="I1895">
        <v>-3.3684439574704301</v>
      </c>
      <c r="J1895">
        <v>7.5593763509460596E-4</v>
      </c>
      <c r="K1895">
        <v>5.3474700853417103E-3</v>
      </c>
      <c r="L1895" t="s">
        <v>26</v>
      </c>
      <c r="M1895" t="s">
        <v>27</v>
      </c>
      <c r="N1895">
        <v>144.04191356482801</v>
      </c>
      <c r="O1895">
        <v>184.007601065816</v>
      </c>
      <c r="P1895">
        <v>114.067647939088</v>
      </c>
      <c r="Q1895">
        <v>183.74154018188901</v>
      </c>
      <c r="R1895">
        <v>212.00349812413</v>
      </c>
      <c r="S1895">
        <v>156.27776489142801</v>
      </c>
      <c r="T1895">
        <v>114.573867889532</v>
      </c>
      <c r="U1895">
        <v>94.215296818963594</v>
      </c>
      <c r="V1895">
        <v>100.78454647213999</v>
      </c>
      <c r="W1895">
        <v>146.69688057571801</v>
      </c>
    </row>
    <row r="1896" spans="1:23" x14ac:dyDescent="0.2">
      <c r="A1896" t="s">
        <v>3799</v>
      </c>
      <c r="B1896" s="3" t="str">
        <f>HYPERLINK("http://www.ncbi.nlm.nih.gov/gene/11990","Atrn")</f>
        <v>Atrn</v>
      </c>
      <c r="C1896">
        <v>11990</v>
      </c>
      <c r="D1896" t="s">
        <v>3800</v>
      </c>
      <c r="E1896" s="3" t="str">
        <f>HYPERLINK("http://genome.ucsc.edu/cgi-bin/hgTracks?db=mm10&amp;lastVirtModeType=default&amp;lastVirtModeExtraState=&amp;virtModeType=default&amp;virtMode=0&amp;nonVirtPosition=&amp;position=chr2:130906494-131030326","chr2:130906494-131030326")</f>
        <v>chr2:130906494-131030326</v>
      </c>
      <c r="F1896" t="s">
        <v>30</v>
      </c>
      <c r="G1896">
        <v>-0.38457297160439002</v>
      </c>
      <c r="H1896">
        <v>0.114193518943006</v>
      </c>
      <c r="I1896">
        <v>-3.3677302807029701</v>
      </c>
      <c r="J1896">
        <v>7.5789702587618195E-4</v>
      </c>
      <c r="K1896">
        <v>5.3556723343049896E-3</v>
      </c>
      <c r="L1896" t="s">
        <v>26</v>
      </c>
      <c r="M1896" t="s">
        <v>27</v>
      </c>
      <c r="N1896">
        <v>726.08171651580199</v>
      </c>
      <c r="O1896">
        <v>846.60500602269894</v>
      </c>
      <c r="P1896">
        <v>635.68924938562895</v>
      </c>
      <c r="Q1896">
        <v>893.65203633918895</v>
      </c>
      <c r="R1896">
        <v>800.60712797860003</v>
      </c>
      <c r="S1896">
        <v>845.55585375030898</v>
      </c>
      <c r="T1896">
        <v>531.62274700742705</v>
      </c>
      <c r="U1896">
        <v>668.07210471628696</v>
      </c>
      <c r="V1896">
        <v>687.10048470787103</v>
      </c>
      <c r="W1896">
        <v>655.96166111093203</v>
      </c>
    </row>
    <row r="1897" spans="1:23" x14ac:dyDescent="0.2">
      <c r="A1897" t="s">
        <v>3801</v>
      </c>
      <c r="B1897" s="3" t="str">
        <f>HYPERLINK("http://www.ncbi.nlm.nih.gov/gene/66889","Rnf128")</f>
        <v>Rnf128</v>
      </c>
      <c r="C1897">
        <v>66889</v>
      </c>
      <c r="D1897" t="s">
        <v>3802</v>
      </c>
      <c r="E1897" s="3" t="str">
        <f>HYPERLINK("http://genome.ucsc.edu/cgi-bin/hgTracks?db=mm10&amp;lastVirtModeType=default&amp;lastVirtModeExtraState=&amp;virtModeType=default&amp;virtMode=0&amp;nonVirtPosition=&amp;position=chrX:139610619-139673145","chrX:139610619-139673145")</f>
        <v>chrX:139610619-139673145</v>
      </c>
      <c r="F1897" t="s">
        <v>30</v>
      </c>
      <c r="G1897">
        <v>-0.95765552847157898</v>
      </c>
      <c r="H1897">
        <v>0.28439486379338402</v>
      </c>
      <c r="I1897">
        <v>-3.3673446689505799</v>
      </c>
      <c r="J1897">
        <v>7.5895767959052696E-4</v>
      </c>
      <c r="K1897">
        <v>5.3603387591755003E-3</v>
      </c>
      <c r="L1897" t="s">
        <v>26</v>
      </c>
      <c r="M1897" t="s">
        <v>27</v>
      </c>
      <c r="N1897">
        <v>51.2927088243759</v>
      </c>
      <c r="O1897">
        <v>75.160894692352002</v>
      </c>
      <c r="P1897">
        <v>33.391569423394003</v>
      </c>
      <c r="Q1897">
        <v>108.01775392511099</v>
      </c>
      <c r="R1897">
        <v>61.060041499078501</v>
      </c>
      <c r="S1897">
        <v>56.404888652866397</v>
      </c>
      <c r="T1897">
        <v>22.914773577906299</v>
      </c>
      <c r="U1897">
        <v>44.966391663596198</v>
      </c>
      <c r="V1897">
        <v>38.253988441979999</v>
      </c>
      <c r="W1897">
        <v>27.431124010093502</v>
      </c>
    </row>
    <row r="1898" spans="1:23" x14ac:dyDescent="0.2">
      <c r="A1898" t="s">
        <v>3803</v>
      </c>
      <c r="B1898" s="3" t="str">
        <f>HYPERLINK("http://www.ncbi.nlm.nih.gov/gene/78754","Galnt15")</f>
        <v>Galnt15</v>
      </c>
      <c r="C1898">
        <v>78754</v>
      </c>
      <c r="D1898" t="s">
        <v>3804</v>
      </c>
      <c r="E1898" s="3" t="str">
        <f>HYPERLINK("http://genome.ucsc.edu/cgi-bin/hgTracks?db=mm10&amp;lastVirtModeType=default&amp;lastVirtModeExtraState=&amp;virtModeType=default&amp;virtMode=0&amp;nonVirtPosition=&amp;position=chr14:32029102-32058326","chr14:32029102-32058326")</f>
        <v>chr14:32029102-32058326</v>
      </c>
      <c r="F1898" t="s">
        <v>30</v>
      </c>
      <c r="G1898">
        <v>-1.07994752480926</v>
      </c>
      <c r="H1898">
        <v>0.32073289707397201</v>
      </c>
      <c r="I1898">
        <v>-3.3671242789921298</v>
      </c>
      <c r="J1898">
        <v>7.5956449731790496E-4</v>
      </c>
      <c r="K1898">
        <v>5.3617966175983503E-3</v>
      </c>
      <c r="L1898" t="s">
        <v>26</v>
      </c>
      <c r="M1898" t="s">
        <v>27</v>
      </c>
      <c r="N1898">
        <v>18.5839553815755</v>
      </c>
      <c r="O1898">
        <v>28.616170457870499</v>
      </c>
      <c r="P1898">
        <v>11.059794074354301</v>
      </c>
      <c r="Q1898">
        <v>23.9420794782462</v>
      </c>
      <c r="R1898">
        <v>30.340393291467599</v>
      </c>
      <c r="S1898">
        <v>31.566038603897699</v>
      </c>
      <c r="T1898">
        <v>9.1659094311625307</v>
      </c>
      <c r="U1898">
        <v>12.847540475313201</v>
      </c>
      <c r="V1898">
        <v>10.2991507343792</v>
      </c>
      <c r="W1898">
        <v>11.926575656562401</v>
      </c>
    </row>
    <row r="1899" spans="1:23" x14ac:dyDescent="0.2">
      <c r="A1899" t="s">
        <v>3805</v>
      </c>
      <c r="B1899" s="3" t="str">
        <f>HYPERLINK("http://www.ncbi.nlm.nih.gov/gene/12035","Bcat1")</f>
        <v>Bcat1</v>
      </c>
      <c r="C1899">
        <v>12035</v>
      </c>
      <c r="D1899" t="s">
        <v>3806</v>
      </c>
      <c r="E1899" s="3" t="str">
        <f>HYPERLINK("http://genome.ucsc.edu/cgi-bin/hgTracks?db=mm10&amp;lastVirtModeType=default&amp;lastVirtModeExtraState=&amp;virtModeType=default&amp;virtMode=0&amp;nonVirtPosition=&amp;position=chr6:144993834-145048812","chr6:144993834-145048812")</f>
        <v>chr6:144993834-145048812</v>
      </c>
      <c r="F1899" t="s">
        <v>25</v>
      </c>
      <c r="G1899">
        <v>-0.58783644599526597</v>
      </c>
      <c r="H1899">
        <v>0.174678974767732</v>
      </c>
      <c r="I1899">
        <v>-3.3652387001750101</v>
      </c>
      <c r="J1899">
        <v>7.6477466158760997E-4</v>
      </c>
      <c r="K1899">
        <v>5.3957310291463103E-3</v>
      </c>
      <c r="L1899" t="s">
        <v>26</v>
      </c>
      <c r="M1899" t="s">
        <v>27</v>
      </c>
      <c r="N1899">
        <v>630.51522682449604</v>
      </c>
      <c r="O1899">
        <v>789.85272053779204</v>
      </c>
      <c r="P1899">
        <v>511.01210653952302</v>
      </c>
      <c r="Q1899">
        <v>567.92839692583902</v>
      </c>
      <c r="R1899">
        <v>829.80975652163795</v>
      </c>
      <c r="S1899">
        <v>971.82000816590005</v>
      </c>
      <c r="T1899">
        <v>439.96365269580099</v>
      </c>
      <c r="U1899">
        <v>528.89041623372702</v>
      </c>
      <c r="V1899">
        <v>538.49845268325601</v>
      </c>
      <c r="W1899">
        <v>536.69590454530805</v>
      </c>
    </row>
    <row r="1900" spans="1:23" x14ac:dyDescent="0.2">
      <c r="A1900" t="s">
        <v>3807</v>
      </c>
      <c r="B1900" s="3" t="str">
        <f>HYPERLINK("http://www.ncbi.nlm.nih.gov/gene/667370","Ifit3b")</f>
        <v>Ifit3b</v>
      </c>
      <c r="C1900">
        <v>667370</v>
      </c>
      <c r="D1900" t="s">
        <v>3808</v>
      </c>
      <c r="E1900" s="3" t="str">
        <f>HYPERLINK("http://genome.ucsc.edu/cgi-bin/hgTracks?db=mm10&amp;lastVirtModeType=default&amp;lastVirtModeExtraState=&amp;virtModeType=default&amp;virtMode=0&amp;nonVirtPosition=&amp;position=chr19:34607956-34613401","chr19:34607956-34613401")</f>
        <v>chr19:34607956-34613401</v>
      </c>
      <c r="F1900" t="s">
        <v>30</v>
      </c>
      <c r="G1900">
        <v>-1.20200800199261</v>
      </c>
      <c r="H1900">
        <v>0.35722964634159399</v>
      </c>
      <c r="I1900">
        <v>-3.3648047252025002</v>
      </c>
      <c r="J1900">
        <v>7.6597849386218504E-4</v>
      </c>
      <c r="K1900">
        <v>5.4013786262814799E-3</v>
      </c>
      <c r="L1900" t="s">
        <v>26</v>
      </c>
      <c r="M1900" t="s">
        <v>27</v>
      </c>
      <c r="N1900">
        <v>35.079826810608097</v>
      </c>
      <c r="O1900">
        <v>58.257088959444701</v>
      </c>
      <c r="P1900">
        <v>17.696880198980701</v>
      </c>
      <c r="Q1900">
        <v>86.859637176893102</v>
      </c>
      <c r="R1900">
        <v>41.338785859624601</v>
      </c>
      <c r="S1900">
        <v>46.572843841816301</v>
      </c>
      <c r="T1900">
        <v>18.3318188623251</v>
      </c>
      <c r="U1900">
        <v>2.1412567458855398</v>
      </c>
      <c r="V1900">
        <v>16.920033349337299</v>
      </c>
      <c r="W1900">
        <v>33.394411838374701</v>
      </c>
    </row>
    <row r="1901" spans="1:23" x14ac:dyDescent="0.2">
      <c r="A1901" t="s">
        <v>3809</v>
      </c>
      <c r="B1901" s="3" t="str">
        <f>HYPERLINK("http://www.ncbi.nlm.nih.gov/gene/16826","Ldb2")</f>
        <v>Ldb2</v>
      </c>
      <c r="C1901">
        <v>16826</v>
      </c>
      <c r="D1901" t="s">
        <v>3810</v>
      </c>
      <c r="E1901" s="3" t="str">
        <f>HYPERLINK("http://genome.ucsc.edu/cgi-bin/hgTracks?db=mm10&amp;lastVirtModeType=default&amp;lastVirtModeExtraState=&amp;virtModeType=default&amp;virtMode=0&amp;nonVirtPosition=&amp;position=chr5:44472132-44799746","chr5:44472132-44799746")</f>
        <v>chr5:44472132-44799746</v>
      </c>
      <c r="F1901" t="s">
        <v>25</v>
      </c>
      <c r="G1901">
        <v>-0.75359088209421399</v>
      </c>
      <c r="H1901">
        <v>0.224048007085875</v>
      </c>
      <c r="I1901">
        <v>-3.3635241477750402</v>
      </c>
      <c r="J1901">
        <v>7.6954103660984796E-4</v>
      </c>
      <c r="K1901">
        <v>5.4236442217065698E-3</v>
      </c>
      <c r="L1901" t="s">
        <v>26</v>
      </c>
      <c r="M1901" t="s">
        <v>27</v>
      </c>
      <c r="N1901">
        <v>59.986520636349603</v>
      </c>
      <c r="O1901">
        <v>78.915773442658804</v>
      </c>
      <c r="P1901">
        <v>45.789581031617701</v>
      </c>
      <c r="Q1901">
        <v>84.075674446864497</v>
      </c>
      <c r="R1901">
        <v>87.987140545255997</v>
      </c>
      <c r="S1901">
        <v>64.684505335856002</v>
      </c>
      <c r="T1901">
        <v>50.4125018713939</v>
      </c>
      <c r="U1901">
        <v>49.248905155367297</v>
      </c>
      <c r="V1901">
        <v>44.139217433053801</v>
      </c>
      <c r="W1901">
        <v>39.357699666655897</v>
      </c>
    </row>
    <row r="1902" spans="1:23" x14ac:dyDescent="0.2">
      <c r="A1902" t="s">
        <v>3811</v>
      </c>
      <c r="B1902" s="3" t="str">
        <f>HYPERLINK("http://www.ncbi.nlm.nih.gov/gene/74735","Trim14")</f>
        <v>Trim14</v>
      </c>
      <c r="C1902">
        <v>74735</v>
      </c>
      <c r="D1902" t="s">
        <v>3812</v>
      </c>
      <c r="E1902" s="3" t="str">
        <f>HYPERLINK("http://genome.ucsc.edu/cgi-bin/hgTracks?db=mm10&amp;lastVirtModeType=default&amp;lastVirtModeExtraState=&amp;virtModeType=default&amp;virtMode=0&amp;nonVirtPosition=&amp;position=chr4:46505071-46536141","chr4:46505071-46536141")</f>
        <v>chr4:46505071-46536141</v>
      </c>
      <c r="F1902" t="s">
        <v>25</v>
      </c>
      <c r="G1902">
        <v>1.1802385397583799</v>
      </c>
      <c r="H1902">
        <v>0.35096739213408901</v>
      </c>
      <c r="I1902">
        <v>3.36281536749564</v>
      </c>
      <c r="J1902">
        <v>7.7151945756715704E-4</v>
      </c>
      <c r="K1902">
        <v>5.4347275414422897E-3</v>
      </c>
      <c r="L1902" t="s">
        <v>26</v>
      </c>
      <c r="M1902" t="s">
        <v>27</v>
      </c>
      <c r="N1902">
        <v>17.279811412503999</v>
      </c>
      <c r="O1902">
        <v>7.3728704429815499</v>
      </c>
      <c r="P1902">
        <v>24.710017139645899</v>
      </c>
      <c r="Q1902">
        <v>8.9086807360916005</v>
      </c>
      <c r="R1902">
        <v>4.9303139098634796</v>
      </c>
      <c r="S1902">
        <v>8.2796166829895608</v>
      </c>
      <c r="T1902">
        <v>41.246592440231403</v>
      </c>
      <c r="U1902">
        <v>21.412567458855399</v>
      </c>
      <c r="V1902">
        <v>14.7130724776846</v>
      </c>
      <c r="W1902">
        <v>21.467836181812299</v>
      </c>
    </row>
    <row r="1903" spans="1:23" x14ac:dyDescent="0.2">
      <c r="A1903" t="s">
        <v>3813</v>
      </c>
      <c r="B1903" s="3" t="str">
        <f>HYPERLINK("http://www.ncbi.nlm.nih.gov/gene/140723","Cacng5")</f>
        <v>Cacng5</v>
      </c>
      <c r="C1903">
        <v>140723</v>
      </c>
      <c r="D1903" t="s">
        <v>3814</v>
      </c>
      <c r="E1903" s="3" t="str">
        <f>HYPERLINK("http://genome.ucsc.edu/cgi-bin/hgTracks?db=mm10&amp;lastVirtModeType=default&amp;lastVirtModeExtraState=&amp;virtModeType=default&amp;virtMode=0&amp;nonVirtPosition=&amp;position=chr11:107874604-107911362","chr11:107874604-107911362")</f>
        <v>chr11:107874604-107911362</v>
      </c>
      <c r="F1903" t="s">
        <v>25</v>
      </c>
      <c r="G1903">
        <v>-1.2106132948394499</v>
      </c>
      <c r="H1903">
        <v>0.36007470927574697</v>
      </c>
      <c r="I1903">
        <v>-3.3621169819854302</v>
      </c>
      <c r="J1903">
        <v>7.7347348135186299E-4</v>
      </c>
      <c r="K1903">
        <v>5.4429722956619402E-3</v>
      </c>
      <c r="L1903" t="s">
        <v>26</v>
      </c>
      <c r="M1903" t="s">
        <v>27</v>
      </c>
      <c r="N1903">
        <v>170.80628486970801</v>
      </c>
      <c r="O1903">
        <v>283.37246068196799</v>
      </c>
      <c r="P1903">
        <v>86.381653010512395</v>
      </c>
      <c r="Q1903">
        <v>182.07116254387199</v>
      </c>
      <c r="R1903">
        <v>255.61781348061399</v>
      </c>
      <c r="S1903">
        <v>412.42840602141803</v>
      </c>
      <c r="T1903">
        <v>27.497728293487601</v>
      </c>
      <c r="U1903">
        <v>107.062837294277</v>
      </c>
      <c r="V1903">
        <v>100.04889284825499</v>
      </c>
      <c r="W1903">
        <v>110.91715360603</v>
      </c>
    </row>
    <row r="1904" spans="1:23" x14ac:dyDescent="0.2">
      <c r="A1904" t="s">
        <v>3815</v>
      </c>
      <c r="B1904" s="3" t="str">
        <f>HYPERLINK("http://www.ncbi.nlm.nih.gov/gene/66897","Naa16")</f>
        <v>Naa16</v>
      </c>
      <c r="C1904">
        <v>66897</v>
      </c>
      <c r="D1904" t="s">
        <v>3816</v>
      </c>
      <c r="E1904" s="3" t="str">
        <f>HYPERLINK("http://genome.ucsc.edu/cgi-bin/hgTracks?db=mm10&amp;lastVirtModeType=default&amp;lastVirtModeExtraState=&amp;virtModeType=default&amp;virtMode=0&amp;nonVirtPosition=&amp;position=chr14:79334506-79390668","chr14:79334506-79390668")</f>
        <v>chr14:79334506-79390668</v>
      </c>
      <c r="F1904" t="s">
        <v>25</v>
      </c>
      <c r="G1904">
        <v>0.54306683511292697</v>
      </c>
      <c r="H1904">
        <v>0.16152576778767599</v>
      </c>
      <c r="I1904">
        <v>3.3621065081503398</v>
      </c>
      <c r="J1904">
        <v>7.7350282119667405E-4</v>
      </c>
      <c r="K1904">
        <v>5.4429722956619402E-3</v>
      </c>
      <c r="L1904" t="s">
        <v>26</v>
      </c>
      <c r="M1904" t="s">
        <v>27</v>
      </c>
      <c r="N1904">
        <v>132.049279843411</v>
      </c>
      <c r="O1904">
        <v>103.027291575519</v>
      </c>
      <c r="P1904">
        <v>153.81577104433001</v>
      </c>
      <c r="Q1904">
        <v>91.870770090944603</v>
      </c>
      <c r="R1904">
        <v>99.744042945699604</v>
      </c>
      <c r="S1904">
        <v>117.467061689914</v>
      </c>
      <c r="T1904">
        <v>169.56932447650701</v>
      </c>
      <c r="U1904">
        <v>139.18168848255999</v>
      </c>
      <c r="V1904">
        <v>157.42987551122499</v>
      </c>
      <c r="W1904">
        <v>149.08219570703</v>
      </c>
    </row>
    <row r="1905" spans="1:23" x14ac:dyDescent="0.2">
      <c r="A1905" t="s">
        <v>3817</v>
      </c>
      <c r="B1905" s="3" t="str">
        <f>HYPERLINK("http://www.ncbi.nlm.nih.gov/gene/67839","Gpsm1")</f>
        <v>Gpsm1</v>
      </c>
      <c r="C1905">
        <v>67839</v>
      </c>
      <c r="D1905" t="s">
        <v>3818</v>
      </c>
      <c r="E1905" s="3" t="str">
        <f>HYPERLINK("http://genome.ucsc.edu/cgi-bin/hgTracks?db=mm10&amp;lastVirtModeType=default&amp;lastVirtModeExtraState=&amp;virtModeType=default&amp;virtMode=0&amp;nonVirtPosition=&amp;position=chr2:26315532-26348237","chr2:26315532-26348237")</f>
        <v>chr2:26315532-26348237</v>
      </c>
      <c r="F1905" t="s">
        <v>30</v>
      </c>
      <c r="G1905">
        <v>0.61057110795578795</v>
      </c>
      <c r="H1905">
        <v>0.181688137421851</v>
      </c>
      <c r="I1905">
        <v>3.36054470379724</v>
      </c>
      <c r="J1905">
        <v>7.7788940982779402E-4</v>
      </c>
      <c r="K1905">
        <v>5.4698439702637498E-3</v>
      </c>
      <c r="L1905" t="s">
        <v>26</v>
      </c>
      <c r="M1905" t="s">
        <v>27</v>
      </c>
      <c r="N1905">
        <v>354.70580943978302</v>
      </c>
      <c r="O1905">
        <v>269.75358044249401</v>
      </c>
      <c r="P1905">
        <v>418.41998118775001</v>
      </c>
      <c r="Q1905">
        <v>196.54776874002101</v>
      </c>
      <c r="R1905">
        <v>309.472011572969</v>
      </c>
      <c r="S1905">
        <v>303.240961014493</v>
      </c>
      <c r="T1905">
        <v>320.80683009068798</v>
      </c>
      <c r="U1905">
        <v>494.63030829955898</v>
      </c>
      <c r="V1905">
        <v>428.88606272450602</v>
      </c>
      <c r="W1905">
        <v>429.35672363624599</v>
      </c>
    </row>
    <row r="1906" spans="1:23" x14ac:dyDescent="0.2">
      <c r="A1906" t="s">
        <v>3819</v>
      </c>
      <c r="B1906" s="3" t="str">
        <f>HYPERLINK("http://www.ncbi.nlm.nih.gov/gene/57896","Krcc1")</f>
        <v>Krcc1</v>
      </c>
      <c r="C1906">
        <v>57896</v>
      </c>
      <c r="D1906" t="s">
        <v>3820</v>
      </c>
      <c r="E1906" s="3" t="str">
        <f>HYPERLINK("http://genome.ucsc.edu/cgi-bin/hgTracks?db=mm10&amp;lastVirtModeType=default&amp;lastVirtModeExtraState=&amp;virtModeType=default&amp;virtMode=0&amp;nonVirtPosition=&amp;position=chr6:71272018-71285319","chr6:71272018-71285319")</f>
        <v>chr6:71272018-71285319</v>
      </c>
      <c r="F1906" t="s">
        <v>30</v>
      </c>
      <c r="G1906">
        <v>-0.69573129259574995</v>
      </c>
      <c r="H1906">
        <v>0.20703477109591001</v>
      </c>
      <c r="I1906">
        <v>-3.3604562601392498</v>
      </c>
      <c r="J1906">
        <v>7.78138508203453E-4</v>
      </c>
      <c r="K1906">
        <v>5.4698439702637498E-3</v>
      </c>
      <c r="L1906" t="s">
        <v>26</v>
      </c>
      <c r="M1906" t="s">
        <v>27</v>
      </c>
      <c r="N1906">
        <v>151.37225382609199</v>
      </c>
      <c r="O1906">
        <v>197.50736230844601</v>
      </c>
      <c r="P1906">
        <v>116.770922464327</v>
      </c>
      <c r="Q1906">
        <v>246.659097880536</v>
      </c>
      <c r="R1906">
        <v>202.522125220546</v>
      </c>
      <c r="S1906">
        <v>143.34086382425701</v>
      </c>
      <c r="T1906">
        <v>123.739777320694</v>
      </c>
      <c r="U1906">
        <v>89.932783327192496</v>
      </c>
      <c r="V1906">
        <v>125.796769684203</v>
      </c>
      <c r="W1906">
        <v>127.61435952521801</v>
      </c>
    </row>
    <row r="1907" spans="1:23" x14ac:dyDescent="0.2">
      <c r="A1907" t="s">
        <v>3821</v>
      </c>
      <c r="B1907" s="3" t="str">
        <f>HYPERLINK("http://www.ncbi.nlm.nih.gov/gene/66290","Atp6v1g1")</f>
        <v>Atp6v1g1</v>
      </c>
      <c r="C1907">
        <v>66290</v>
      </c>
      <c r="D1907" t="s">
        <v>3822</v>
      </c>
      <c r="E1907" s="3" t="str">
        <f>HYPERLINK("http://genome.ucsc.edu/cgi-bin/hgTracks?db=mm10&amp;lastVirtModeType=default&amp;lastVirtModeExtraState=&amp;virtModeType=default&amp;virtMode=0&amp;nonVirtPosition=&amp;position=chr4:63544764-63550701","chr4:63544764-63550701")</f>
        <v>chr4:63544764-63550701</v>
      </c>
      <c r="F1907" t="s">
        <v>30</v>
      </c>
      <c r="G1907">
        <v>-0.53150765842619496</v>
      </c>
      <c r="H1907">
        <v>0.15820337079494501</v>
      </c>
      <c r="I1907">
        <v>-3.3596481273152401</v>
      </c>
      <c r="J1907">
        <v>7.8041801701504005E-4</v>
      </c>
      <c r="K1907">
        <v>5.48298933150493E-3</v>
      </c>
      <c r="L1907" t="s">
        <v>26</v>
      </c>
      <c r="M1907" t="s">
        <v>27</v>
      </c>
      <c r="N1907">
        <v>139.08563510406299</v>
      </c>
      <c r="O1907">
        <v>170.09036141840301</v>
      </c>
      <c r="P1907">
        <v>115.832090368308</v>
      </c>
      <c r="Q1907">
        <v>163.14021597967701</v>
      </c>
      <c r="R1907">
        <v>159.28706478020499</v>
      </c>
      <c r="S1907">
        <v>187.843803495326</v>
      </c>
      <c r="T1907">
        <v>119.15682260511301</v>
      </c>
      <c r="U1907">
        <v>115.627864277819</v>
      </c>
      <c r="V1907">
        <v>123.589808812551</v>
      </c>
      <c r="W1907">
        <v>104.953865777749</v>
      </c>
    </row>
    <row r="1908" spans="1:23" x14ac:dyDescent="0.2">
      <c r="A1908" t="s">
        <v>3823</v>
      </c>
      <c r="B1908" s="3" t="str">
        <f>HYPERLINK("http://www.ncbi.nlm.nih.gov/gene/66313","Smurf2")</f>
        <v>Smurf2</v>
      </c>
      <c r="C1908">
        <v>66313</v>
      </c>
      <c r="D1908" t="s">
        <v>3824</v>
      </c>
      <c r="E1908" s="3" t="str">
        <f>HYPERLINK("http://genome.ucsc.edu/cgi-bin/hgTracks?db=mm10&amp;lastVirtModeType=default&amp;lastVirtModeExtraState=&amp;virtModeType=default&amp;virtMode=0&amp;nonVirtPosition=&amp;position=chr11:106820063-106920715","chr11:106820063-106920715")</f>
        <v>chr11:106820063-106920715</v>
      </c>
      <c r="F1908" t="s">
        <v>25</v>
      </c>
      <c r="G1908">
        <v>-0.49504386984241899</v>
      </c>
      <c r="H1908">
        <v>0.14738723979848001</v>
      </c>
      <c r="I1908">
        <v>-3.3587973458169502</v>
      </c>
      <c r="J1908">
        <v>7.8282452227969605E-4</v>
      </c>
      <c r="K1908">
        <v>5.4970126784726799E-3</v>
      </c>
      <c r="L1908" t="s">
        <v>26</v>
      </c>
      <c r="M1908" t="s">
        <v>27</v>
      </c>
      <c r="N1908">
        <v>309.93491805078202</v>
      </c>
      <c r="O1908">
        <v>375.60063344616998</v>
      </c>
      <c r="P1908">
        <v>260.68563150424097</v>
      </c>
      <c r="Q1908">
        <v>427.61667533239699</v>
      </c>
      <c r="R1908">
        <v>334.88209095457302</v>
      </c>
      <c r="S1908">
        <v>364.30313405154101</v>
      </c>
      <c r="T1908">
        <v>252.062509356969</v>
      </c>
      <c r="U1908">
        <v>256.95080950626402</v>
      </c>
      <c r="V1908">
        <v>302.35363941641901</v>
      </c>
      <c r="W1908">
        <v>231.375567737311</v>
      </c>
    </row>
    <row r="1909" spans="1:23" x14ac:dyDescent="0.2">
      <c r="A1909" t="s">
        <v>3825</v>
      </c>
      <c r="B1909" s="3" t="str">
        <f>HYPERLINK("http://www.ncbi.nlm.nih.gov/gene/22327","Vbp1")</f>
        <v>Vbp1</v>
      </c>
      <c r="C1909">
        <v>22327</v>
      </c>
      <c r="D1909" t="s">
        <v>3826</v>
      </c>
      <c r="E1909" s="3" t="str">
        <f>HYPERLINK("http://genome.ucsc.edu/cgi-bin/hgTracks?db=mm10&amp;lastVirtModeType=default&amp;lastVirtModeExtraState=&amp;virtModeType=default&amp;virtMode=0&amp;nonVirtPosition=&amp;position=chrX:75514296-75534946","chrX:75514296-75534946")</f>
        <v>chrX:75514296-75534946</v>
      </c>
      <c r="F1909" t="s">
        <v>30</v>
      </c>
      <c r="G1909">
        <v>-0.48750569363110502</v>
      </c>
      <c r="H1909">
        <v>0.14518547112050501</v>
      </c>
      <c r="I1909">
        <v>-3.3578132155281</v>
      </c>
      <c r="J1909">
        <v>7.85616807060857E-4</v>
      </c>
      <c r="K1909">
        <v>5.5137288591991301E-3</v>
      </c>
      <c r="L1909" t="s">
        <v>26</v>
      </c>
      <c r="M1909" t="s">
        <v>27</v>
      </c>
      <c r="N1909">
        <v>310.039082647079</v>
      </c>
      <c r="O1909">
        <v>375.24939299595701</v>
      </c>
      <c r="P1909">
        <v>261.13134988541998</v>
      </c>
      <c r="Q1909">
        <v>320.15571395329198</v>
      </c>
      <c r="R1909">
        <v>426.28252574511902</v>
      </c>
      <c r="S1909">
        <v>379.30993928945901</v>
      </c>
      <c r="T1909">
        <v>242.89659992580701</v>
      </c>
      <c r="U1909">
        <v>241.96201228506499</v>
      </c>
      <c r="V1909">
        <v>291.318835058155</v>
      </c>
      <c r="W1909">
        <v>268.34795227265403</v>
      </c>
    </row>
    <row r="1910" spans="1:23" x14ac:dyDescent="0.2">
      <c r="A1910" t="s">
        <v>3827</v>
      </c>
      <c r="B1910" s="3" t="str">
        <f>HYPERLINK("http://www.ncbi.nlm.nih.gov/gene/218335","Clptm1l")</f>
        <v>Clptm1l</v>
      </c>
      <c r="C1910">
        <v>218335</v>
      </c>
      <c r="D1910" t="s">
        <v>3828</v>
      </c>
      <c r="E1910" s="3" t="str">
        <f>HYPERLINK("http://genome.ucsc.edu/cgi-bin/hgTracks?db=mm10&amp;lastVirtModeType=default&amp;lastVirtModeExtraState=&amp;virtModeType=default&amp;virtMode=0&amp;nonVirtPosition=&amp;position=chr13:73604001-73620639","chr13:73604001-73620639")</f>
        <v>chr13:73604001-73620639</v>
      </c>
      <c r="F1910" t="s">
        <v>30</v>
      </c>
      <c r="G1910">
        <v>-0.362879448164799</v>
      </c>
      <c r="H1910">
        <v>0.10812807713248</v>
      </c>
      <c r="I1910">
        <v>-3.3560149943311699</v>
      </c>
      <c r="J1910">
        <v>7.9074281464928096E-4</v>
      </c>
      <c r="K1910">
        <v>5.5467978161176101E-3</v>
      </c>
      <c r="L1910" t="s">
        <v>26</v>
      </c>
      <c r="M1910" t="s">
        <v>27</v>
      </c>
      <c r="N1910">
        <v>465.63317000888998</v>
      </c>
      <c r="O1910">
        <v>538.62797514952899</v>
      </c>
      <c r="P1910">
        <v>410.88706615340999</v>
      </c>
      <c r="Q1910">
        <v>557.34933855173097</v>
      </c>
      <c r="R1910">
        <v>541.57602025269603</v>
      </c>
      <c r="S1910">
        <v>516.95856664416101</v>
      </c>
      <c r="T1910">
        <v>371.21933196208198</v>
      </c>
      <c r="U1910">
        <v>411.12129521002299</v>
      </c>
      <c r="V1910">
        <v>441.39217433053801</v>
      </c>
      <c r="W1910">
        <v>419.81546311099601</v>
      </c>
    </row>
    <row r="1911" spans="1:23" x14ac:dyDescent="0.2">
      <c r="A1911" t="s">
        <v>3829</v>
      </c>
      <c r="B1911" s="3" t="str">
        <f>HYPERLINK("http://www.ncbi.nlm.nih.gov/gene/244059","Chd2")</f>
        <v>Chd2</v>
      </c>
      <c r="C1911">
        <v>244059</v>
      </c>
      <c r="D1911" t="s">
        <v>3830</v>
      </c>
      <c r="E1911" s="3" t="str">
        <f>HYPERLINK("http://genome.ucsc.edu/cgi-bin/hgTracks?db=mm10&amp;lastVirtModeType=default&amp;lastVirtModeExtraState=&amp;virtModeType=default&amp;virtMode=0&amp;nonVirtPosition=&amp;position=chr7:73426651-73541746","chr7:73426651-73541746")</f>
        <v>chr7:73426651-73541746</v>
      </c>
      <c r="F1911" t="s">
        <v>25</v>
      </c>
      <c r="G1911">
        <v>0.412950613718714</v>
      </c>
      <c r="H1911">
        <v>0.123071865005975</v>
      </c>
      <c r="I1911">
        <v>3.3553616311791901</v>
      </c>
      <c r="J1911">
        <v>7.9261296701581795E-4</v>
      </c>
      <c r="K1911">
        <v>5.5570053619417902E-3</v>
      </c>
      <c r="L1911" t="s">
        <v>26</v>
      </c>
      <c r="M1911" t="s">
        <v>27</v>
      </c>
      <c r="N1911">
        <v>644.14071194042106</v>
      </c>
      <c r="O1911">
        <v>540.84703865749702</v>
      </c>
      <c r="P1911">
        <v>721.610966902614</v>
      </c>
      <c r="Q1911">
        <v>487.75027030101501</v>
      </c>
      <c r="R1911">
        <v>516.92445070337897</v>
      </c>
      <c r="S1911">
        <v>617.86639496809596</v>
      </c>
      <c r="T1911">
        <v>692.02616205277104</v>
      </c>
      <c r="U1911">
        <v>676.63713169982896</v>
      </c>
      <c r="V1911">
        <v>743.74581374695697</v>
      </c>
      <c r="W1911">
        <v>774.03476011090004</v>
      </c>
    </row>
    <row r="1912" spans="1:23" x14ac:dyDescent="0.2">
      <c r="A1912" t="s">
        <v>3831</v>
      </c>
      <c r="B1912" s="3" t="str">
        <f>HYPERLINK("http://www.ncbi.nlm.nih.gov/gene/17869","Myc")</f>
        <v>Myc</v>
      </c>
      <c r="C1912">
        <v>17869</v>
      </c>
      <c r="D1912" t="s">
        <v>3832</v>
      </c>
      <c r="E1912" s="3" t="str">
        <f>HYPERLINK("http://genome.ucsc.edu/cgi-bin/hgTracks?db=mm10&amp;lastVirtModeType=default&amp;lastVirtModeExtraState=&amp;virtModeType=default&amp;virtMode=0&amp;nonVirtPosition=&amp;position=chr15:61985340-61990361","chr15:61985340-61990361")</f>
        <v>chr15:61985340-61990361</v>
      </c>
      <c r="F1912" t="s">
        <v>30</v>
      </c>
      <c r="G1912">
        <v>0.756225330556899</v>
      </c>
      <c r="H1912">
        <v>0.22541382752453001</v>
      </c>
      <c r="I1912">
        <v>3.3548311514944902</v>
      </c>
      <c r="J1912">
        <v>7.9413440287433496E-4</v>
      </c>
      <c r="K1912">
        <v>5.5647586545736396E-3</v>
      </c>
      <c r="L1912" t="s">
        <v>26</v>
      </c>
      <c r="M1912" t="s">
        <v>27</v>
      </c>
      <c r="N1912">
        <v>347.21325948954399</v>
      </c>
      <c r="O1912">
        <v>241.11557648066801</v>
      </c>
      <c r="P1912">
        <v>426.786521746201</v>
      </c>
      <c r="Q1912">
        <v>160.356253249649</v>
      </c>
      <c r="R1912">
        <v>211.62424320798601</v>
      </c>
      <c r="S1912">
        <v>351.36623298437001</v>
      </c>
      <c r="T1912">
        <v>352.88751309975697</v>
      </c>
      <c r="U1912">
        <v>541.73795670903996</v>
      </c>
      <c r="V1912">
        <v>414.172990246822</v>
      </c>
      <c r="W1912">
        <v>398.347626929184</v>
      </c>
    </row>
    <row r="1913" spans="1:23" x14ac:dyDescent="0.2">
      <c r="A1913" t="s">
        <v>3833</v>
      </c>
      <c r="B1913" s="3" t="str">
        <f>HYPERLINK("http://www.ncbi.nlm.nih.gov/gene/77891","Ube2s")</f>
        <v>Ube2s</v>
      </c>
      <c r="C1913">
        <v>77891</v>
      </c>
      <c r="D1913" t="s">
        <v>3834</v>
      </c>
      <c r="E1913" s="3" t="str">
        <f>HYPERLINK("http://genome.ucsc.edu/cgi-bin/hgTracks?db=mm10&amp;lastVirtModeType=default&amp;lastVirtModeExtraState=&amp;virtModeType=default&amp;virtMode=0&amp;nonVirtPosition=&amp;position=chr7:4808013-4812340","chr7:4808013-4812340")</f>
        <v>chr7:4808013-4812340</v>
      </c>
      <c r="F1913" t="s">
        <v>25</v>
      </c>
      <c r="G1913">
        <v>0.80942438062404898</v>
      </c>
      <c r="H1913">
        <v>0.241290662888269</v>
      </c>
      <c r="I1913">
        <v>3.3545615521759999</v>
      </c>
      <c r="J1913">
        <v>7.9490866230722999E-4</v>
      </c>
      <c r="K1913">
        <v>5.5672708666088498E-3</v>
      </c>
      <c r="L1913" t="s">
        <v>26</v>
      </c>
      <c r="M1913" t="s">
        <v>27</v>
      </c>
      <c r="N1913">
        <v>88.4334660220497</v>
      </c>
      <c r="O1913">
        <v>58.323381991140302</v>
      </c>
      <c r="P1913">
        <v>111.016029045232</v>
      </c>
      <c r="Q1913">
        <v>38.975478220400802</v>
      </c>
      <c r="R1913">
        <v>54.233453008498302</v>
      </c>
      <c r="S1913">
        <v>81.761214744521894</v>
      </c>
      <c r="T1913">
        <v>123.739777320694</v>
      </c>
      <c r="U1913">
        <v>126.33414800724699</v>
      </c>
      <c r="V1913">
        <v>98.577585600486799</v>
      </c>
      <c r="W1913">
        <v>95.412605252499205</v>
      </c>
    </row>
    <row r="1914" spans="1:23" x14ac:dyDescent="0.2">
      <c r="A1914" t="s">
        <v>3835</v>
      </c>
      <c r="B1914" s="3" t="str">
        <f>HYPERLINK("http://www.ncbi.nlm.nih.gov/gene/74239","Iqce")</f>
        <v>Iqce</v>
      </c>
      <c r="C1914">
        <v>74239</v>
      </c>
      <c r="D1914" t="s">
        <v>3836</v>
      </c>
      <c r="E1914" s="3" t="str">
        <f>HYPERLINK("http://genome.ucsc.edu/cgi-bin/hgTracks?db=mm10&amp;lastVirtModeType=default&amp;lastVirtModeExtraState=&amp;virtModeType=default&amp;virtMode=0&amp;nonVirtPosition=&amp;position=chr5:140663504-140702378","chr5:140663504-140702378")</f>
        <v>chr5:140663504-140702378</v>
      </c>
      <c r="F1914" t="s">
        <v>25</v>
      </c>
      <c r="G1914">
        <v>0.51468853540723403</v>
      </c>
      <c r="H1914">
        <v>0.15346780562235901</v>
      </c>
      <c r="I1914">
        <v>3.3537231689735401</v>
      </c>
      <c r="J1914">
        <v>7.9732088532943695E-4</v>
      </c>
      <c r="K1914">
        <v>5.5812461973060602E-3</v>
      </c>
      <c r="L1914" t="s">
        <v>26</v>
      </c>
      <c r="M1914" t="s">
        <v>27</v>
      </c>
      <c r="N1914">
        <v>204.86820224295201</v>
      </c>
      <c r="O1914">
        <v>166.33378153058601</v>
      </c>
      <c r="P1914">
        <v>233.769017777226</v>
      </c>
      <c r="Q1914">
        <v>183.74154018188901</v>
      </c>
      <c r="R1914">
        <v>150.18494679276401</v>
      </c>
      <c r="S1914">
        <v>165.07485761710399</v>
      </c>
      <c r="T1914">
        <v>174.152279192088</v>
      </c>
      <c r="U1914">
        <v>244.103269030951</v>
      </c>
      <c r="V1914">
        <v>250.85788574452201</v>
      </c>
      <c r="W1914">
        <v>265.96263714134102</v>
      </c>
    </row>
    <row r="1915" spans="1:23" x14ac:dyDescent="0.2">
      <c r="A1915" t="s">
        <v>3837</v>
      </c>
      <c r="B1915" s="3" t="str">
        <f>HYPERLINK("http://www.ncbi.nlm.nih.gov/gene/246316","Lgi2")</f>
        <v>Lgi2</v>
      </c>
      <c r="C1915">
        <v>246316</v>
      </c>
      <c r="D1915" t="s">
        <v>3838</v>
      </c>
      <c r="E1915" s="3" t="str">
        <f>HYPERLINK("http://genome.ucsc.edu/cgi-bin/hgTracks?db=mm10&amp;lastVirtModeType=default&amp;lastVirtModeExtraState=&amp;virtModeType=default&amp;virtMode=0&amp;nonVirtPosition=&amp;position=chr5:52533516-52566306","chr5:52533516-52566306")</f>
        <v>chr5:52533516-52566306</v>
      </c>
      <c r="F1915" t="s">
        <v>25</v>
      </c>
      <c r="G1915">
        <v>-0.96267705932775405</v>
      </c>
      <c r="H1915">
        <v>0.28715242467170399</v>
      </c>
      <c r="I1915">
        <v>-3.35249496997409</v>
      </c>
      <c r="J1915">
        <v>8.0086696694113698E-4</v>
      </c>
      <c r="K1915">
        <v>5.6030682611704101E-3</v>
      </c>
      <c r="L1915" t="s">
        <v>26</v>
      </c>
      <c r="M1915" t="s">
        <v>27</v>
      </c>
      <c r="N1915">
        <v>103.227233906989</v>
      </c>
      <c r="O1915">
        <v>149.84623792499201</v>
      </c>
      <c r="P1915">
        <v>68.262980893487196</v>
      </c>
      <c r="Q1915">
        <v>125.278322851288</v>
      </c>
      <c r="R1915">
        <v>213.52051778870299</v>
      </c>
      <c r="S1915">
        <v>110.739873134985</v>
      </c>
      <c r="T1915">
        <v>45.829547155812598</v>
      </c>
      <c r="U1915">
        <v>111.345350786048</v>
      </c>
      <c r="V1915">
        <v>41.932256561401097</v>
      </c>
      <c r="W1915">
        <v>73.944769070686903</v>
      </c>
    </row>
    <row r="1916" spans="1:23" x14ac:dyDescent="0.2">
      <c r="A1916" t="s">
        <v>3839</v>
      </c>
      <c r="B1916" s="3" t="str">
        <f>HYPERLINK("http://www.ncbi.nlm.nih.gov/gene/104401","Pcnx3")</f>
        <v>Pcnx3</v>
      </c>
      <c r="C1916">
        <v>104401</v>
      </c>
      <c r="D1916" t="s">
        <v>3840</v>
      </c>
      <c r="E1916" s="3" t="str">
        <f>HYPERLINK("http://genome.ucsc.edu/cgi-bin/hgTracks?db=mm10&amp;lastVirtModeType=default&amp;lastVirtModeExtraState=&amp;virtModeType=default&amp;virtMode=0&amp;nonVirtPosition=&amp;position=chr19:5664634-5688908","chr19:5664634-5688908")</f>
        <v>chr19:5664634-5688908</v>
      </c>
      <c r="F1916" t="s">
        <v>25</v>
      </c>
      <c r="G1916">
        <v>0.687807429097261</v>
      </c>
      <c r="H1916">
        <v>0.20517433275751101</v>
      </c>
      <c r="I1916">
        <v>3.35230737613831</v>
      </c>
      <c r="J1916">
        <v>8.0140987843207697E-4</v>
      </c>
      <c r="K1916">
        <v>5.6030682611704101E-3</v>
      </c>
      <c r="L1916" t="s">
        <v>26</v>
      </c>
      <c r="M1916" t="s">
        <v>27</v>
      </c>
      <c r="N1916">
        <v>610.80773827227404</v>
      </c>
      <c r="O1916">
        <v>443.37397762521903</v>
      </c>
      <c r="P1916">
        <v>736.383058757566</v>
      </c>
      <c r="Q1916">
        <v>394.20912257205299</v>
      </c>
      <c r="R1916">
        <v>335.64060078685998</v>
      </c>
      <c r="S1916">
        <v>600.27220951674303</v>
      </c>
      <c r="T1916">
        <v>536.20570172300802</v>
      </c>
      <c r="U1916">
        <v>916.45788723900898</v>
      </c>
      <c r="V1916">
        <v>722.41185865431396</v>
      </c>
      <c r="W1916">
        <v>770.45678741393101</v>
      </c>
    </row>
    <row r="1917" spans="1:23" x14ac:dyDescent="0.2">
      <c r="A1917" t="s">
        <v>3841</v>
      </c>
      <c r="B1917" s="3" t="str">
        <f>HYPERLINK("http://www.ncbi.nlm.nih.gov/gene/20511","Slc1a2")</f>
        <v>Slc1a2</v>
      </c>
      <c r="C1917">
        <v>20511</v>
      </c>
      <c r="D1917" t="s">
        <v>3842</v>
      </c>
      <c r="E1917" s="3" t="str">
        <f>HYPERLINK("http://genome.ucsc.edu/cgi-bin/hgTracks?db=mm10&amp;lastVirtModeType=default&amp;lastVirtModeExtraState=&amp;virtModeType=default&amp;virtMode=0&amp;nonVirtPosition=&amp;position=chr2:102706437-102778106","chr2:102706437-102778106")</f>
        <v>chr2:102706437-102778106</v>
      </c>
      <c r="F1917" t="s">
        <v>30</v>
      </c>
      <c r="G1917">
        <v>-0.77918312754694097</v>
      </c>
      <c r="H1917">
        <v>0.23243868032468601</v>
      </c>
      <c r="I1917">
        <v>-3.3522093932839598</v>
      </c>
      <c r="J1917">
        <v>8.01693584377754E-4</v>
      </c>
      <c r="K1917">
        <v>5.6030682611704101E-3</v>
      </c>
      <c r="L1917" t="s">
        <v>26</v>
      </c>
      <c r="M1917" t="s">
        <v>27</v>
      </c>
      <c r="N1917">
        <v>3445.7844963421499</v>
      </c>
      <c r="O1917">
        <v>4634.52541747133</v>
      </c>
      <c r="P1917">
        <v>2554.2288054952601</v>
      </c>
      <c r="Q1917">
        <v>6904.784363017</v>
      </c>
      <c r="R1917">
        <v>3339.7187915582899</v>
      </c>
      <c r="S1917">
        <v>3659.0730978387001</v>
      </c>
      <c r="T1917">
        <v>2314.39213136854</v>
      </c>
      <c r="U1917">
        <v>2524.5417033990502</v>
      </c>
      <c r="V1917">
        <v>2136.3381237598001</v>
      </c>
      <c r="W1917">
        <v>3241.64326345366</v>
      </c>
    </row>
    <row r="1918" spans="1:23" x14ac:dyDescent="0.2">
      <c r="A1918" t="s">
        <v>3843</v>
      </c>
      <c r="B1918" s="3" t="str">
        <f>HYPERLINK("http://www.ncbi.nlm.nih.gov/gene/26879","B3galnt1")</f>
        <v>B3galnt1</v>
      </c>
      <c r="C1918">
        <v>26879</v>
      </c>
      <c r="D1918" t="s">
        <v>3844</v>
      </c>
      <c r="E1918" s="3" t="str">
        <f>HYPERLINK("http://genome.ucsc.edu/cgi-bin/hgTracks?db=mm10&amp;lastVirtModeType=default&amp;lastVirtModeExtraState=&amp;virtModeType=default&amp;virtMode=0&amp;nonVirtPosition=&amp;position=chr3:69573918-69598960","chr3:69573918-69598960")</f>
        <v>chr3:69573918-69598960</v>
      </c>
      <c r="F1918" t="s">
        <v>25</v>
      </c>
      <c r="G1918">
        <v>-0.60568916676151796</v>
      </c>
      <c r="H1918">
        <v>0.18083860841986699</v>
      </c>
      <c r="I1918">
        <v>-3.3493354768315902</v>
      </c>
      <c r="J1918">
        <v>8.1005648396388597E-4</v>
      </c>
      <c r="K1918">
        <v>5.6585635768181498E-3</v>
      </c>
      <c r="L1918" t="s">
        <v>26</v>
      </c>
      <c r="M1918" t="s">
        <v>27</v>
      </c>
      <c r="N1918">
        <v>123.661746193748</v>
      </c>
      <c r="O1918">
        <v>152.76513234875799</v>
      </c>
      <c r="P1918">
        <v>101.83420657748999</v>
      </c>
      <c r="Q1918">
        <v>160.91304579565499</v>
      </c>
      <c r="R1918">
        <v>162.32110410935101</v>
      </c>
      <c r="S1918">
        <v>135.06124714126699</v>
      </c>
      <c r="T1918">
        <v>137.48864146743799</v>
      </c>
      <c r="U1918">
        <v>74.943986105993702</v>
      </c>
      <c r="V1918">
        <v>97.106278352718405</v>
      </c>
      <c r="W1918">
        <v>97.7979203838117</v>
      </c>
    </row>
    <row r="1919" spans="1:23" x14ac:dyDescent="0.2">
      <c r="A1919" t="s">
        <v>3845</v>
      </c>
      <c r="B1919" s="3" t="str">
        <f>HYPERLINK("http://www.ncbi.nlm.nih.gov/gene/55932","Gbp3")</f>
        <v>Gbp3</v>
      </c>
      <c r="C1919">
        <v>55932</v>
      </c>
      <c r="D1919" t="s">
        <v>3846</v>
      </c>
      <c r="E1919" s="3" t="str">
        <f>HYPERLINK("http://genome.ucsc.edu/cgi-bin/hgTracks?db=mm10&amp;lastVirtModeType=default&amp;lastVirtModeExtraState=&amp;virtModeType=default&amp;virtMode=0&amp;nonVirtPosition=&amp;position=chr3:142560051-142573212","chr3:142560051-142573212")</f>
        <v>chr3:142560051-142573212</v>
      </c>
      <c r="F1919" t="s">
        <v>30</v>
      </c>
      <c r="G1919">
        <v>1.2700814667406199</v>
      </c>
      <c r="H1919">
        <v>0.37922467186334102</v>
      </c>
      <c r="I1919">
        <v>3.3491530508814198</v>
      </c>
      <c r="J1919">
        <v>8.10590053664046E-4</v>
      </c>
      <c r="K1919">
        <v>5.6593385863478902E-3</v>
      </c>
      <c r="L1919" t="s">
        <v>26</v>
      </c>
      <c r="M1919" t="s">
        <v>27</v>
      </c>
      <c r="N1919">
        <v>374.69135338695202</v>
      </c>
      <c r="O1919">
        <v>140.78477326135999</v>
      </c>
      <c r="P1919">
        <v>550.12128848114401</v>
      </c>
      <c r="Q1919">
        <v>166.48097125571201</v>
      </c>
      <c r="R1919">
        <v>117.189769088293</v>
      </c>
      <c r="S1919">
        <v>138.68357944007499</v>
      </c>
      <c r="T1919">
        <v>1021.99890157462</v>
      </c>
      <c r="U1919">
        <v>201.27813411323999</v>
      </c>
      <c r="V1919">
        <v>339.13632061062998</v>
      </c>
      <c r="W1919">
        <v>638.07179762608803</v>
      </c>
    </row>
    <row r="1920" spans="1:23" x14ac:dyDescent="0.2">
      <c r="A1920" t="s">
        <v>3847</v>
      </c>
      <c r="B1920" s="3" t="str">
        <f>HYPERLINK("http://www.ncbi.nlm.nih.gov/gene/81907","Tmem108")</f>
        <v>Tmem108</v>
      </c>
      <c r="C1920">
        <v>81907</v>
      </c>
      <c r="D1920" t="s">
        <v>3848</v>
      </c>
      <c r="E1920" s="3" t="str">
        <f>HYPERLINK("http://genome.ucsc.edu/cgi-bin/hgTracks?db=mm10&amp;lastVirtModeType=default&amp;lastVirtModeExtraState=&amp;virtModeType=default&amp;virtMode=0&amp;nonVirtPosition=&amp;position=chr9:103482935-103761837","chr9:103482935-103761837")</f>
        <v>chr9:103482935-103761837</v>
      </c>
      <c r="F1920" t="s">
        <v>25</v>
      </c>
      <c r="G1920">
        <v>0.487020400791144</v>
      </c>
      <c r="H1920">
        <v>0.145454058749245</v>
      </c>
      <c r="I1920">
        <v>3.34827645910342</v>
      </c>
      <c r="J1920">
        <v>8.1315851014585798E-4</v>
      </c>
      <c r="K1920">
        <v>5.6743124592825399E-3</v>
      </c>
      <c r="L1920" t="s">
        <v>26</v>
      </c>
      <c r="M1920" t="s">
        <v>27</v>
      </c>
      <c r="N1920">
        <v>333.661078852022</v>
      </c>
      <c r="O1920">
        <v>272.20403673798199</v>
      </c>
      <c r="P1920">
        <v>379.75386043755202</v>
      </c>
      <c r="Q1920">
        <v>307.90627794116602</v>
      </c>
      <c r="R1920">
        <v>242.72314633174099</v>
      </c>
      <c r="S1920">
        <v>265.98268594104002</v>
      </c>
      <c r="T1920">
        <v>307.05796594394502</v>
      </c>
      <c r="U1920">
        <v>426.11009243122197</v>
      </c>
      <c r="V1920">
        <v>424.47214098120099</v>
      </c>
      <c r="W1920">
        <v>361.37524239384101</v>
      </c>
    </row>
    <row r="1921" spans="1:23" x14ac:dyDescent="0.2">
      <c r="A1921" t="s">
        <v>3849</v>
      </c>
      <c r="B1921" s="3" t="str">
        <f>HYPERLINK("http://www.ncbi.nlm.nih.gov/gene/78887","Sfi1")</f>
        <v>Sfi1</v>
      </c>
      <c r="C1921">
        <v>78887</v>
      </c>
      <c r="D1921" t="s">
        <v>3850</v>
      </c>
      <c r="E1921" s="3" t="str">
        <f>HYPERLINK("http://genome.ucsc.edu/cgi-bin/hgTracks?db=mm10&amp;lastVirtModeType=default&amp;lastVirtModeExtraState=&amp;virtModeType=default&amp;virtMode=0&amp;nonVirtPosition=&amp;position=chr11:3131849-3193463","chr11:3131849-3193463")</f>
        <v>chr11:3131849-3193463</v>
      </c>
      <c r="F1921" t="s">
        <v>25</v>
      </c>
      <c r="G1921">
        <v>0.62688320502907402</v>
      </c>
      <c r="H1921">
        <v>0.187258991583824</v>
      </c>
      <c r="I1921">
        <v>3.34768012861193</v>
      </c>
      <c r="J1921">
        <v>8.1491010111448903E-4</v>
      </c>
      <c r="K1921">
        <v>5.6835735229292302E-3</v>
      </c>
      <c r="L1921" t="s">
        <v>26</v>
      </c>
      <c r="M1921" t="s">
        <v>27</v>
      </c>
      <c r="N1921">
        <v>76.086342028603596</v>
      </c>
      <c r="O1921">
        <v>57.8523753632888</v>
      </c>
      <c r="P1921">
        <v>89.7618170275897</v>
      </c>
      <c r="Q1921">
        <v>59.0200098766068</v>
      </c>
      <c r="R1921">
        <v>53.474943176211603</v>
      </c>
      <c r="S1921">
        <v>61.062173037047998</v>
      </c>
      <c r="T1921">
        <v>82.493184880462707</v>
      </c>
      <c r="U1921">
        <v>87.791526581306996</v>
      </c>
      <c r="V1921">
        <v>99.313239224371102</v>
      </c>
      <c r="W1921">
        <v>89.449317424217995</v>
      </c>
    </row>
    <row r="1922" spans="1:23" x14ac:dyDescent="0.2">
      <c r="A1922" t="s">
        <v>3851</v>
      </c>
      <c r="B1922" s="3" t="str">
        <f>HYPERLINK("http://www.ncbi.nlm.nih.gov/gene/71760","Etnppl")</f>
        <v>Etnppl</v>
      </c>
      <c r="C1922">
        <v>71760</v>
      </c>
      <c r="D1922" t="s">
        <v>3852</v>
      </c>
      <c r="E1922" s="3" t="str">
        <f>HYPERLINK("http://genome.ucsc.edu/cgi-bin/hgTracks?db=mm10&amp;lastVirtModeType=default&amp;lastVirtModeExtraState=&amp;virtModeType=default&amp;virtMode=0&amp;nonVirtPosition=&amp;position=chr3:130617574-130635750","chr3:130617574-130635750")</f>
        <v>chr3:130617574-130635750</v>
      </c>
      <c r="F1922" t="s">
        <v>30</v>
      </c>
      <c r="G1922">
        <v>-1.29864071768375</v>
      </c>
      <c r="H1922">
        <v>0.38797225088250098</v>
      </c>
      <c r="I1922">
        <v>-3.3472515488667098</v>
      </c>
      <c r="J1922">
        <v>8.1617112220063403E-4</v>
      </c>
      <c r="K1922">
        <v>5.6894052563189398E-3</v>
      </c>
      <c r="L1922" t="s">
        <v>26</v>
      </c>
      <c r="M1922" t="s">
        <v>27</v>
      </c>
      <c r="N1922">
        <v>26.2382647434105</v>
      </c>
      <c r="O1922">
        <v>45.9732483126487</v>
      </c>
      <c r="P1922">
        <v>11.4370270664819</v>
      </c>
      <c r="Q1922">
        <v>29.5100049383034</v>
      </c>
      <c r="R1922">
        <v>88.745650377542603</v>
      </c>
      <c r="S1922">
        <v>19.6640896221002</v>
      </c>
      <c r="T1922">
        <v>13.7488641467438</v>
      </c>
      <c r="U1922">
        <v>17.130053967084301</v>
      </c>
      <c r="V1922">
        <v>2.9426144955369198</v>
      </c>
      <c r="W1922">
        <v>11.926575656562401</v>
      </c>
    </row>
    <row r="1923" spans="1:23" x14ac:dyDescent="0.2">
      <c r="A1923" t="s">
        <v>3853</v>
      </c>
      <c r="B1923" s="3" t="str">
        <f>HYPERLINK("http://www.ncbi.nlm.nih.gov/gene/211978","Zfyve26")</f>
        <v>Zfyve26</v>
      </c>
      <c r="C1923">
        <v>211978</v>
      </c>
      <c r="D1923" t="s">
        <v>3854</v>
      </c>
      <c r="E1923" s="3" t="str">
        <f>HYPERLINK("http://genome.ucsc.edu/cgi-bin/hgTracks?db=mm10&amp;lastVirtModeType=default&amp;lastVirtModeExtraState=&amp;virtModeType=default&amp;virtMode=0&amp;nonVirtPosition=&amp;position=chr12:79232346-79296282","chr12:79232346-79296282")</f>
        <v>chr12:79232346-79296282</v>
      </c>
      <c r="F1923" t="s">
        <v>25</v>
      </c>
      <c r="G1923">
        <v>0.56555585222334304</v>
      </c>
      <c r="H1923">
        <v>0.168968880827704</v>
      </c>
      <c r="I1923">
        <v>3.3471006581385501</v>
      </c>
      <c r="J1923">
        <v>8.1661552258485497E-4</v>
      </c>
      <c r="K1923">
        <v>5.6895413438781397E-3</v>
      </c>
      <c r="L1923" t="s">
        <v>26</v>
      </c>
      <c r="M1923" t="s">
        <v>27</v>
      </c>
      <c r="N1923">
        <v>352.79396872590303</v>
      </c>
      <c r="O1923">
        <v>273.53780228810501</v>
      </c>
      <c r="P1923">
        <v>412.23609355425202</v>
      </c>
      <c r="Q1923">
        <v>309.01986303317699</v>
      </c>
      <c r="R1923">
        <v>202.142870304403</v>
      </c>
      <c r="S1923">
        <v>309.45067352673499</v>
      </c>
      <c r="T1923">
        <v>403.30001497115097</v>
      </c>
      <c r="U1923">
        <v>430.39260592299303</v>
      </c>
      <c r="V1923">
        <v>365.619851070462</v>
      </c>
      <c r="W1923">
        <v>449.63190225240203</v>
      </c>
    </row>
    <row r="1924" spans="1:23" x14ac:dyDescent="0.2">
      <c r="A1924" t="s">
        <v>3855</v>
      </c>
      <c r="B1924" s="3" t="str">
        <f>HYPERLINK("http://www.ncbi.nlm.nih.gov/gene/237253","Lrp11")</f>
        <v>Lrp11</v>
      </c>
      <c r="C1924">
        <v>237253</v>
      </c>
      <c r="D1924" t="s">
        <v>3856</v>
      </c>
      <c r="E1924" s="3" t="str">
        <f>HYPERLINK("http://genome.ucsc.edu/cgi-bin/hgTracks?db=mm10&amp;lastVirtModeType=default&amp;lastVirtModeExtraState=&amp;virtModeType=default&amp;virtMode=0&amp;nonVirtPosition=&amp;position=chr10:7589799-7625477","chr10:7589799-7625477")</f>
        <v>chr10:7589799-7625477</v>
      </c>
      <c r="F1924" t="s">
        <v>30</v>
      </c>
      <c r="G1924">
        <v>0.52470164374037598</v>
      </c>
      <c r="H1924">
        <v>0.15677044660461101</v>
      </c>
      <c r="I1924">
        <v>3.3469423294029399</v>
      </c>
      <c r="J1924">
        <v>8.1708207061515598E-4</v>
      </c>
      <c r="K1924">
        <v>5.6898315172166196E-3</v>
      </c>
      <c r="L1924" t="s">
        <v>26</v>
      </c>
      <c r="M1924" t="s">
        <v>27</v>
      </c>
      <c r="N1924">
        <v>594.56613206320105</v>
      </c>
      <c r="O1924">
        <v>471.80201510087198</v>
      </c>
      <c r="P1924">
        <v>686.63921978494704</v>
      </c>
      <c r="Q1924">
        <v>525.61216342940395</v>
      </c>
      <c r="R1924">
        <v>499.09946964464098</v>
      </c>
      <c r="S1924">
        <v>390.69441222857</v>
      </c>
      <c r="T1924">
        <v>600.367067741146</v>
      </c>
      <c r="U1924">
        <v>740.87483407639502</v>
      </c>
      <c r="V1924">
        <v>590.72985997903697</v>
      </c>
      <c r="W1924">
        <v>814.585117343212</v>
      </c>
    </row>
    <row r="1925" spans="1:23" x14ac:dyDescent="0.2">
      <c r="A1925" t="s">
        <v>3857</v>
      </c>
      <c r="B1925" s="3" t="str">
        <f>HYPERLINK("http://www.ncbi.nlm.nih.gov/gene/20867","Stip1")</f>
        <v>Stip1</v>
      </c>
      <c r="C1925">
        <v>20867</v>
      </c>
      <c r="D1925" t="s">
        <v>3858</v>
      </c>
      <c r="E1925" s="3" t="str">
        <f>HYPERLINK("http://genome.ucsc.edu/cgi-bin/hgTracks?db=mm10&amp;lastVirtModeType=default&amp;lastVirtModeExtraState=&amp;virtModeType=default&amp;virtMode=0&amp;nonVirtPosition=&amp;position=chr19:7020695-7040026","chr19:7020695-7040026")</f>
        <v>chr19:7020695-7040026</v>
      </c>
      <c r="F1925" t="s">
        <v>25</v>
      </c>
      <c r="G1925">
        <v>-0.45029803373432797</v>
      </c>
      <c r="H1925">
        <v>0.13462626356667601</v>
      </c>
      <c r="I1925">
        <v>-3.3448007974410499</v>
      </c>
      <c r="J1925">
        <v>8.23416875780168E-4</v>
      </c>
      <c r="K1925">
        <v>5.7309643365760004E-3</v>
      </c>
      <c r="L1925" t="s">
        <v>26</v>
      </c>
      <c r="M1925" t="s">
        <v>27</v>
      </c>
      <c r="N1925">
        <v>615.11724320204803</v>
      </c>
      <c r="O1925">
        <v>729.75765456551301</v>
      </c>
      <c r="P1925">
        <v>529.13693467944995</v>
      </c>
      <c r="Q1925">
        <v>654.23124155672701</v>
      </c>
      <c r="R1925">
        <v>861.28791456153601</v>
      </c>
      <c r="S1925">
        <v>673.753807578276</v>
      </c>
      <c r="T1925">
        <v>522.45683757626398</v>
      </c>
      <c r="U1925">
        <v>516.04287575841397</v>
      </c>
      <c r="V1925">
        <v>503.18707873681302</v>
      </c>
      <c r="W1925">
        <v>574.86094664630798</v>
      </c>
    </row>
    <row r="1926" spans="1:23" x14ac:dyDescent="0.2">
      <c r="A1926" t="s">
        <v>3859</v>
      </c>
      <c r="B1926" s="3" t="str">
        <f>HYPERLINK("http://www.ncbi.nlm.nih.gov/gene/217232","Cdc27")</f>
        <v>Cdc27</v>
      </c>
      <c r="C1926">
        <v>217232</v>
      </c>
      <c r="D1926" t="s">
        <v>3860</v>
      </c>
      <c r="E1926" s="3" t="str">
        <f>HYPERLINK("http://genome.ucsc.edu/cgi-bin/hgTracks?db=mm10&amp;lastVirtModeType=default&amp;lastVirtModeExtraState=&amp;virtModeType=default&amp;virtMode=0&amp;nonVirtPosition=&amp;position=chr11:104502525-104550620","chr11:104502525-104550620")</f>
        <v>chr11:104502525-104550620</v>
      </c>
      <c r="F1926" t="s">
        <v>25</v>
      </c>
      <c r="G1926">
        <v>-0.40021648804844001</v>
      </c>
      <c r="H1926">
        <v>0.119663939636898</v>
      </c>
      <c r="I1926">
        <v>-3.3445036931162102</v>
      </c>
      <c r="J1926">
        <v>8.24299322119882E-4</v>
      </c>
      <c r="K1926">
        <v>5.7320890301740604E-3</v>
      </c>
      <c r="L1926" t="s">
        <v>26</v>
      </c>
      <c r="M1926" t="s">
        <v>27</v>
      </c>
      <c r="N1926">
        <v>679.902133384281</v>
      </c>
      <c r="O1926">
        <v>794.01347857532903</v>
      </c>
      <c r="P1926">
        <v>594.31862449099503</v>
      </c>
      <c r="Q1926">
        <v>783.96390477606099</v>
      </c>
      <c r="R1926">
        <v>793.401284571877</v>
      </c>
      <c r="S1926">
        <v>804.67524637804797</v>
      </c>
      <c r="T1926">
        <v>586.61820359440196</v>
      </c>
      <c r="U1926">
        <v>558.86801067612498</v>
      </c>
      <c r="V1926">
        <v>691.514406451176</v>
      </c>
      <c r="W1926">
        <v>540.27387724227697</v>
      </c>
    </row>
    <row r="1927" spans="1:23" x14ac:dyDescent="0.2">
      <c r="A1927" t="s">
        <v>3861</v>
      </c>
      <c r="B1927" s="3" t="str">
        <f>HYPERLINK("http://www.ncbi.nlm.nih.gov/gene/22763","Zfr")</f>
        <v>Zfr</v>
      </c>
      <c r="C1927">
        <v>22763</v>
      </c>
      <c r="D1927" t="s">
        <v>3862</v>
      </c>
      <c r="E1927" s="3" t="str">
        <f>HYPERLINK("http://genome.ucsc.edu/cgi-bin/hgTracks?db=mm10&amp;lastVirtModeType=default&amp;lastVirtModeExtraState=&amp;virtModeType=default&amp;virtMode=0&amp;nonVirtPosition=&amp;position=chr15:12117850-12185449","chr15:12117850-12185449")</f>
        <v>chr15:12117850-12185449</v>
      </c>
      <c r="F1927" t="s">
        <v>30</v>
      </c>
      <c r="G1927">
        <v>-0.55295110366984301</v>
      </c>
      <c r="H1927">
        <v>0.16533768486128</v>
      </c>
      <c r="I1927">
        <v>-3.3443742975702899</v>
      </c>
      <c r="J1927">
        <v>8.2468392133681597E-4</v>
      </c>
      <c r="K1927">
        <v>5.7320890301740604E-3</v>
      </c>
      <c r="L1927" t="s">
        <v>26</v>
      </c>
      <c r="M1927" t="s">
        <v>27</v>
      </c>
      <c r="N1927">
        <v>1176.46753272962</v>
      </c>
      <c r="O1927">
        <v>1451.20448717512</v>
      </c>
      <c r="P1927">
        <v>970.41481689549505</v>
      </c>
      <c r="Q1927">
        <v>1854.6759707450699</v>
      </c>
      <c r="R1927">
        <v>1361.5251489546099</v>
      </c>
      <c r="S1927">
        <v>1137.41234182569</v>
      </c>
      <c r="T1927">
        <v>980.75230913438998</v>
      </c>
      <c r="U1927">
        <v>867.20898208364201</v>
      </c>
      <c r="V1927">
        <v>1040.2142241723</v>
      </c>
      <c r="W1927">
        <v>993.48375219164802</v>
      </c>
    </row>
    <row r="1928" spans="1:23" x14ac:dyDescent="0.2">
      <c r="A1928" t="s">
        <v>3863</v>
      </c>
      <c r="B1928" s="3" t="str">
        <f>HYPERLINK("http://www.ncbi.nlm.nih.gov/gene/74123","Foxp4")</f>
        <v>Foxp4</v>
      </c>
      <c r="C1928">
        <v>74123</v>
      </c>
      <c r="D1928" t="s">
        <v>3864</v>
      </c>
      <c r="E1928" s="3" t="str">
        <f>HYPERLINK("http://genome.ucsc.edu/cgi-bin/hgTracks?db=mm10&amp;lastVirtModeType=default&amp;lastVirtModeExtraState=&amp;virtModeType=default&amp;virtMode=0&amp;nonVirtPosition=&amp;position=chr17:47867132-47924632","chr17:47867132-47924632")</f>
        <v>chr17:47867132-47924632</v>
      </c>
      <c r="F1928" t="s">
        <v>25</v>
      </c>
      <c r="G1928">
        <v>0.88738890585869701</v>
      </c>
      <c r="H1928">
        <v>0.26534256520736899</v>
      </c>
      <c r="I1928">
        <v>3.3443141893393098</v>
      </c>
      <c r="J1928">
        <v>8.2486263618440799E-4</v>
      </c>
      <c r="K1928">
        <v>5.7320890301740604E-3</v>
      </c>
      <c r="L1928" t="s">
        <v>26</v>
      </c>
      <c r="M1928" t="s">
        <v>27</v>
      </c>
      <c r="N1928">
        <v>53.51733213184</v>
      </c>
      <c r="O1928">
        <v>32.477172240621698</v>
      </c>
      <c r="P1928">
        <v>69.297452050253796</v>
      </c>
      <c r="Q1928">
        <v>35.634722944366402</v>
      </c>
      <c r="R1928">
        <v>40.580276027337902</v>
      </c>
      <c r="S1928">
        <v>21.216517750160801</v>
      </c>
      <c r="T1928">
        <v>100.825003742788</v>
      </c>
      <c r="U1928">
        <v>55.672675393023901</v>
      </c>
      <c r="V1928">
        <v>61.059250782391103</v>
      </c>
      <c r="W1928">
        <v>59.632878282812001</v>
      </c>
    </row>
    <row r="1929" spans="1:23" x14ac:dyDescent="0.2">
      <c r="A1929" t="s">
        <v>3865</v>
      </c>
      <c r="B1929" s="3" t="str">
        <f>HYPERLINK("http://www.ncbi.nlm.nih.gov/gene/623474","Rad54b")</f>
        <v>Rad54b</v>
      </c>
      <c r="C1929">
        <v>623474</v>
      </c>
      <c r="D1929" t="s">
        <v>3866</v>
      </c>
      <c r="E1929" s="3" t="str">
        <f>HYPERLINK("http://genome.ucsc.edu/cgi-bin/hgTracks?db=mm10&amp;lastVirtModeType=default&amp;lastVirtModeExtraState=&amp;virtModeType=default&amp;virtMode=0&amp;nonVirtPosition=&amp;position=chr4:11558919-11615808","chr4:11558919-11615808")</f>
        <v>chr4:11558919-11615808</v>
      </c>
      <c r="F1929" t="s">
        <v>30</v>
      </c>
      <c r="G1929">
        <v>0.77892193619637995</v>
      </c>
      <c r="H1929">
        <v>0.232923918876003</v>
      </c>
      <c r="I1929">
        <v>3.3441045469058901</v>
      </c>
      <c r="J1929">
        <v>8.2548622997361996E-4</v>
      </c>
      <c r="K1929">
        <v>5.73344715019541E-3</v>
      </c>
      <c r="L1929" t="s">
        <v>26</v>
      </c>
      <c r="M1929" t="s">
        <v>27</v>
      </c>
      <c r="N1929">
        <v>60.743514484500999</v>
      </c>
      <c r="O1929">
        <v>40.632656222219502</v>
      </c>
      <c r="P1929">
        <v>75.826658181212196</v>
      </c>
      <c r="Q1929">
        <v>28.953212392297701</v>
      </c>
      <c r="R1929">
        <v>47.406864517918102</v>
      </c>
      <c r="S1929">
        <v>45.537891756442598</v>
      </c>
      <c r="T1929">
        <v>91.659094311625296</v>
      </c>
      <c r="U1929">
        <v>64.237702376566105</v>
      </c>
      <c r="V1929">
        <v>69.887094269001906</v>
      </c>
      <c r="W1929">
        <v>77.522741767655603</v>
      </c>
    </row>
    <row r="1930" spans="1:23" x14ac:dyDescent="0.2">
      <c r="A1930" t="s">
        <v>3867</v>
      </c>
      <c r="B1930" s="3" t="str">
        <f>HYPERLINK("http://www.ncbi.nlm.nih.gov/gene/18595","Pdgfra")</f>
        <v>Pdgfra</v>
      </c>
      <c r="C1930">
        <v>18595</v>
      </c>
      <c r="D1930" t="s">
        <v>3868</v>
      </c>
      <c r="E1930" s="3" t="str">
        <f>HYPERLINK("http://genome.ucsc.edu/cgi-bin/hgTracks?db=mm10&amp;lastVirtModeType=default&amp;lastVirtModeExtraState=&amp;virtModeType=default&amp;virtMode=0&amp;nonVirtPosition=&amp;position=chr5:75152290-75198204","chr5:75152290-75198204")</f>
        <v>chr5:75152290-75198204</v>
      </c>
      <c r="F1930" t="s">
        <v>30</v>
      </c>
      <c r="G1930">
        <v>-0.72181696535094098</v>
      </c>
      <c r="H1930">
        <v>0.21600060596624199</v>
      </c>
      <c r="I1930">
        <v>-3.3417358350547999</v>
      </c>
      <c r="J1930">
        <v>8.3256255626834401E-4</v>
      </c>
      <c r="K1930">
        <v>5.7795983364382596E-3</v>
      </c>
      <c r="L1930" t="s">
        <v>26</v>
      </c>
      <c r="M1930" t="s">
        <v>27</v>
      </c>
      <c r="N1930">
        <v>14563.479829726901</v>
      </c>
      <c r="O1930">
        <v>19149.2637933267</v>
      </c>
      <c r="P1930">
        <v>11124.141857027</v>
      </c>
      <c r="Q1930">
        <v>25816.799980647502</v>
      </c>
      <c r="R1930">
        <v>15424.676694465999</v>
      </c>
      <c r="S1930">
        <v>16206.3147048667</v>
      </c>
      <c r="T1930">
        <v>11196.158370165</v>
      </c>
      <c r="U1930">
        <v>12038.145425368501</v>
      </c>
      <c r="V1930">
        <v>11531.370554385299</v>
      </c>
      <c r="W1930">
        <v>9730.8930781892595</v>
      </c>
    </row>
    <row r="1931" spans="1:23" x14ac:dyDescent="0.2">
      <c r="A1931" t="s">
        <v>3869</v>
      </c>
      <c r="B1931" s="3" t="str">
        <f>HYPERLINK("http://www.ncbi.nlm.nih.gov/gene/229707","Strip1")</f>
        <v>Strip1</v>
      </c>
      <c r="C1931">
        <v>229707</v>
      </c>
      <c r="D1931" t="s">
        <v>3870</v>
      </c>
      <c r="E1931" s="3" t="str">
        <f>HYPERLINK("http://genome.ucsc.edu/cgi-bin/hgTracks?db=mm10&amp;lastVirtModeType=default&amp;lastVirtModeExtraState=&amp;virtModeType=default&amp;virtMode=0&amp;nonVirtPosition=&amp;position=chr3:107612531-107631710","chr3:107612531-107631710")</f>
        <v>chr3:107612531-107631710</v>
      </c>
      <c r="F1931" t="s">
        <v>25</v>
      </c>
      <c r="G1931">
        <v>-0.40048915631565202</v>
      </c>
      <c r="H1931">
        <v>0.119916809843298</v>
      </c>
      <c r="I1931">
        <v>-3.3397249046150699</v>
      </c>
      <c r="J1931">
        <v>8.3861416084791605E-4</v>
      </c>
      <c r="K1931">
        <v>5.8185918279349399E-3</v>
      </c>
      <c r="L1931" t="s">
        <v>26</v>
      </c>
      <c r="M1931" t="s">
        <v>27</v>
      </c>
      <c r="N1931">
        <v>450.42184039068599</v>
      </c>
      <c r="O1931">
        <v>525.06574251255995</v>
      </c>
      <c r="P1931">
        <v>394.43891379928101</v>
      </c>
      <c r="Q1931">
        <v>538.41839198753598</v>
      </c>
      <c r="R1931">
        <v>520.33774494866896</v>
      </c>
      <c r="S1931">
        <v>516.441090601474</v>
      </c>
      <c r="T1931">
        <v>380.385241393245</v>
      </c>
      <c r="U1931">
        <v>432.53386266887799</v>
      </c>
      <c r="V1931">
        <v>423.736487357317</v>
      </c>
      <c r="W1931">
        <v>341.10006377768502</v>
      </c>
    </row>
    <row r="1932" spans="1:23" x14ac:dyDescent="0.2">
      <c r="A1932" t="s">
        <v>3871</v>
      </c>
      <c r="B1932" s="3" t="str">
        <f>HYPERLINK("http://www.ncbi.nlm.nih.gov/gene/74325","Cltb")</f>
        <v>Cltb</v>
      </c>
      <c r="C1932">
        <v>74325</v>
      </c>
      <c r="D1932" t="s">
        <v>3872</v>
      </c>
      <c r="E1932" s="3" t="str">
        <f>HYPERLINK("http://genome.ucsc.edu/cgi-bin/hgTracks?db=mm10&amp;lastVirtModeType=default&amp;lastVirtModeExtraState=&amp;virtModeType=default&amp;virtMode=0&amp;nonVirtPosition=&amp;position=chr13:54592938-54611272","chr13:54592938-54611272")</f>
        <v>chr13:54592938-54611272</v>
      </c>
      <c r="F1932" t="s">
        <v>25</v>
      </c>
      <c r="G1932">
        <v>-0.445129490708914</v>
      </c>
      <c r="H1932">
        <v>0.13328956917002799</v>
      </c>
      <c r="I1932">
        <v>-3.3395673305920401</v>
      </c>
      <c r="J1932">
        <v>8.3909007675686304E-4</v>
      </c>
      <c r="K1932">
        <v>5.8188789320824203E-3</v>
      </c>
      <c r="L1932" t="s">
        <v>26</v>
      </c>
      <c r="M1932" t="s">
        <v>27</v>
      </c>
      <c r="N1932">
        <v>426.06631762593901</v>
      </c>
      <c r="O1932">
        <v>502.19975602330499</v>
      </c>
      <c r="P1932">
        <v>368.96623882791403</v>
      </c>
      <c r="Q1932">
        <v>422.60554241834501</v>
      </c>
      <c r="R1932">
        <v>542.71378500112598</v>
      </c>
      <c r="S1932">
        <v>541.279940650443</v>
      </c>
      <c r="T1932">
        <v>394.13410553998898</v>
      </c>
      <c r="U1932">
        <v>376.86118727585398</v>
      </c>
      <c r="V1932">
        <v>358.99896845550398</v>
      </c>
      <c r="W1932">
        <v>345.87069404031001</v>
      </c>
    </row>
    <row r="1933" spans="1:23" x14ac:dyDescent="0.2">
      <c r="A1933" t="s">
        <v>3873</v>
      </c>
      <c r="B1933" s="3" t="str">
        <f>HYPERLINK("http://www.ncbi.nlm.nih.gov/gene/21422","Tfcp2")</f>
        <v>Tfcp2</v>
      </c>
      <c r="C1933">
        <v>21422</v>
      </c>
      <c r="D1933" t="s">
        <v>3874</v>
      </c>
      <c r="E1933" s="3" t="str">
        <f>HYPERLINK("http://genome.ucsc.edu/cgi-bin/hgTracks?db=mm10&amp;lastVirtModeType=default&amp;lastVirtModeExtraState=&amp;virtModeType=default&amp;virtMode=0&amp;nonVirtPosition=&amp;position=chr15:100502747-100552008","chr15:100502747-100552008")</f>
        <v>chr15:100502747-100552008</v>
      </c>
      <c r="F1933" t="s">
        <v>25</v>
      </c>
      <c r="G1933">
        <v>0.483480227769787</v>
      </c>
      <c r="H1933">
        <v>0.14484734364641799</v>
      </c>
      <c r="I1933">
        <v>3.3378605060924902</v>
      </c>
      <c r="J1933">
        <v>8.4426122349469596E-4</v>
      </c>
      <c r="K1933">
        <v>5.8517091324106997E-3</v>
      </c>
      <c r="L1933" t="s">
        <v>26</v>
      </c>
      <c r="M1933" t="s">
        <v>27</v>
      </c>
      <c r="N1933">
        <v>165.31652826369501</v>
      </c>
      <c r="O1933">
        <v>132.834697207994</v>
      </c>
      <c r="P1933">
        <v>189.67790155546999</v>
      </c>
      <c r="Q1933">
        <v>129.732663219334</v>
      </c>
      <c r="R1933">
        <v>124.39561249501701</v>
      </c>
      <c r="S1933">
        <v>144.37581590963001</v>
      </c>
      <c r="T1933">
        <v>197.06705276999401</v>
      </c>
      <c r="U1933">
        <v>192.71310712969799</v>
      </c>
      <c r="V1933">
        <v>172.14294798891001</v>
      </c>
      <c r="W1933">
        <v>196.78849833327999</v>
      </c>
    </row>
    <row r="1934" spans="1:23" x14ac:dyDescent="0.2">
      <c r="A1934" t="s">
        <v>3875</v>
      </c>
      <c r="B1934" s="3" t="str">
        <f>HYPERLINK("http://www.ncbi.nlm.nih.gov/gene/69543","Capns2")</f>
        <v>Capns2</v>
      </c>
      <c r="C1934">
        <v>69543</v>
      </c>
      <c r="D1934" t="s">
        <v>3876</v>
      </c>
      <c r="E1934" s="3" t="str">
        <f>HYPERLINK("http://genome.ucsc.edu/cgi-bin/hgTracks?db=mm10&amp;lastVirtModeType=default&amp;lastVirtModeExtraState=&amp;virtModeType=default&amp;virtMode=0&amp;nonVirtPosition=&amp;position=chr8:92901394-92902409","chr8:92901394-92902409")</f>
        <v>chr8:92901394-92902409</v>
      </c>
      <c r="F1934" t="s">
        <v>30</v>
      </c>
      <c r="G1934">
        <v>1.33050438339425</v>
      </c>
      <c r="H1934">
        <v>0.398722755653804</v>
      </c>
      <c r="I1934">
        <v>3.3369161015467101</v>
      </c>
      <c r="J1934">
        <v>8.4713516173262496E-4</v>
      </c>
      <c r="K1934">
        <v>5.8685912833738203E-3</v>
      </c>
      <c r="L1934" t="s">
        <v>26</v>
      </c>
      <c r="M1934" t="s">
        <v>27</v>
      </c>
      <c r="N1934">
        <v>11.8981827201098</v>
      </c>
      <c r="O1934">
        <v>3.1501121450656799</v>
      </c>
      <c r="P1934">
        <v>18.459235651392898</v>
      </c>
      <c r="Q1934">
        <v>7.79509564408015</v>
      </c>
      <c r="R1934">
        <v>1.1377647484300299</v>
      </c>
      <c r="S1934">
        <v>0.51747604268684799</v>
      </c>
      <c r="T1934">
        <v>22.914773577906299</v>
      </c>
      <c r="U1934">
        <v>10.7062837294277</v>
      </c>
      <c r="V1934">
        <v>13.977418853800399</v>
      </c>
      <c r="W1934">
        <v>26.2384664444373</v>
      </c>
    </row>
    <row r="1935" spans="1:23" x14ac:dyDescent="0.2">
      <c r="A1935" t="s">
        <v>3877</v>
      </c>
      <c r="B1935" s="3" t="str">
        <f>HYPERLINK("http://www.ncbi.nlm.nih.gov/gene/20502","Slc16a2")</f>
        <v>Slc16a2</v>
      </c>
      <c r="C1935">
        <v>20502</v>
      </c>
      <c r="D1935" t="s">
        <v>3878</v>
      </c>
      <c r="E1935" s="3" t="str">
        <f>HYPERLINK("http://genome.ucsc.edu/cgi-bin/hgTracks?db=mm10&amp;lastVirtModeType=default&amp;lastVirtModeExtraState=&amp;virtModeType=default&amp;virtMode=0&amp;nonVirtPosition=&amp;position=chrX:103697413-103821988","chrX:103697413-103821988")</f>
        <v>chrX:103697413-103821988</v>
      </c>
      <c r="F1935" t="s">
        <v>25</v>
      </c>
      <c r="G1935">
        <v>-0.46174102157794</v>
      </c>
      <c r="H1935">
        <v>0.13847508675520201</v>
      </c>
      <c r="I1935">
        <v>-3.3344699931057802</v>
      </c>
      <c r="J1935">
        <v>8.5462120783796403E-4</v>
      </c>
      <c r="K1935">
        <v>5.9173901727808597E-3</v>
      </c>
      <c r="L1935" t="s">
        <v>26</v>
      </c>
      <c r="M1935" t="s">
        <v>27</v>
      </c>
      <c r="N1935">
        <v>224.78592431180601</v>
      </c>
      <c r="O1935">
        <v>269.358289438111</v>
      </c>
      <c r="P1935">
        <v>191.35665046707601</v>
      </c>
      <c r="Q1935">
        <v>297.88401211306302</v>
      </c>
      <c r="R1935">
        <v>240.068361918737</v>
      </c>
      <c r="S1935">
        <v>270.12249428253398</v>
      </c>
      <c r="T1935">
        <v>178.735233907669</v>
      </c>
      <c r="U1935">
        <v>194.854363875584</v>
      </c>
      <c r="V1935">
        <v>198.62647844874201</v>
      </c>
      <c r="W1935">
        <v>193.21052563631099</v>
      </c>
    </row>
    <row r="1936" spans="1:23" x14ac:dyDescent="0.2">
      <c r="A1936" t="s">
        <v>3879</v>
      </c>
      <c r="B1936" s="3" t="str">
        <f>HYPERLINK("http://www.ncbi.nlm.nih.gov/gene/74388","Dpp8")</f>
        <v>Dpp8</v>
      </c>
      <c r="C1936">
        <v>74388</v>
      </c>
      <c r="D1936" t="s">
        <v>3880</v>
      </c>
      <c r="E1936" s="3" t="str">
        <f>HYPERLINK("http://genome.ucsc.edu/cgi-bin/hgTracks?db=mm10&amp;lastVirtModeType=default&amp;lastVirtModeExtraState=&amp;virtModeType=default&amp;virtMode=0&amp;nonVirtPosition=&amp;position=chr9:65032457-65082651","chr9:65032457-65082651")</f>
        <v>chr9:65032457-65082651</v>
      </c>
      <c r="F1936" t="s">
        <v>30</v>
      </c>
      <c r="G1936">
        <v>-0.431384874184643</v>
      </c>
      <c r="H1936">
        <v>0.12944093278672</v>
      </c>
      <c r="I1936">
        <v>-3.3326774220287398</v>
      </c>
      <c r="J1936">
        <v>8.6014607604718298E-4</v>
      </c>
      <c r="K1936">
        <v>5.9525664621952598E-3</v>
      </c>
      <c r="L1936" t="s">
        <v>26</v>
      </c>
      <c r="M1936" t="s">
        <v>27</v>
      </c>
      <c r="N1936">
        <v>962.06338777691701</v>
      </c>
      <c r="O1936">
        <v>1131.52422956584</v>
      </c>
      <c r="P1936">
        <v>834.96775643522801</v>
      </c>
      <c r="Q1936">
        <v>1322.3822967635999</v>
      </c>
      <c r="R1936">
        <v>1077.0839618471</v>
      </c>
      <c r="S1936">
        <v>995.10643008680802</v>
      </c>
      <c r="T1936">
        <v>898.25912425392801</v>
      </c>
      <c r="U1936">
        <v>783.69996899410603</v>
      </c>
      <c r="V1936">
        <v>800.391142786042</v>
      </c>
      <c r="W1936">
        <v>857.52078970683601</v>
      </c>
    </row>
    <row r="1937" spans="1:23" x14ac:dyDescent="0.2">
      <c r="A1937" t="s">
        <v>3881</v>
      </c>
      <c r="B1937" s="3" t="str">
        <f>HYPERLINK("http://www.ncbi.nlm.nih.gov/gene/52906","Ahi1")</f>
        <v>Ahi1</v>
      </c>
      <c r="C1937">
        <v>52906</v>
      </c>
      <c r="D1937" t="s">
        <v>3882</v>
      </c>
      <c r="E1937" s="3" t="str">
        <f>HYPERLINK("http://genome.ucsc.edu/cgi-bin/hgTracks?db=mm10&amp;lastVirtModeType=default&amp;lastVirtModeExtraState=&amp;virtModeType=default&amp;virtMode=0&amp;nonVirtPosition=&amp;position=chr10:20952546-21080429","chr10:20952546-21080429")</f>
        <v>chr10:20952546-21080429</v>
      </c>
      <c r="F1937" t="s">
        <v>30</v>
      </c>
      <c r="G1937">
        <v>-0.55367512190604296</v>
      </c>
      <c r="H1937">
        <v>0.166174666801433</v>
      </c>
      <c r="I1937">
        <v>-3.3318864575648299</v>
      </c>
      <c r="J1937">
        <v>8.6259441664688003E-4</v>
      </c>
      <c r="K1937">
        <v>5.9664265667966803E-3</v>
      </c>
      <c r="L1937" t="s">
        <v>26</v>
      </c>
      <c r="M1937" t="s">
        <v>27</v>
      </c>
      <c r="N1937">
        <v>833.68863743054305</v>
      </c>
      <c r="O1937">
        <v>1032.2663773121601</v>
      </c>
      <c r="P1937">
        <v>684.755332519332</v>
      </c>
      <c r="Q1937">
        <v>1017.25998155246</v>
      </c>
      <c r="R1937">
        <v>1133.5929443524601</v>
      </c>
      <c r="S1937">
        <v>945.94620603155704</v>
      </c>
      <c r="T1937">
        <v>531.62274700742705</v>
      </c>
      <c r="U1937">
        <v>687.34341542925699</v>
      </c>
      <c r="V1937">
        <v>617.21339043886906</v>
      </c>
      <c r="W1937">
        <v>902.84177720177399</v>
      </c>
    </row>
    <row r="1938" spans="1:23" x14ac:dyDescent="0.2">
      <c r="A1938" t="s">
        <v>3883</v>
      </c>
      <c r="B1938" s="3" t="str">
        <f>HYPERLINK("http://www.ncbi.nlm.nih.gov/gene/75540","Fpgt")</f>
        <v>Fpgt</v>
      </c>
      <c r="C1938">
        <v>75540</v>
      </c>
      <c r="D1938" t="s">
        <v>3884</v>
      </c>
      <c r="E1938" s="3" t="str">
        <f>HYPERLINK("http://genome.ucsc.edu/cgi-bin/hgTracks?db=mm10&amp;lastVirtModeType=default&amp;lastVirtModeExtraState=&amp;virtModeType=default&amp;virtMode=0&amp;nonVirtPosition=&amp;position=chr3:155084918-155093378","chr3:155084918-155093378")</f>
        <v>chr3:155084918-155093378</v>
      </c>
      <c r="F1938" t="s">
        <v>25</v>
      </c>
      <c r="G1938">
        <v>-0.66224859352699394</v>
      </c>
      <c r="H1938">
        <v>0.19884284109452499</v>
      </c>
      <c r="I1938">
        <v>-3.3305126293793901</v>
      </c>
      <c r="J1938">
        <v>8.6686231134260603E-4</v>
      </c>
      <c r="K1938">
        <v>5.9897837006089799E-3</v>
      </c>
      <c r="L1938" t="s">
        <v>26</v>
      </c>
      <c r="M1938" t="s">
        <v>27</v>
      </c>
      <c r="N1938">
        <v>148.125515805379</v>
      </c>
      <c r="O1938">
        <v>193.27289309499901</v>
      </c>
      <c r="P1938">
        <v>114.26498283816299</v>
      </c>
      <c r="Q1938">
        <v>216.59230039622699</v>
      </c>
      <c r="R1938">
        <v>184.69714416180901</v>
      </c>
      <c r="S1938">
        <v>178.52923472696199</v>
      </c>
      <c r="T1938">
        <v>105.407958458369</v>
      </c>
      <c r="U1938">
        <v>77.0852428518793</v>
      </c>
      <c r="V1938">
        <v>149.33768564849899</v>
      </c>
      <c r="W1938">
        <v>125.229044393905</v>
      </c>
    </row>
    <row r="1939" spans="1:23" x14ac:dyDescent="0.2">
      <c r="A1939" t="s">
        <v>3885</v>
      </c>
      <c r="B1939" s="3" t="str">
        <f>HYPERLINK("http://www.ncbi.nlm.nih.gov/gene/12540","Cdc42")</f>
        <v>Cdc42</v>
      </c>
      <c r="C1939">
        <v>12540</v>
      </c>
      <c r="D1939" t="s">
        <v>3886</v>
      </c>
      <c r="E1939" s="3" t="str">
        <f>HYPERLINK("http://genome.ucsc.edu/cgi-bin/hgTracks?db=mm10&amp;lastVirtModeType=default&amp;lastVirtModeExtraState=&amp;virtModeType=default&amp;virtMode=0&amp;nonVirtPosition=&amp;position=chr4:137319695-137357759","chr4:137319695-137357759")</f>
        <v>chr4:137319695-137357759</v>
      </c>
      <c r="F1939" t="s">
        <v>25</v>
      </c>
      <c r="G1939">
        <v>-0.323965848149666</v>
      </c>
      <c r="H1939">
        <v>9.7272100498957903E-2</v>
      </c>
      <c r="I1939">
        <v>-3.33051148775322</v>
      </c>
      <c r="J1939">
        <v>8.66865866013009E-4</v>
      </c>
      <c r="K1939">
        <v>5.9897837006089799E-3</v>
      </c>
      <c r="L1939" t="s">
        <v>26</v>
      </c>
      <c r="M1939" t="s">
        <v>27</v>
      </c>
      <c r="N1939">
        <v>1614.2799897623599</v>
      </c>
      <c r="O1939">
        <v>1829.05874934553</v>
      </c>
      <c r="P1939">
        <v>1453.19592007498</v>
      </c>
      <c r="Q1939">
        <v>1838.5289869108999</v>
      </c>
      <c r="R1939">
        <v>1909.92775769788</v>
      </c>
      <c r="S1939">
        <v>1738.71950342781</v>
      </c>
      <c r="T1939">
        <v>1402.38414296787</v>
      </c>
      <c r="U1939">
        <v>1490.3146951363301</v>
      </c>
      <c r="V1939">
        <v>1538.9873811658099</v>
      </c>
      <c r="W1939">
        <v>1381.0974610299299</v>
      </c>
    </row>
    <row r="1940" spans="1:23" x14ac:dyDescent="0.2">
      <c r="A1940" t="s">
        <v>3887</v>
      </c>
      <c r="B1940" s="3" t="str">
        <f>HYPERLINK("http://www.ncbi.nlm.nih.gov/gene/22192","Ube2m")</f>
        <v>Ube2m</v>
      </c>
      <c r="C1940">
        <v>22192</v>
      </c>
      <c r="D1940" t="s">
        <v>3888</v>
      </c>
      <c r="E1940" s="3" t="str">
        <f>HYPERLINK("http://genome.ucsc.edu/cgi-bin/hgTracks?db=mm10&amp;lastVirtModeType=default&amp;lastVirtModeExtraState=&amp;virtModeType=default&amp;virtMode=0&amp;nonVirtPosition=&amp;position=chr7:13035119-13038275","chr7:13035119-13038275")</f>
        <v>chr7:13035119-13038275</v>
      </c>
      <c r="F1940" t="s">
        <v>25</v>
      </c>
      <c r="G1940">
        <v>-0.48018617347287701</v>
      </c>
      <c r="H1940">
        <v>0.144202333776841</v>
      </c>
      <c r="I1940">
        <v>-3.3299473101176398</v>
      </c>
      <c r="J1940">
        <v>8.68624195169144E-4</v>
      </c>
      <c r="K1940">
        <v>5.9988378532800498E-3</v>
      </c>
      <c r="L1940" t="s">
        <v>26</v>
      </c>
      <c r="M1940" t="s">
        <v>27</v>
      </c>
      <c r="N1940">
        <v>291.18491022821303</v>
      </c>
      <c r="O1940">
        <v>348.531043604557</v>
      </c>
      <c r="P1940">
        <v>248.175310195956</v>
      </c>
      <c r="Q1940">
        <v>292.31608665300598</v>
      </c>
      <c r="R1940">
        <v>395.18362262136498</v>
      </c>
      <c r="S1940">
        <v>358.09342153929902</v>
      </c>
      <c r="T1940">
        <v>252.062509356969</v>
      </c>
      <c r="U1940">
        <v>246.24452577683701</v>
      </c>
      <c r="V1940">
        <v>233.202198771301</v>
      </c>
      <c r="W1940">
        <v>261.192006878717</v>
      </c>
    </row>
    <row r="1941" spans="1:23" x14ac:dyDescent="0.2">
      <c r="A1941" t="s">
        <v>3889</v>
      </c>
      <c r="B1941" s="3" t="str">
        <f>HYPERLINK("http://www.ncbi.nlm.nih.gov/gene/80907","Lactb")</f>
        <v>Lactb</v>
      </c>
      <c r="C1941">
        <v>80907</v>
      </c>
      <c r="D1941" t="s">
        <v>3890</v>
      </c>
      <c r="E1941" s="3" t="str">
        <f>HYPERLINK("http://genome.ucsc.edu/cgi-bin/hgTracks?db=mm10&amp;lastVirtModeType=default&amp;lastVirtModeExtraState=&amp;virtModeType=default&amp;virtMode=0&amp;nonVirtPosition=&amp;position=chr9:66955392-66975484","chr9:66955392-66975484")</f>
        <v>chr9:66955392-66975484</v>
      </c>
      <c r="F1941" t="s">
        <v>25</v>
      </c>
      <c r="G1941">
        <v>-0.71878790164720796</v>
      </c>
      <c r="H1941">
        <v>0.21586614925140499</v>
      </c>
      <c r="I1941">
        <v>-3.3297851661312698</v>
      </c>
      <c r="J1941">
        <v>8.6913014833161595E-4</v>
      </c>
      <c r="K1941">
        <v>5.9992380496436404E-3</v>
      </c>
      <c r="L1941" t="s">
        <v>26</v>
      </c>
      <c r="M1941" t="s">
        <v>27</v>
      </c>
      <c r="N1941">
        <v>59.070657771216503</v>
      </c>
      <c r="O1941">
        <v>77.073058442169</v>
      </c>
      <c r="P1941">
        <v>45.568857268002198</v>
      </c>
      <c r="Q1941">
        <v>86.302844630887407</v>
      </c>
      <c r="R1941">
        <v>76.6094930609556</v>
      </c>
      <c r="S1941">
        <v>68.306837634663907</v>
      </c>
      <c r="T1941">
        <v>50.4125018713939</v>
      </c>
      <c r="U1941">
        <v>44.966391663596198</v>
      </c>
      <c r="V1941">
        <v>46.346178304706498</v>
      </c>
      <c r="W1941">
        <v>40.550357232312201</v>
      </c>
    </row>
    <row r="1942" spans="1:23" x14ac:dyDescent="0.2">
      <c r="A1942" t="s">
        <v>3891</v>
      </c>
      <c r="B1942" s="3" t="str">
        <f>HYPERLINK("http://www.ncbi.nlm.nih.gov/gene/14314","Fstl1")</f>
        <v>Fstl1</v>
      </c>
      <c r="C1942">
        <v>14314</v>
      </c>
      <c r="D1942" t="s">
        <v>3892</v>
      </c>
      <c r="E1942" s="3" t="str">
        <f>HYPERLINK("http://genome.ucsc.edu/cgi-bin/hgTracks?db=mm10&amp;lastVirtModeType=default&amp;lastVirtModeExtraState=&amp;virtModeType=default&amp;virtMode=0&amp;nonVirtPosition=&amp;position=chr16:37777054-37836516","chr16:37777054-37836516")</f>
        <v>chr16:37777054-37836516</v>
      </c>
      <c r="F1942" t="s">
        <v>30</v>
      </c>
      <c r="G1942">
        <v>-0.818885382237305</v>
      </c>
      <c r="H1942">
        <v>0.245996726699344</v>
      </c>
      <c r="I1942">
        <v>-3.3288466607856302</v>
      </c>
      <c r="J1942">
        <v>8.7206402705393698E-4</v>
      </c>
      <c r="K1942">
        <v>6.0141060867901696E-3</v>
      </c>
      <c r="L1942" t="s">
        <v>26</v>
      </c>
      <c r="M1942" t="s">
        <v>27</v>
      </c>
      <c r="N1942">
        <v>311.94411033076602</v>
      </c>
      <c r="O1942">
        <v>431.80154234299903</v>
      </c>
      <c r="P1942">
        <v>222.05103632159199</v>
      </c>
      <c r="Q1942">
        <v>543.98631744759302</v>
      </c>
      <c r="R1942">
        <v>330.71028687699697</v>
      </c>
      <c r="S1942">
        <v>420.70802270440697</v>
      </c>
      <c r="T1942">
        <v>105.407958458369</v>
      </c>
      <c r="U1942">
        <v>209.84316109678201</v>
      </c>
      <c r="V1942">
        <v>323.687594509061</v>
      </c>
      <c r="W1942">
        <v>249.26543122215401</v>
      </c>
    </row>
    <row r="1943" spans="1:23" x14ac:dyDescent="0.2">
      <c r="A1943" t="s">
        <v>3893</v>
      </c>
      <c r="B1943" s="3" t="str">
        <f>HYPERLINK("http://www.ncbi.nlm.nih.gov/gene/76295","Atp11b")</f>
        <v>Atp11b</v>
      </c>
      <c r="C1943">
        <v>76295</v>
      </c>
      <c r="D1943" t="s">
        <v>3894</v>
      </c>
      <c r="E1943" s="3" t="str">
        <f>HYPERLINK("http://genome.ucsc.edu/cgi-bin/hgTracks?db=mm10&amp;lastVirtModeType=default&amp;lastVirtModeExtraState=&amp;virtModeType=default&amp;virtMode=0&amp;nonVirtPosition=&amp;position=chr3:35754137-35856276","chr3:35754137-35856276")</f>
        <v>chr3:35754137-35856276</v>
      </c>
      <c r="F1943" t="s">
        <v>30</v>
      </c>
      <c r="G1943">
        <v>0.42641669412984501</v>
      </c>
      <c r="H1943">
        <v>0.12809910986432099</v>
      </c>
      <c r="I1943">
        <v>3.3288029447003602</v>
      </c>
      <c r="J1943">
        <v>8.7220091227356697E-4</v>
      </c>
      <c r="K1943">
        <v>6.0141060867901696E-3</v>
      </c>
      <c r="L1943" t="s">
        <v>26</v>
      </c>
      <c r="M1943" t="s">
        <v>27</v>
      </c>
      <c r="N1943">
        <v>341.80367953951901</v>
      </c>
      <c r="O1943">
        <v>286.31055684187299</v>
      </c>
      <c r="P1943">
        <v>383.42352156275302</v>
      </c>
      <c r="Q1943">
        <v>276.72589536484497</v>
      </c>
      <c r="R1943">
        <v>269.650245377918</v>
      </c>
      <c r="S1943">
        <v>312.55552978285601</v>
      </c>
      <c r="T1943">
        <v>371.21933196208198</v>
      </c>
      <c r="U1943">
        <v>336.17730910402901</v>
      </c>
      <c r="V1943">
        <v>420.79387286178002</v>
      </c>
      <c r="W1943">
        <v>405.503572323122</v>
      </c>
    </row>
    <row r="1944" spans="1:23" x14ac:dyDescent="0.2">
      <c r="A1944" t="s">
        <v>3895</v>
      </c>
      <c r="B1944" s="3" t="str">
        <f>HYPERLINK("http://www.ncbi.nlm.nih.gov/gene/20510","Slc1a1")</f>
        <v>Slc1a1</v>
      </c>
      <c r="C1944">
        <v>20510</v>
      </c>
      <c r="D1944" t="s">
        <v>3896</v>
      </c>
      <c r="E1944" s="3" t="str">
        <f>HYPERLINK("http://genome.ucsc.edu/cgi-bin/hgTracks?db=mm10&amp;lastVirtModeType=default&amp;lastVirtModeExtraState=&amp;virtModeType=default&amp;virtMode=0&amp;nonVirtPosition=&amp;position=chr19:28835165-28913960","chr19:28835165-28913960")</f>
        <v>chr19:28835165-28913960</v>
      </c>
      <c r="F1944" t="s">
        <v>30</v>
      </c>
      <c r="G1944">
        <v>-0.41597620925124801</v>
      </c>
      <c r="H1944">
        <v>0.124967862299195</v>
      </c>
      <c r="I1944">
        <v>-3.3286654792519998</v>
      </c>
      <c r="J1944">
        <v>8.7263147835361899E-4</v>
      </c>
      <c r="K1944">
        <v>6.0141060867901696E-3</v>
      </c>
      <c r="L1944" t="s">
        <v>26</v>
      </c>
      <c r="M1944" t="s">
        <v>27</v>
      </c>
      <c r="N1944">
        <v>465.53772675398199</v>
      </c>
      <c r="O1944">
        <v>549.285645625504</v>
      </c>
      <c r="P1944">
        <v>402.72678760034103</v>
      </c>
      <c r="Q1944">
        <v>605.79029005422899</v>
      </c>
      <c r="R1944">
        <v>504.409038470648</v>
      </c>
      <c r="S1944">
        <v>537.65760835163496</v>
      </c>
      <c r="T1944">
        <v>366.63637724650101</v>
      </c>
      <c r="U1944">
        <v>385.42621425939598</v>
      </c>
      <c r="V1944">
        <v>450.95567144103302</v>
      </c>
      <c r="W1944">
        <v>407.88888745443398</v>
      </c>
    </row>
    <row r="1945" spans="1:23" x14ac:dyDescent="0.2">
      <c r="A1945" t="s">
        <v>3897</v>
      </c>
      <c r="B1945" s="3" t="str">
        <f>HYPERLINK("http://www.ncbi.nlm.nih.gov/gene/16582","Kifc3")</f>
        <v>Kifc3</v>
      </c>
      <c r="C1945">
        <v>16582</v>
      </c>
      <c r="D1945" t="s">
        <v>3898</v>
      </c>
      <c r="E1945" s="3" t="str">
        <f>HYPERLINK("http://genome.ucsc.edu/cgi-bin/hgTracks?db=mm10&amp;lastVirtModeType=default&amp;lastVirtModeExtraState=&amp;virtModeType=default&amp;virtMode=0&amp;nonVirtPosition=&amp;position=chr8:95099827-95142540","chr8:95099827-95142540")</f>
        <v>chr8:95099827-95142540</v>
      </c>
      <c r="F1945" t="s">
        <v>25</v>
      </c>
      <c r="G1945">
        <v>0.49389742298350803</v>
      </c>
      <c r="H1945">
        <v>0.14839883162842299</v>
      </c>
      <c r="I1945">
        <v>3.32817595370414</v>
      </c>
      <c r="J1945">
        <v>8.7416635983526998E-4</v>
      </c>
      <c r="K1945">
        <v>6.0215852492562297E-3</v>
      </c>
      <c r="L1945" t="s">
        <v>26</v>
      </c>
      <c r="M1945" t="s">
        <v>27</v>
      </c>
      <c r="N1945">
        <v>318.79115914921903</v>
      </c>
      <c r="O1945">
        <v>254.471711613331</v>
      </c>
      <c r="P1945">
        <v>367.03074480113497</v>
      </c>
      <c r="Q1945">
        <v>285.63457610093701</v>
      </c>
      <c r="R1945">
        <v>209.72796862727</v>
      </c>
      <c r="S1945">
        <v>268.05259011178703</v>
      </c>
      <c r="T1945">
        <v>430.797743264639</v>
      </c>
      <c r="U1945">
        <v>338.31856584991499</v>
      </c>
      <c r="V1945">
        <v>362.67723657492502</v>
      </c>
      <c r="W1945">
        <v>336.32943351505997</v>
      </c>
    </row>
    <row r="1946" spans="1:23" x14ac:dyDescent="0.2">
      <c r="A1946" t="s">
        <v>3899</v>
      </c>
      <c r="B1946" s="3" t="str">
        <f>HYPERLINK("http://www.ncbi.nlm.nih.gov/gene/74183","Perm1")</f>
        <v>Perm1</v>
      </c>
      <c r="C1946">
        <v>74183</v>
      </c>
      <c r="D1946" t="s">
        <v>3900</v>
      </c>
      <c r="E1946" s="3" t="str">
        <f>HYPERLINK("http://genome.ucsc.edu/cgi-bin/hgTracks?db=mm10&amp;lastVirtModeType=default&amp;lastVirtModeExtraState=&amp;virtModeType=default&amp;virtMode=0&amp;nonVirtPosition=&amp;position=chr4:156215926-156221307","chr4:156215926-156221307")</f>
        <v>chr4:156215926-156221307</v>
      </c>
      <c r="F1946" t="s">
        <v>30</v>
      </c>
      <c r="G1946">
        <v>1.05423293536523</v>
      </c>
      <c r="H1946">
        <v>0.31680091410491801</v>
      </c>
      <c r="I1946">
        <v>3.3277458758092102</v>
      </c>
      <c r="J1946">
        <v>8.75516911491483E-4</v>
      </c>
      <c r="K1946">
        <v>6.0277876410192504E-3</v>
      </c>
      <c r="L1946" t="s">
        <v>26</v>
      </c>
      <c r="M1946" t="s">
        <v>27</v>
      </c>
      <c r="N1946">
        <v>20.859995529442902</v>
      </c>
      <c r="O1946">
        <v>10.938219981771599</v>
      </c>
      <c r="P1946">
        <v>28.3013271901964</v>
      </c>
      <c r="Q1946">
        <v>13.363021104137401</v>
      </c>
      <c r="R1946">
        <v>9.1021179874402698</v>
      </c>
      <c r="S1946">
        <v>10.349520853736999</v>
      </c>
      <c r="T1946">
        <v>41.246592440231403</v>
      </c>
      <c r="U1946">
        <v>17.130053967084301</v>
      </c>
      <c r="V1946">
        <v>25.012223212063802</v>
      </c>
      <c r="W1946">
        <v>29.816439141406001</v>
      </c>
    </row>
    <row r="1947" spans="1:23" x14ac:dyDescent="0.2">
      <c r="A1947" t="s">
        <v>3901</v>
      </c>
      <c r="B1947" s="3" t="str">
        <f>HYPERLINK("http://www.ncbi.nlm.nih.gov/gene/94184","Pdxdc1")</f>
        <v>Pdxdc1</v>
      </c>
      <c r="C1947">
        <v>94184</v>
      </c>
      <c r="D1947" t="s">
        <v>3902</v>
      </c>
      <c r="E1947" s="3" t="str">
        <f>HYPERLINK("http://genome.ucsc.edu/cgi-bin/hgTracks?db=mm10&amp;lastVirtModeType=default&amp;lastVirtModeExtraState=&amp;virtModeType=default&amp;virtMode=0&amp;nonVirtPosition=&amp;position=chr16:13835699-13903145","chr16:13835699-13903145")</f>
        <v>chr16:13835699-13903145</v>
      </c>
      <c r="F1947" t="s">
        <v>25</v>
      </c>
      <c r="G1947">
        <v>-0.47670545940331999</v>
      </c>
      <c r="H1947">
        <v>0.14328234524386901</v>
      </c>
      <c r="I1947">
        <v>-3.3270355715629898</v>
      </c>
      <c r="J1947">
        <v>8.7775168020558995E-4</v>
      </c>
      <c r="K1947">
        <v>6.0373759865899003E-3</v>
      </c>
      <c r="L1947" t="s">
        <v>26</v>
      </c>
      <c r="M1947" t="s">
        <v>27</v>
      </c>
      <c r="N1947">
        <v>312.09153120914499</v>
      </c>
      <c r="O1947">
        <v>377.59071198916098</v>
      </c>
      <c r="P1947">
        <v>262.96714562413302</v>
      </c>
      <c r="Q1947">
        <v>398.66346294009901</v>
      </c>
      <c r="R1947">
        <v>373.94534731733802</v>
      </c>
      <c r="S1947">
        <v>360.16332571004602</v>
      </c>
      <c r="T1947">
        <v>247.47955464138801</v>
      </c>
      <c r="U1947">
        <v>214.12567458855401</v>
      </c>
      <c r="V1947">
        <v>311.18148290302901</v>
      </c>
      <c r="W1947">
        <v>279.08187036355997</v>
      </c>
    </row>
    <row r="1948" spans="1:23" x14ac:dyDescent="0.2">
      <c r="A1948" t="s">
        <v>3903</v>
      </c>
      <c r="B1948" s="3" t="str">
        <f>HYPERLINK("http://www.ncbi.nlm.nih.gov/gene/12453","Ccni")</f>
        <v>Ccni</v>
      </c>
      <c r="C1948">
        <v>12453</v>
      </c>
      <c r="D1948" t="s">
        <v>3904</v>
      </c>
      <c r="E1948" s="3" t="str">
        <f>HYPERLINK("http://genome.ucsc.edu/cgi-bin/hgTracks?db=mm10&amp;lastVirtModeType=default&amp;lastVirtModeExtraState=&amp;virtModeType=default&amp;virtMode=0&amp;nonVirtPosition=&amp;position=chr5:93181932-93206495","chr5:93181932-93206495")</f>
        <v>chr5:93181932-93206495</v>
      </c>
      <c r="F1948" t="s">
        <v>25</v>
      </c>
      <c r="G1948">
        <v>-0.37391158594322199</v>
      </c>
      <c r="H1948">
        <v>0.112386448781591</v>
      </c>
      <c r="I1948">
        <v>-3.3270166465520501</v>
      </c>
      <c r="J1948">
        <v>8.7781129459267701E-4</v>
      </c>
      <c r="K1948">
        <v>6.0373759865899003E-3</v>
      </c>
      <c r="L1948" t="s">
        <v>26</v>
      </c>
      <c r="M1948" t="s">
        <v>27</v>
      </c>
      <c r="N1948">
        <v>481.776970575787</v>
      </c>
      <c r="O1948">
        <v>552.21292241040896</v>
      </c>
      <c r="P1948">
        <v>428.95000669981999</v>
      </c>
      <c r="Q1948">
        <v>554.56537582170199</v>
      </c>
      <c r="R1948">
        <v>538.54198092354898</v>
      </c>
      <c r="S1948">
        <v>563.53141048597695</v>
      </c>
      <c r="T1948">
        <v>481.210245136033</v>
      </c>
      <c r="U1948">
        <v>415.40380870179399</v>
      </c>
      <c r="V1948">
        <v>439.92086708276997</v>
      </c>
      <c r="W1948">
        <v>379.26510587868398</v>
      </c>
    </row>
    <row r="1949" spans="1:23" x14ac:dyDescent="0.2">
      <c r="A1949" t="s">
        <v>3905</v>
      </c>
      <c r="B1949" s="3" t="str">
        <f>HYPERLINK("http://www.ncbi.nlm.nih.gov/gene/26381","Esrrg")</f>
        <v>Esrrg</v>
      </c>
      <c r="C1949">
        <v>26381</v>
      </c>
      <c r="D1949" t="s">
        <v>3906</v>
      </c>
      <c r="E1949" s="3" t="str">
        <f>HYPERLINK("http://genome.ucsc.edu/cgi-bin/hgTracks?db=mm10&amp;lastVirtModeType=default&amp;lastVirtModeExtraState=&amp;virtModeType=default&amp;virtMode=0&amp;nonVirtPosition=&amp;position=chr1:187997826-188214884","chr1:187997826-188214884")</f>
        <v>chr1:187997826-188214884</v>
      </c>
      <c r="F1949" t="s">
        <v>30</v>
      </c>
      <c r="G1949">
        <v>-1.0310862062231601</v>
      </c>
      <c r="H1949">
        <v>0.30992882812601802</v>
      </c>
      <c r="I1949">
        <v>-3.3268483363022798</v>
      </c>
      <c r="J1949">
        <v>8.7834164240346195E-4</v>
      </c>
      <c r="K1949">
        <v>6.0379224504233898E-3</v>
      </c>
      <c r="L1949" t="s">
        <v>26</v>
      </c>
      <c r="M1949" t="s">
        <v>27</v>
      </c>
      <c r="N1949">
        <v>91.524739364898593</v>
      </c>
      <c r="O1949">
        <v>136.05420580864799</v>
      </c>
      <c r="P1949">
        <v>58.127639532086697</v>
      </c>
      <c r="Q1949">
        <v>75.1669937107729</v>
      </c>
      <c r="R1949">
        <v>144.11686813447099</v>
      </c>
      <c r="S1949">
        <v>188.87875558069899</v>
      </c>
      <c r="T1949">
        <v>54.995456586975202</v>
      </c>
      <c r="U1949">
        <v>100.63906705661999</v>
      </c>
      <c r="V1949">
        <v>37.518334818095703</v>
      </c>
      <c r="W1949">
        <v>39.357699666655897</v>
      </c>
    </row>
    <row r="1950" spans="1:23" x14ac:dyDescent="0.2">
      <c r="A1950" t="s">
        <v>3907</v>
      </c>
      <c r="B1950" s="3" t="str">
        <f>HYPERLINK("http://www.ncbi.nlm.nih.gov/gene/77574","Tcaf1")</f>
        <v>Tcaf1</v>
      </c>
      <c r="C1950">
        <v>77574</v>
      </c>
      <c r="D1950" t="s">
        <v>3908</v>
      </c>
      <c r="E1950" s="3" t="str">
        <f>HYPERLINK("http://genome.ucsc.edu/cgi-bin/hgTracks?db=mm10&amp;lastVirtModeType=default&amp;lastVirtModeExtraState=&amp;virtModeType=default&amp;virtMode=0&amp;nonVirtPosition=&amp;position=chr6:42672546-42693059","chr6:42672546-42693059")</f>
        <v>chr6:42672546-42693059</v>
      </c>
      <c r="F1950" t="s">
        <v>25</v>
      </c>
      <c r="G1950">
        <v>-0.41837755127522003</v>
      </c>
      <c r="H1950">
        <v>0.12577664425472099</v>
      </c>
      <c r="I1950">
        <v>-3.3263532649824001</v>
      </c>
      <c r="J1950">
        <v>8.79903341104107E-4</v>
      </c>
      <c r="K1950">
        <v>6.0455544590688002E-3</v>
      </c>
      <c r="L1950" t="s">
        <v>26</v>
      </c>
      <c r="M1950" t="s">
        <v>27</v>
      </c>
      <c r="N1950">
        <v>1134.1077518887801</v>
      </c>
      <c r="O1950">
        <v>1331.2550350781601</v>
      </c>
      <c r="P1950">
        <v>986.24728949675603</v>
      </c>
      <c r="Q1950">
        <v>1533.40667169977</v>
      </c>
      <c r="R1950">
        <v>1262.9188707573401</v>
      </c>
      <c r="S1950">
        <v>1197.4395627773699</v>
      </c>
      <c r="T1950">
        <v>971.58639970322804</v>
      </c>
      <c r="U1950">
        <v>907.89286025546699</v>
      </c>
      <c r="V1950">
        <v>990.92543137205803</v>
      </c>
      <c r="W1950">
        <v>1074.58446665627</v>
      </c>
    </row>
    <row r="1951" spans="1:23" x14ac:dyDescent="0.2">
      <c r="A1951" t="s">
        <v>3909</v>
      </c>
      <c r="B1951" s="3" t="str">
        <f>HYPERLINK("http://www.ncbi.nlm.nih.gov/gene/66177","Ubl5")</f>
        <v>Ubl5</v>
      </c>
      <c r="C1951">
        <v>66177</v>
      </c>
      <c r="D1951" t="s">
        <v>3910</v>
      </c>
      <c r="E1951" s="3" t="str">
        <f>HYPERLINK("http://genome.ucsc.edu/cgi-bin/hgTracks?db=mm10&amp;lastVirtModeType=default&amp;lastVirtModeExtraState=&amp;virtModeType=default&amp;virtMode=0&amp;nonVirtPosition=&amp;position=chr9:20644823-20646790","chr9:20644823-20646790")</f>
        <v>chr9:20644823-20646790</v>
      </c>
      <c r="F1951" t="s">
        <v>30</v>
      </c>
      <c r="G1951">
        <v>-0.490751534560322</v>
      </c>
      <c r="H1951">
        <v>0.14756856216579101</v>
      </c>
      <c r="I1951">
        <v>-3.32558322286132</v>
      </c>
      <c r="J1951">
        <v>8.8233754979848405E-4</v>
      </c>
      <c r="K1951">
        <v>6.0591703227443599E-3</v>
      </c>
      <c r="L1951" t="s">
        <v>26</v>
      </c>
      <c r="M1951" t="s">
        <v>27</v>
      </c>
      <c r="N1951">
        <v>148.50828734567</v>
      </c>
      <c r="O1951">
        <v>178.18486269451901</v>
      </c>
      <c r="P1951">
        <v>126.250855834032</v>
      </c>
      <c r="Q1951">
        <v>188.195880549935</v>
      </c>
      <c r="R1951">
        <v>181.28384991651899</v>
      </c>
      <c r="S1951">
        <v>165.07485761710399</v>
      </c>
      <c r="T1951">
        <v>132.90568675185699</v>
      </c>
      <c r="U1951">
        <v>124.192891261361</v>
      </c>
      <c r="V1951">
        <v>125.06111606031899</v>
      </c>
      <c r="W1951">
        <v>122.843729262593</v>
      </c>
    </row>
    <row r="1952" spans="1:23" x14ac:dyDescent="0.2">
      <c r="A1952" t="s">
        <v>3911</v>
      </c>
      <c r="B1952" s="3" t="str">
        <f>HYPERLINK("http://www.ncbi.nlm.nih.gov/gene/105440","Kctd9")</f>
        <v>Kctd9</v>
      </c>
      <c r="C1952">
        <v>105440</v>
      </c>
      <c r="D1952" t="s">
        <v>3912</v>
      </c>
      <c r="E1952" s="3" t="str">
        <f>HYPERLINK("http://genome.ucsc.edu/cgi-bin/hgTracks?db=mm10&amp;lastVirtModeType=default&amp;lastVirtModeExtraState=&amp;virtModeType=default&amp;virtMode=0&amp;nonVirtPosition=&amp;position=chr14:67716097-67742310","chr14:67716097-67742310")</f>
        <v>chr14:67716097-67742310</v>
      </c>
      <c r="F1952" t="s">
        <v>30</v>
      </c>
      <c r="G1952">
        <v>0.73349979754157502</v>
      </c>
      <c r="H1952">
        <v>0.220627403187166</v>
      </c>
      <c r="I1952">
        <v>3.3246087609494399</v>
      </c>
      <c r="J1952">
        <v>8.8542690624955199E-4</v>
      </c>
      <c r="K1952">
        <v>6.0772689398194499E-3</v>
      </c>
      <c r="L1952" t="s">
        <v>26</v>
      </c>
      <c r="M1952" t="s">
        <v>27</v>
      </c>
      <c r="N1952">
        <v>78.824492907542805</v>
      </c>
      <c r="O1952">
        <v>54.754045710851301</v>
      </c>
      <c r="P1952">
        <v>96.877328305061297</v>
      </c>
      <c r="Q1952">
        <v>37.861893128389298</v>
      </c>
      <c r="R1952">
        <v>60.680786582935099</v>
      </c>
      <c r="S1952">
        <v>65.719457421229606</v>
      </c>
      <c r="T1952">
        <v>100.825003742788</v>
      </c>
      <c r="U1952">
        <v>104.92158054839101</v>
      </c>
      <c r="V1952">
        <v>87.542781242223398</v>
      </c>
      <c r="W1952">
        <v>94.2199476868429</v>
      </c>
    </row>
    <row r="1953" spans="1:23" x14ac:dyDescent="0.2">
      <c r="A1953" t="s">
        <v>3913</v>
      </c>
      <c r="B1953" s="3" t="str">
        <f>HYPERLINK("http://www.ncbi.nlm.nih.gov/gene/105348","Golm1")</f>
        <v>Golm1</v>
      </c>
      <c r="C1953">
        <v>105348</v>
      </c>
      <c r="D1953" t="s">
        <v>3914</v>
      </c>
      <c r="E1953" s="3" t="str">
        <f>HYPERLINK("http://genome.ucsc.edu/cgi-bin/hgTracks?db=mm10&amp;lastVirtModeType=default&amp;lastVirtModeExtraState=&amp;virtModeType=default&amp;virtMode=0&amp;nonVirtPosition=&amp;position=chr13:59634995-59675784","chr13:59634995-59675784")</f>
        <v>chr13:59634995-59675784</v>
      </c>
      <c r="F1953" t="s">
        <v>25</v>
      </c>
      <c r="G1953">
        <v>-0.49962119972584601</v>
      </c>
      <c r="H1953">
        <v>0.150287842061437</v>
      </c>
      <c r="I1953">
        <v>-3.3244285956385098</v>
      </c>
      <c r="J1953">
        <v>8.8599918519663304E-4</v>
      </c>
      <c r="K1953">
        <v>6.0780815004959597E-3</v>
      </c>
      <c r="L1953" t="s">
        <v>26</v>
      </c>
      <c r="M1953" t="s">
        <v>27</v>
      </c>
      <c r="N1953">
        <v>217.68676810761599</v>
      </c>
      <c r="O1953">
        <v>264.95321260528101</v>
      </c>
      <c r="P1953">
        <v>182.236934734366</v>
      </c>
      <c r="Q1953">
        <v>275.61231027283401</v>
      </c>
      <c r="R1953">
        <v>267.75397079720102</v>
      </c>
      <c r="S1953">
        <v>251.493356745808</v>
      </c>
      <c r="T1953">
        <v>183.31818862325099</v>
      </c>
      <c r="U1953">
        <v>156.31174244964399</v>
      </c>
      <c r="V1953">
        <v>219.96043354138499</v>
      </c>
      <c r="W1953">
        <v>169.35737432318601</v>
      </c>
    </row>
    <row r="1954" spans="1:23" x14ac:dyDescent="0.2">
      <c r="A1954" t="s">
        <v>3915</v>
      </c>
      <c r="B1954" s="3" t="str">
        <f>HYPERLINK("http://www.ncbi.nlm.nih.gov/gene/18971","Pold1")</f>
        <v>Pold1</v>
      </c>
      <c r="C1954">
        <v>18971</v>
      </c>
      <c r="D1954" t="s">
        <v>3916</v>
      </c>
      <c r="E1954" s="3" t="str">
        <f>HYPERLINK("http://genome.ucsc.edu/cgi-bin/hgTracks?db=mm10&amp;lastVirtModeType=default&amp;lastVirtModeExtraState=&amp;virtModeType=default&amp;virtMode=0&amp;nonVirtPosition=&amp;position=chr7:44532743-44548815","chr7:44532743-44548815")</f>
        <v>chr7:44532743-44548815</v>
      </c>
      <c r="F1954" t="s">
        <v>25</v>
      </c>
      <c r="G1954">
        <v>0.87175091529539805</v>
      </c>
      <c r="H1954">
        <v>0.26224844690096599</v>
      </c>
      <c r="I1954">
        <v>3.3241413842370702</v>
      </c>
      <c r="J1954">
        <v>8.8691219548449405E-4</v>
      </c>
      <c r="K1954">
        <v>6.0812294980710996E-3</v>
      </c>
      <c r="L1954" t="s">
        <v>26</v>
      </c>
      <c r="M1954" t="s">
        <v>27</v>
      </c>
      <c r="N1954">
        <v>252.151717962052</v>
      </c>
      <c r="O1954">
        <v>159.82636999516399</v>
      </c>
      <c r="P1954">
        <v>321.395728937218</v>
      </c>
      <c r="Q1954">
        <v>74.610201164767105</v>
      </c>
      <c r="R1954">
        <v>179.76683025194501</v>
      </c>
      <c r="S1954">
        <v>225.10207856877901</v>
      </c>
      <c r="T1954">
        <v>380.385241393245</v>
      </c>
      <c r="U1954">
        <v>359.73113330876998</v>
      </c>
      <c r="V1954">
        <v>260.42138285501699</v>
      </c>
      <c r="W1954">
        <v>285.04515819184098</v>
      </c>
    </row>
    <row r="1955" spans="1:23" x14ac:dyDescent="0.2">
      <c r="A1955" t="s">
        <v>3917</v>
      </c>
      <c r="B1955" s="3" t="str">
        <f>HYPERLINK("http://www.ncbi.nlm.nih.gov/gene/100040766","Mroh2a")</f>
        <v>Mroh2a</v>
      </c>
      <c r="C1955">
        <v>100040766</v>
      </c>
      <c r="D1955" t="s">
        <v>3918</v>
      </c>
      <c r="E1955" s="3" t="str">
        <f>HYPERLINK("http://genome.ucsc.edu/cgi-bin/hgTracks?db=mm10&amp;lastVirtModeType=default&amp;lastVirtModeExtraState=&amp;virtModeType=default&amp;virtMode=0&amp;nonVirtPosition=&amp;position=chr1:88227019-88262289","chr1:88227019-88262289")</f>
        <v>chr1:88227019-88262289</v>
      </c>
      <c r="F1955" t="s">
        <v>30</v>
      </c>
      <c r="G1955">
        <v>0.69346673714870599</v>
      </c>
      <c r="H1955">
        <v>0.20869796864267201</v>
      </c>
      <c r="I1955">
        <v>3.3228245663284102</v>
      </c>
      <c r="J1955">
        <v>8.9110937711471896E-4</v>
      </c>
      <c r="K1955">
        <v>6.1026932644317597E-3</v>
      </c>
      <c r="L1955" t="s">
        <v>26</v>
      </c>
      <c r="M1955" t="s">
        <v>27</v>
      </c>
      <c r="N1955">
        <v>110.866089654549</v>
      </c>
      <c r="O1955">
        <v>76.945337456844001</v>
      </c>
      <c r="P1955">
        <v>136.30665380282801</v>
      </c>
      <c r="Q1955">
        <v>85.746052084881697</v>
      </c>
      <c r="R1955">
        <v>74.713218480238893</v>
      </c>
      <c r="S1955">
        <v>70.376741805411299</v>
      </c>
      <c r="T1955">
        <v>192.48409805441301</v>
      </c>
      <c r="U1955">
        <v>134.89917499078899</v>
      </c>
      <c r="V1955">
        <v>98.577585600486799</v>
      </c>
      <c r="W1955">
        <v>119.265756565624</v>
      </c>
    </row>
    <row r="1956" spans="1:23" x14ac:dyDescent="0.2">
      <c r="A1956" t="s">
        <v>3919</v>
      </c>
      <c r="B1956" s="3" t="str">
        <f>HYPERLINK("http://www.ncbi.nlm.nih.gov/gene/13803","Enc1")</f>
        <v>Enc1</v>
      </c>
      <c r="C1956">
        <v>13803</v>
      </c>
      <c r="D1956" t="s">
        <v>3920</v>
      </c>
      <c r="E1956" s="3" t="str">
        <f>HYPERLINK("http://genome.ucsc.edu/cgi-bin/hgTracks?db=mm10&amp;lastVirtModeType=default&amp;lastVirtModeExtraState=&amp;virtModeType=default&amp;virtMode=0&amp;nonVirtPosition=&amp;position=chr13:97241104-97253040","chr13:97241104-97253040")</f>
        <v>chr13:97241104-97253040</v>
      </c>
      <c r="F1956" t="s">
        <v>30</v>
      </c>
      <c r="G1956">
        <v>-0.47143668293394297</v>
      </c>
      <c r="H1956">
        <v>0.14187842151442301</v>
      </c>
      <c r="I1956">
        <v>-3.3228215954320999</v>
      </c>
      <c r="J1956">
        <v>8.9111886723234105E-4</v>
      </c>
      <c r="K1956">
        <v>6.1026932644317597E-3</v>
      </c>
      <c r="L1956" t="s">
        <v>26</v>
      </c>
      <c r="M1956" t="s">
        <v>27</v>
      </c>
      <c r="N1956">
        <v>1041.0625407597099</v>
      </c>
      <c r="O1956">
        <v>1249.6363886773199</v>
      </c>
      <c r="P1956">
        <v>884.63215482150099</v>
      </c>
      <c r="Q1956">
        <v>1341.3132433277899</v>
      </c>
      <c r="R1956">
        <v>1056.9834512914999</v>
      </c>
      <c r="S1956">
        <v>1350.6124714126699</v>
      </c>
      <c r="T1956">
        <v>719.52389034625799</v>
      </c>
      <c r="U1956">
        <v>991.40187334500297</v>
      </c>
      <c r="V1956">
        <v>943.84359944346704</v>
      </c>
      <c r="W1956">
        <v>883.75925615127403</v>
      </c>
    </row>
    <row r="1957" spans="1:23" x14ac:dyDescent="0.2">
      <c r="A1957" t="s">
        <v>3921</v>
      </c>
      <c r="B1957" s="3" t="str">
        <f>HYPERLINK("http://www.ncbi.nlm.nih.gov/gene/15182","Hdac2")</f>
        <v>Hdac2</v>
      </c>
      <c r="C1957">
        <v>15182</v>
      </c>
      <c r="D1957" t="s">
        <v>3922</v>
      </c>
      <c r="E1957" s="3" t="str">
        <f>HYPERLINK("http://genome.ucsc.edu/cgi-bin/hgTracks?db=mm10&amp;lastVirtModeType=default&amp;lastVirtModeExtraState=&amp;virtModeType=default&amp;virtMode=0&amp;nonVirtPosition=&amp;position=chr10:36974543-37001888","chr10:36974543-37001888")</f>
        <v>chr10:36974543-37001888</v>
      </c>
      <c r="F1957" t="s">
        <v>30</v>
      </c>
      <c r="G1957">
        <v>-0.51620868688087096</v>
      </c>
      <c r="H1957">
        <v>0.15535677046294599</v>
      </c>
      <c r="I1957">
        <v>-3.3227305468736601</v>
      </c>
      <c r="J1957">
        <v>8.9140975470304899E-4</v>
      </c>
      <c r="K1957">
        <v>6.1026932644317597E-3</v>
      </c>
      <c r="L1957" t="s">
        <v>26</v>
      </c>
      <c r="M1957" t="s">
        <v>27</v>
      </c>
      <c r="N1957">
        <v>549.21166478640805</v>
      </c>
      <c r="O1957">
        <v>670.37095264874199</v>
      </c>
      <c r="P1957">
        <v>458.34219888965703</v>
      </c>
      <c r="Q1957">
        <v>537.30480689552496</v>
      </c>
      <c r="R1957">
        <v>802.12414764317396</v>
      </c>
      <c r="S1957">
        <v>671.68390340752796</v>
      </c>
      <c r="T1957">
        <v>407.882969686732</v>
      </c>
      <c r="U1957">
        <v>464.65271385716102</v>
      </c>
      <c r="V1957">
        <v>517.16449759061402</v>
      </c>
      <c r="W1957">
        <v>443.66861442412102</v>
      </c>
    </row>
    <row r="1958" spans="1:23" x14ac:dyDescent="0.2">
      <c r="A1958" t="s">
        <v>3923</v>
      </c>
      <c r="B1958" s="3" t="str">
        <f>HYPERLINK("http://www.ncbi.nlm.nih.gov/gene/229780","Trmt13")</f>
        <v>Trmt13</v>
      </c>
      <c r="C1958">
        <v>229780</v>
      </c>
      <c r="D1958" t="s">
        <v>3924</v>
      </c>
      <c r="E1958" s="3" t="str">
        <f>HYPERLINK("http://genome.ucsc.edu/cgi-bin/hgTracks?db=mm10&amp;lastVirtModeType=default&amp;lastVirtModeExtraState=&amp;virtModeType=default&amp;virtMode=0&amp;nonVirtPosition=&amp;position=chr3:116581335-116614587","chr3:116581335-116614587")</f>
        <v>chr3:116581335-116614587</v>
      </c>
      <c r="F1958" t="s">
        <v>25</v>
      </c>
      <c r="G1958">
        <v>0.79708775254865805</v>
      </c>
      <c r="H1958">
        <v>0.23996909194650101</v>
      </c>
      <c r="I1958">
        <v>3.3216267398568302</v>
      </c>
      <c r="J1958">
        <v>8.9494327312846704E-4</v>
      </c>
      <c r="K1958">
        <v>6.1181628288690896E-3</v>
      </c>
      <c r="L1958" t="s">
        <v>26</v>
      </c>
      <c r="M1958" t="s">
        <v>27</v>
      </c>
      <c r="N1958">
        <v>42.85679123469</v>
      </c>
      <c r="O1958">
        <v>29.7411494610927</v>
      </c>
      <c r="P1958">
        <v>52.693522564887999</v>
      </c>
      <c r="Q1958">
        <v>31.1803825763206</v>
      </c>
      <c r="R1958">
        <v>29.581883459180901</v>
      </c>
      <c r="S1958">
        <v>28.461182347776599</v>
      </c>
      <c r="T1958">
        <v>41.246592440231403</v>
      </c>
      <c r="U1958">
        <v>47.107648409481797</v>
      </c>
      <c r="V1958">
        <v>54.438368167432998</v>
      </c>
      <c r="W1958">
        <v>67.981481242405707</v>
      </c>
    </row>
    <row r="1959" spans="1:23" x14ac:dyDescent="0.2">
      <c r="A1959" t="s">
        <v>3925</v>
      </c>
      <c r="B1959" s="3" t="str">
        <f>HYPERLINK("http://www.ncbi.nlm.nih.gov/gene/225326","Pik3c3")</f>
        <v>Pik3c3</v>
      </c>
      <c r="C1959">
        <v>225326</v>
      </c>
      <c r="D1959" t="s">
        <v>3926</v>
      </c>
      <c r="E1959" s="3" t="str">
        <f>HYPERLINK("http://genome.ucsc.edu/cgi-bin/hgTracks?db=mm10&amp;lastVirtModeType=default&amp;lastVirtModeExtraState=&amp;virtModeType=default&amp;virtMode=0&amp;nonVirtPosition=&amp;position=chr18:30272895-30348120","chr18:30272895-30348120")</f>
        <v>chr18:30272895-30348120</v>
      </c>
      <c r="F1959" t="s">
        <v>30</v>
      </c>
      <c r="G1959">
        <v>-0.51164718355974304</v>
      </c>
      <c r="H1959">
        <v>0.15403636398151899</v>
      </c>
      <c r="I1959">
        <v>-3.32159998025615</v>
      </c>
      <c r="J1959">
        <v>8.9502909720528797E-4</v>
      </c>
      <c r="K1959">
        <v>6.1181628288690896E-3</v>
      </c>
      <c r="L1959" t="s">
        <v>26</v>
      </c>
      <c r="M1959" t="s">
        <v>27</v>
      </c>
      <c r="N1959">
        <v>179.621450290897</v>
      </c>
      <c r="O1959">
        <v>220.321244319714</v>
      </c>
      <c r="P1959">
        <v>149.09660476928499</v>
      </c>
      <c r="Q1959">
        <v>246.659097880536</v>
      </c>
      <c r="R1959">
        <v>207.831694046553</v>
      </c>
      <c r="S1959">
        <v>206.47294103205201</v>
      </c>
      <c r="T1959">
        <v>119.15682260511301</v>
      </c>
      <c r="U1959">
        <v>164.87676943318601</v>
      </c>
      <c r="V1959">
        <v>144.18811028130901</v>
      </c>
      <c r="W1959">
        <v>168.16471675752999</v>
      </c>
    </row>
    <row r="1960" spans="1:23" x14ac:dyDescent="0.2">
      <c r="A1960" t="s">
        <v>3927</v>
      </c>
      <c r="B1960" s="3" t="str">
        <f>HYPERLINK("http://www.ncbi.nlm.nih.gov/gene/106039","Gga1")</f>
        <v>Gga1</v>
      </c>
      <c r="C1960">
        <v>106039</v>
      </c>
      <c r="D1960" t="s">
        <v>3928</v>
      </c>
      <c r="E1960" s="3" t="str">
        <f>HYPERLINK("http://genome.ucsc.edu/cgi-bin/hgTracks?db=mm10&amp;lastVirtModeType=default&amp;lastVirtModeExtraState=&amp;virtModeType=default&amp;virtMode=0&amp;nonVirtPosition=&amp;position=chr15:78877189-78894585","chr15:78877189-78894585")</f>
        <v>chr15:78877189-78894585</v>
      </c>
      <c r="F1960" t="s">
        <v>30</v>
      </c>
      <c r="G1960">
        <v>0.57029963923167704</v>
      </c>
      <c r="H1960">
        <v>0.17169443269048301</v>
      </c>
      <c r="I1960">
        <v>3.3215965730220698</v>
      </c>
      <c r="J1960">
        <v>8.9504002552121204E-4</v>
      </c>
      <c r="K1960">
        <v>6.1181628288690896E-3</v>
      </c>
      <c r="L1960" t="s">
        <v>26</v>
      </c>
      <c r="M1960" t="s">
        <v>27</v>
      </c>
      <c r="N1960">
        <v>198.660030900876</v>
      </c>
      <c r="O1960">
        <v>153.025137826579</v>
      </c>
      <c r="P1960">
        <v>232.886200706598</v>
      </c>
      <c r="Q1960">
        <v>138.08455140941999</v>
      </c>
      <c r="R1960">
        <v>142.979103386041</v>
      </c>
      <c r="S1960">
        <v>178.011758684276</v>
      </c>
      <c r="T1960">
        <v>215.39887163231899</v>
      </c>
      <c r="U1960">
        <v>299.77594442397498</v>
      </c>
      <c r="V1960">
        <v>214.810858174195</v>
      </c>
      <c r="W1960">
        <v>201.55912859590501</v>
      </c>
    </row>
    <row r="1961" spans="1:23" x14ac:dyDescent="0.2">
      <c r="A1961" t="s">
        <v>3929</v>
      </c>
      <c r="B1961" s="3" t="str">
        <f>HYPERLINK("http://www.ncbi.nlm.nih.gov/gene/67602","Necap1")</f>
        <v>Necap1</v>
      </c>
      <c r="C1961">
        <v>67602</v>
      </c>
      <c r="D1961" t="s">
        <v>3930</v>
      </c>
      <c r="E1961" s="3" t="str">
        <f>HYPERLINK("http://genome.ucsc.edu/cgi-bin/hgTracks?db=mm10&amp;lastVirtModeType=default&amp;lastVirtModeExtraState=&amp;virtModeType=default&amp;virtMode=0&amp;nonVirtPosition=&amp;position=chr6:122874556-122888941","chr6:122874556-122888941")</f>
        <v>chr6:122874556-122888941</v>
      </c>
      <c r="F1961" t="s">
        <v>30</v>
      </c>
      <c r="G1961">
        <v>-0.628703060940351</v>
      </c>
      <c r="H1961">
        <v>0.18933190352068899</v>
      </c>
      <c r="I1961">
        <v>-3.3206398353864799</v>
      </c>
      <c r="J1961">
        <v>8.9811355069403602E-4</v>
      </c>
      <c r="K1961">
        <v>6.1360400802774702E-3</v>
      </c>
      <c r="L1961" t="s">
        <v>26</v>
      </c>
      <c r="M1961" t="s">
        <v>27</v>
      </c>
      <c r="N1961">
        <v>242.51914996114601</v>
      </c>
      <c r="O1961">
        <v>310.597630769153</v>
      </c>
      <c r="P1961">
        <v>191.46028935513999</v>
      </c>
      <c r="Q1961">
        <v>265.59004444473101</v>
      </c>
      <c r="R1961">
        <v>395.56287753750797</v>
      </c>
      <c r="S1961">
        <v>270.63997032522099</v>
      </c>
      <c r="T1961">
        <v>151.237505614182</v>
      </c>
      <c r="U1961">
        <v>177.72430990849901</v>
      </c>
      <c r="V1961">
        <v>197.155171200974</v>
      </c>
      <c r="W1961">
        <v>239.724170696904</v>
      </c>
    </row>
    <row r="1962" spans="1:23" x14ac:dyDescent="0.2">
      <c r="A1962" t="s">
        <v>3931</v>
      </c>
      <c r="B1962" s="3" t="str">
        <f>HYPERLINK("http://www.ncbi.nlm.nih.gov/gene/56444","Actr10")</f>
        <v>Actr10</v>
      </c>
      <c r="C1962">
        <v>56444</v>
      </c>
      <c r="D1962" t="s">
        <v>3932</v>
      </c>
      <c r="E1962" s="3" t="str">
        <f>HYPERLINK("http://genome.ucsc.edu/cgi-bin/hgTracks?db=mm10&amp;lastVirtModeType=default&amp;lastVirtModeExtraState=&amp;virtModeType=default&amp;virtMode=0&amp;nonVirtPosition=&amp;position=chr12:70937856-70964717","chr12:70937856-70964717")</f>
        <v>chr12:70937856-70964717</v>
      </c>
      <c r="F1962" t="s">
        <v>30</v>
      </c>
      <c r="G1962">
        <v>-0.52825799771277904</v>
      </c>
      <c r="H1962">
        <v>0.159090746488915</v>
      </c>
      <c r="I1962">
        <v>-3.3204822365302502</v>
      </c>
      <c r="J1962">
        <v>8.9862077537338696E-4</v>
      </c>
      <c r="K1962">
        <v>6.1363747083248397E-3</v>
      </c>
      <c r="L1962" t="s">
        <v>26</v>
      </c>
      <c r="M1962" t="s">
        <v>27</v>
      </c>
      <c r="N1962">
        <v>374.32073186646602</v>
      </c>
      <c r="O1962">
        <v>461.58551287682798</v>
      </c>
      <c r="P1962">
        <v>308.87214610869501</v>
      </c>
      <c r="Q1962">
        <v>395.32270766406498</v>
      </c>
      <c r="R1962">
        <v>542.33453008498304</v>
      </c>
      <c r="S1962">
        <v>447.09930088143602</v>
      </c>
      <c r="T1962">
        <v>229.147735779063</v>
      </c>
      <c r="U1962">
        <v>342.60107934168599</v>
      </c>
      <c r="V1962">
        <v>346.49285684947199</v>
      </c>
      <c r="W1962">
        <v>317.24691246456001</v>
      </c>
    </row>
    <row r="1963" spans="1:23" x14ac:dyDescent="0.2">
      <c r="A1963" t="s">
        <v>3933</v>
      </c>
      <c r="B1963" s="3" t="str">
        <f>HYPERLINK("http://www.ncbi.nlm.nih.gov/gene/71924","Tube1")</f>
        <v>Tube1</v>
      </c>
      <c r="C1963">
        <v>71924</v>
      </c>
      <c r="D1963" t="s">
        <v>3934</v>
      </c>
      <c r="E1963" s="3" t="str">
        <f>HYPERLINK("http://genome.ucsc.edu/cgi-bin/hgTracks?db=mm10&amp;lastVirtModeType=default&amp;lastVirtModeExtraState=&amp;virtModeType=default&amp;virtMode=0&amp;nonVirtPosition=&amp;position=chr10:39134022-39151058","chr10:39134022-39151058")</f>
        <v>chr10:39134022-39151058</v>
      </c>
      <c r="F1963" t="s">
        <v>30</v>
      </c>
      <c r="G1963">
        <v>0.82529196869180399</v>
      </c>
      <c r="H1963">
        <v>0.248567584538852</v>
      </c>
      <c r="I1963">
        <v>3.3201914490294602</v>
      </c>
      <c r="J1963">
        <v>8.9955735856413405E-4</v>
      </c>
      <c r="K1963">
        <v>6.1396394436963901E-3</v>
      </c>
      <c r="L1963" t="s">
        <v>26</v>
      </c>
      <c r="M1963" t="s">
        <v>27</v>
      </c>
      <c r="N1963">
        <v>49.449869581461499</v>
      </c>
      <c r="O1963">
        <v>33.351359182839801</v>
      </c>
      <c r="P1963">
        <v>61.523752380427801</v>
      </c>
      <c r="Q1963">
        <v>23.385286932240501</v>
      </c>
      <c r="R1963">
        <v>35.270707201331</v>
      </c>
      <c r="S1963">
        <v>41.398083414947799</v>
      </c>
      <c r="T1963">
        <v>50.4125018713939</v>
      </c>
      <c r="U1963">
        <v>57.8139321389095</v>
      </c>
      <c r="V1963">
        <v>69.887094269001906</v>
      </c>
      <c r="W1963">
        <v>67.981481242405707</v>
      </c>
    </row>
    <row r="1964" spans="1:23" x14ac:dyDescent="0.2">
      <c r="A1964" t="s">
        <v>3935</v>
      </c>
      <c r="B1964" s="3" t="str">
        <f>HYPERLINK("http://www.ncbi.nlm.nih.gov/gene/54170","Rragc")</f>
        <v>Rragc</v>
      </c>
      <c r="C1964">
        <v>54170</v>
      </c>
      <c r="D1964" t="s">
        <v>3936</v>
      </c>
      <c r="E1964" s="3" t="str">
        <f>HYPERLINK("http://genome.ucsc.edu/cgi-bin/hgTracks?db=mm10&amp;lastVirtModeType=default&amp;lastVirtModeExtraState=&amp;virtModeType=default&amp;virtMode=0&amp;nonVirtPosition=&amp;position=chr4:123917432-123936997","chr4:123917432-123936997")</f>
        <v>chr4:123917432-123936997</v>
      </c>
      <c r="F1964" t="s">
        <v>30</v>
      </c>
      <c r="G1964">
        <v>-0.42742330723134497</v>
      </c>
      <c r="H1964">
        <v>0.12874857334123299</v>
      </c>
      <c r="I1964">
        <v>-3.3198294640400401</v>
      </c>
      <c r="J1964">
        <v>9.0072452239709899E-4</v>
      </c>
      <c r="K1964">
        <v>6.1444738051041996E-3</v>
      </c>
      <c r="L1964" t="s">
        <v>26</v>
      </c>
      <c r="M1964" t="s">
        <v>27</v>
      </c>
      <c r="N1964">
        <v>311.98697325503599</v>
      </c>
      <c r="O1964">
        <v>371.78273841512703</v>
      </c>
      <c r="P1964">
        <v>267.140149384967</v>
      </c>
      <c r="Q1964">
        <v>357.46081453567501</v>
      </c>
      <c r="R1964">
        <v>358.39589575546103</v>
      </c>
      <c r="S1964">
        <v>399.49150495424601</v>
      </c>
      <c r="T1964">
        <v>219.98182634790101</v>
      </c>
      <c r="U1964">
        <v>265.51583648980602</v>
      </c>
      <c r="V1964">
        <v>292.05448868203899</v>
      </c>
      <c r="W1964">
        <v>291.00844602012302</v>
      </c>
    </row>
    <row r="1965" spans="1:23" x14ac:dyDescent="0.2">
      <c r="A1965" t="s">
        <v>3937</v>
      </c>
      <c r="B1965" s="3" t="str">
        <f>HYPERLINK("http://www.ncbi.nlm.nih.gov/gene/320878","Mical2")</f>
        <v>Mical2</v>
      </c>
      <c r="C1965">
        <v>320878</v>
      </c>
      <c r="D1965" t="s">
        <v>3938</v>
      </c>
      <c r="E1965" s="3" t="str">
        <f>HYPERLINK("http://genome.ucsc.edu/cgi-bin/hgTracks?db=mm10&amp;lastVirtModeType=default&amp;lastVirtModeExtraState=&amp;virtModeType=default&amp;virtMode=0&amp;nonVirtPosition=&amp;position=chr7:112225835-112355194","chr7:112225835-112355194")</f>
        <v>chr7:112225835-112355194</v>
      </c>
      <c r="F1965" t="s">
        <v>30</v>
      </c>
      <c r="G1965">
        <v>-0.78114174753190402</v>
      </c>
      <c r="H1965">
        <v>0.23535834227396499</v>
      </c>
      <c r="I1965">
        <v>-3.3189465050812901</v>
      </c>
      <c r="J1965">
        <v>9.0357737497133504E-4</v>
      </c>
      <c r="K1965">
        <v>6.1607966538906097E-3</v>
      </c>
      <c r="L1965" t="s">
        <v>26</v>
      </c>
      <c r="M1965" t="s">
        <v>27</v>
      </c>
      <c r="N1965">
        <v>66.714929379507595</v>
      </c>
      <c r="O1965">
        <v>91.480837215784405</v>
      </c>
      <c r="P1965">
        <v>48.140498502299998</v>
      </c>
      <c r="Q1965">
        <v>84.632466992870206</v>
      </c>
      <c r="R1965">
        <v>115.29349450757699</v>
      </c>
      <c r="S1965">
        <v>74.516550146906098</v>
      </c>
      <c r="T1965">
        <v>32.0806830090688</v>
      </c>
      <c r="U1965">
        <v>55.672675393023901</v>
      </c>
      <c r="V1965">
        <v>55.909675415201498</v>
      </c>
      <c r="W1965">
        <v>48.8989601919058</v>
      </c>
    </row>
    <row r="1966" spans="1:23" x14ac:dyDescent="0.2">
      <c r="A1966" t="s">
        <v>3939</v>
      </c>
      <c r="B1966" s="3" t="str">
        <f>HYPERLINK("http://www.ncbi.nlm.nih.gov/gene/12729","Clns1a")</f>
        <v>Clns1a</v>
      </c>
      <c r="C1966">
        <v>12729</v>
      </c>
      <c r="D1966" t="s">
        <v>3940</v>
      </c>
      <c r="E1966" s="3" t="str">
        <f>HYPERLINK("http://genome.ucsc.edu/cgi-bin/hgTracks?db=mm10&amp;lastVirtModeType=default&amp;lastVirtModeExtraState=&amp;virtModeType=default&amp;virtMode=0&amp;nonVirtPosition=&amp;position=chr7:97696656-97720793","chr7:97696656-97720793")</f>
        <v>chr7:97696656-97720793</v>
      </c>
      <c r="F1966" t="s">
        <v>30</v>
      </c>
      <c r="G1966">
        <v>-0.54220026235329699</v>
      </c>
      <c r="H1966">
        <v>0.16338942845087301</v>
      </c>
      <c r="I1966">
        <v>-3.31845375489715</v>
      </c>
      <c r="J1966">
        <v>9.0517309616329998E-4</v>
      </c>
      <c r="K1966">
        <v>6.1655113955198003E-3</v>
      </c>
      <c r="L1966" t="s">
        <v>26</v>
      </c>
      <c r="M1966" t="s">
        <v>27</v>
      </c>
      <c r="N1966">
        <v>265.22548532693401</v>
      </c>
      <c r="O1966">
        <v>327.35808610898698</v>
      </c>
      <c r="P1966">
        <v>218.626034740394</v>
      </c>
      <c r="Q1966">
        <v>262.24928916869601</v>
      </c>
      <c r="R1966">
        <v>376.22087681419799</v>
      </c>
      <c r="S1966">
        <v>343.604092344067</v>
      </c>
      <c r="T1966">
        <v>183.31818862325099</v>
      </c>
      <c r="U1966">
        <v>252.668296014493</v>
      </c>
      <c r="V1966">
        <v>230.995237899648</v>
      </c>
      <c r="W1966">
        <v>207.52241642418599</v>
      </c>
    </row>
    <row r="1967" spans="1:23" x14ac:dyDescent="0.2">
      <c r="A1967" t="s">
        <v>3941</v>
      </c>
      <c r="B1967" s="3" t="str">
        <f>HYPERLINK("http://www.ncbi.nlm.nih.gov/gene/56433","Vps29")</f>
        <v>Vps29</v>
      </c>
      <c r="C1967">
        <v>56433</v>
      </c>
      <c r="D1967" t="s">
        <v>3942</v>
      </c>
      <c r="E1967" s="3" t="str">
        <f>HYPERLINK("http://genome.ucsc.edu/cgi-bin/hgTracks?db=mm10&amp;lastVirtModeType=default&amp;lastVirtModeExtraState=&amp;virtModeType=default&amp;virtMode=0&amp;nonVirtPosition=&amp;position=chr5:122354412-122363287","chr5:122354412-122363287")</f>
        <v>chr5:122354412-122363287</v>
      </c>
      <c r="F1967" t="s">
        <v>30</v>
      </c>
      <c r="G1967">
        <v>-0.43044291290445402</v>
      </c>
      <c r="H1967">
        <v>0.12971338043122299</v>
      </c>
      <c r="I1967">
        <v>-3.3184156597683101</v>
      </c>
      <c r="J1967">
        <v>9.0529657205096095E-4</v>
      </c>
      <c r="K1967">
        <v>6.1655113955198003E-3</v>
      </c>
      <c r="L1967" t="s">
        <v>26</v>
      </c>
      <c r="M1967" t="s">
        <v>27</v>
      </c>
      <c r="N1967">
        <v>259.72409284439902</v>
      </c>
      <c r="O1967">
        <v>304.62514364492802</v>
      </c>
      <c r="P1967">
        <v>226.048304744002</v>
      </c>
      <c r="Q1967">
        <v>321.82609159130902</v>
      </c>
      <c r="R1967">
        <v>307.95499190839598</v>
      </c>
      <c r="S1967">
        <v>284.09434743507899</v>
      </c>
      <c r="T1967">
        <v>224.564781063482</v>
      </c>
      <c r="U1967">
        <v>254.80955276037901</v>
      </c>
      <c r="V1967">
        <v>218.48912629361601</v>
      </c>
      <c r="W1967">
        <v>206.329758858529</v>
      </c>
    </row>
    <row r="1968" spans="1:23" x14ac:dyDescent="0.2">
      <c r="A1968" t="s">
        <v>3943</v>
      </c>
      <c r="B1968" s="3" t="str">
        <f>HYPERLINK("http://www.ncbi.nlm.nih.gov/gene/65962","Slc9a3r2")</f>
        <v>Slc9a3r2</v>
      </c>
      <c r="C1968">
        <v>65962</v>
      </c>
      <c r="D1968" t="s">
        <v>3944</v>
      </c>
      <c r="E1968" s="3" t="str">
        <f>HYPERLINK("http://genome.ucsc.edu/cgi-bin/hgTracks?db=mm10&amp;lastVirtModeType=default&amp;lastVirtModeExtraState=&amp;virtModeType=default&amp;virtMode=0&amp;nonVirtPosition=&amp;position=chr17:24639281-24650305","chr17:24639281-24650305")</f>
        <v>chr17:24639281-24650305</v>
      </c>
      <c r="F1968" t="s">
        <v>25</v>
      </c>
      <c r="G1968">
        <v>-0.85226097428949699</v>
      </c>
      <c r="H1968">
        <v>0.25683611422998498</v>
      </c>
      <c r="I1968">
        <v>-3.3183066051463999</v>
      </c>
      <c r="J1968">
        <v>9.0565013180400502E-4</v>
      </c>
      <c r="K1968">
        <v>6.1655113955198003E-3</v>
      </c>
      <c r="L1968" t="s">
        <v>26</v>
      </c>
      <c r="M1968" t="s">
        <v>27</v>
      </c>
      <c r="N1968">
        <v>74.032916449659396</v>
      </c>
      <c r="O1968">
        <v>104.186848018361</v>
      </c>
      <c r="P1968">
        <v>51.417467773132699</v>
      </c>
      <c r="Q1968">
        <v>130.84624831134499</v>
      </c>
      <c r="R1968">
        <v>96.330748700409501</v>
      </c>
      <c r="S1968">
        <v>85.383547043329898</v>
      </c>
      <c r="T1968">
        <v>27.497728293487601</v>
      </c>
      <c r="U1968">
        <v>79.2264995977648</v>
      </c>
      <c r="V1968">
        <v>59.587943534622603</v>
      </c>
      <c r="W1968">
        <v>39.357699666655897</v>
      </c>
    </row>
    <row r="1969" spans="1:23" x14ac:dyDescent="0.2">
      <c r="A1969" t="s">
        <v>3945</v>
      </c>
      <c r="B1969" s="3" t="str">
        <f>HYPERLINK("http://www.ncbi.nlm.nih.gov/gene/14396","Gabra3")</f>
        <v>Gabra3</v>
      </c>
      <c r="C1969">
        <v>14396</v>
      </c>
      <c r="D1969" t="s">
        <v>3946</v>
      </c>
      <c r="E1969" s="3" t="str">
        <f>HYPERLINK("http://genome.ucsc.edu/cgi-bin/hgTracks?db=mm10&amp;lastVirtModeType=default&amp;lastVirtModeExtraState=&amp;virtModeType=default&amp;virtMode=0&amp;nonVirtPosition=&amp;position=chrX:72432675-72656246","chrX:72432675-72656246")</f>
        <v>chrX:72432675-72656246</v>
      </c>
      <c r="F1969" t="s">
        <v>25</v>
      </c>
      <c r="G1969">
        <v>-0.71851864806015098</v>
      </c>
      <c r="H1969">
        <v>0.21662358040401899</v>
      </c>
      <c r="I1969">
        <v>-3.31689951167855</v>
      </c>
      <c r="J1969">
        <v>9.1022348159283998E-4</v>
      </c>
      <c r="K1969">
        <v>6.1934972774439602E-3</v>
      </c>
      <c r="L1969" t="s">
        <v>26</v>
      </c>
      <c r="M1969" t="s">
        <v>27</v>
      </c>
      <c r="N1969">
        <v>239.70430976126099</v>
      </c>
      <c r="O1969">
        <v>313.82809252360101</v>
      </c>
      <c r="P1969">
        <v>184.11147268950501</v>
      </c>
      <c r="Q1969">
        <v>453.785924994666</v>
      </c>
      <c r="R1969">
        <v>239.30985208645001</v>
      </c>
      <c r="S1969">
        <v>248.388500489687</v>
      </c>
      <c r="T1969">
        <v>197.06705276999401</v>
      </c>
      <c r="U1969">
        <v>201.27813411323999</v>
      </c>
      <c r="V1969">
        <v>169.93598711725701</v>
      </c>
      <c r="W1969">
        <v>168.16471675752999</v>
      </c>
    </row>
    <row r="1970" spans="1:23" x14ac:dyDescent="0.2">
      <c r="A1970" t="s">
        <v>3947</v>
      </c>
      <c r="B1970" s="3" t="str">
        <f>HYPERLINK("http://www.ncbi.nlm.nih.gov/gene/13866","Erbb2")</f>
        <v>Erbb2</v>
      </c>
      <c r="C1970">
        <v>13866</v>
      </c>
      <c r="D1970" t="s">
        <v>3948</v>
      </c>
      <c r="E1970" s="3" t="str">
        <f>HYPERLINK("http://genome.ucsc.edu/cgi-bin/hgTracks?db=mm10&amp;lastVirtModeType=default&amp;lastVirtModeExtraState=&amp;virtModeType=default&amp;virtMode=0&amp;nonVirtPosition=&amp;position=chr11:98412483-98437716","chr11:98412483-98437716")</f>
        <v>chr11:98412483-98437716</v>
      </c>
      <c r="F1970" t="s">
        <v>30</v>
      </c>
      <c r="G1970">
        <v>0.97813405576308698</v>
      </c>
      <c r="H1970">
        <v>0.29493977135337102</v>
      </c>
      <c r="I1970">
        <v>3.3163857531820402</v>
      </c>
      <c r="J1970">
        <v>9.11898631881137E-4</v>
      </c>
      <c r="K1970">
        <v>6.2017443268259599E-3</v>
      </c>
      <c r="L1970" t="s">
        <v>26</v>
      </c>
      <c r="M1970" t="s">
        <v>27</v>
      </c>
      <c r="N1970">
        <v>32.753191730023303</v>
      </c>
      <c r="O1970">
        <v>19.427280876652301</v>
      </c>
      <c r="P1970">
        <v>42.747624870051503</v>
      </c>
      <c r="Q1970">
        <v>26.726042208274801</v>
      </c>
      <c r="R1970">
        <v>17.066471226450499</v>
      </c>
      <c r="S1970">
        <v>14.489329195231701</v>
      </c>
      <c r="T1970">
        <v>41.246592440231403</v>
      </c>
      <c r="U1970">
        <v>42.825134917710699</v>
      </c>
      <c r="V1970">
        <v>55.909675415201498</v>
      </c>
      <c r="W1970">
        <v>31.009096707062199</v>
      </c>
    </row>
    <row r="1971" spans="1:23" x14ac:dyDescent="0.2">
      <c r="A1971" t="s">
        <v>3949</v>
      </c>
      <c r="B1971" s="3" t="str">
        <f>HYPERLINK("http://www.ncbi.nlm.nih.gov/gene/72391","Cdkn3")</f>
        <v>Cdkn3</v>
      </c>
      <c r="C1971">
        <v>72391</v>
      </c>
      <c r="D1971" t="s">
        <v>3950</v>
      </c>
      <c r="E1971" s="3" t="str">
        <f>HYPERLINK("http://genome.ucsc.edu/cgi-bin/hgTracks?db=mm10&amp;lastVirtModeType=default&amp;lastVirtModeExtraState=&amp;virtModeType=default&amp;virtMode=0&amp;nonVirtPosition=&amp;position=chr14:46760540-46771525","chr14:46760540-46771525")</f>
        <v>chr14:46760540-46771525</v>
      </c>
      <c r="F1971" t="s">
        <v>30</v>
      </c>
      <c r="G1971">
        <v>0.88610917215726004</v>
      </c>
      <c r="H1971">
        <v>0.26727662082773601</v>
      </c>
      <c r="I1971">
        <v>3.3153261568970902</v>
      </c>
      <c r="J1971">
        <v>9.1536255573716903E-4</v>
      </c>
      <c r="K1971">
        <v>6.2190260661526596E-3</v>
      </c>
      <c r="L1971" t="s">
        <v>26</v>
      </c>
      <c r="M1971" t="s">
        <v>27</v>
      </c>
      <c r="N1971">
        <v>36.735615945425998</v>
      </c>
      <c r="O1971">
        <v>22.706186085141599</v>
      </c>
      <c r="P1971">
        <v>47.257688340639397</v>
      </c>
      <c r="Q1971">
        <v>16.146983834166001</v>
      </c>
      <c r="R1971">
        <v>29.202628543037498</v>
      </c>
      <c r="S1971">
        <v>22.768945878221299</v>
      </c>
      <c r="T1971">
        <v>54.995456586975202</v>
      </c>
      <c r="U1971">
        <v>42.825134917710699</v>
      </c>
      <c r="V1971">
        <v>47.081831928590702</v>
      </c>
      <c r="W1971">
        <v>44.128329929280902</v>
      </c>
    </row>
    <row r="1972" spans="1:23" x14ac:dyDescent="0.2">
      <c r="A1972" t="s">
        <v>3951</v>
      </c>
      <c r="B1972" s="3" t="str">
        <f>HYPERLINK("http://www.ncbi.nlm.nih.gov/gene/193736","Zbtb12")</f>
        <v>Zbtb12</v>
      </c>
      <c r="C1972">
        <v>193736</v>
      </c>
      <c r="D1972" t="s">
        <v>3952</v>
      </c>
      <c r="E1972" s="3" t="str">
        <f>HYPERLINK("http://genome.ucsc.edu/cgi-bin/hgTracks?db=mm10&amp;lastVirtModeType=default&amp;lastVirtModeExtraState=&amp;virtModeType=default&amp;virtMode=0&amp;nonVirtPosition=&amp;position=chr17:34894558-34896844","chr17:34894558-34896844")</f>
        <v>chr17:34894558-34896844</v>
      </c>
      <c r="F1972" t="s">
        <v>30</v>
      </c>
      <c r="G1972">
        <v>0.85284768866077898</v>
      </c>
      <c r="H1972">
        <v>0.25724412015009801</v>
      </c>
      <c r="I1972">
        <v>3.3153243236935999</v>
      </c>
      <c r="J1972">
        <v>9.1536855921043301E-4</v>
      </c>
      <c r="K1972">
        <v>6.2190260661526596E-3</v>
      </c>
      <c r="L1972" t="s">
        <v>26</v>
      </c>
      <c r="M1972" t="s">
        <v>27</v>
      </c>
      <c r="N1972">
        <v>41.078202948539001</v>
      </c>
      <c r="O1972">
        <v>25.5218143429679</v>
      </c>
      <c r="P1972">
        <v>52.745494402717398</v>
      </c>
      <c r="Q1972">
        <v>23.385286932240501</v>
      </c>
      <c r="R1972">
        <v>27.306353962320799</v>
      </c>
      <c r="S1972">
        <v>25.873802134342402</v>
      </c>
      <c r="T1972">
        <v>64.161366018137699</v>
      </c>
      <c r="U1972">
        <v>64.237702376566105</v>
      </c>
      <c r="V1972">
        <v>45.610524680822301</v>
      </c>
      <c r="W1972">
        <v>36.972384535343402</v>
      </c>
    </row>
    <row r="1973" spans="1:23" x14ac:dyDescent="0.2">
      <c r="A1973" t="s">
        <v>3953</v>
      </c>
      <c r="B1973" s="3" t="str">
        <f>HYPERLINK("http://www.ncbi.nlm.nih.gov/gene/80748","BC004004")</f>
        <v>BC004004</v>
      </c>
      <c r="C1973">
        <v>80748</v>
      </c>
      <c r="D1973" t="s">
        <v>3954</v>
      </c>
      <c r="E1973" s="3" t="str">
        <f>HYPERLINK("http://genome.ucsc.edu/cgi-bin/hgTracks?db=mm10&amp;lastVirtModeType=default&amp;lastVirtModeExtraState=&amp;virtModeType=default&amp;virtMode=0&amp;nonVirtPosition=&amp;position=chr17:29268787-29302887","chr17:29268787-29302887")</f>
        <v>chr17:29268787-29302887</v>
      </c>
      <c r="F1973" t="s">
        <v>30</v>
      </c>
      <c r="G1973">
        <v>-0.51703862223578501</v>
      </c>
      <c r="H1973">
        <v>0.15602134066871901</v>
      </c>
      <c r="I1973">
        <v>-3.3138968042430501</v>
      </c>
      <c r="J1973">
        <v>9.2005456917699895E-4</v>
      </c>
      <c r="K1973">
        <v>6.2476930709174398E-3</v>
      </c>
      <c r="L1973" t="s">
        <v>26</v>
      </c>
      <c r="M1973" t="s">
        <v>27</v>
      </c>
      <c r="N1973">
        <v>174.26888472751699</v>
      </c>
      <c r="O1973">
        <v>216.38317692084999</v>
      </c>
      <c r="P1973">
        <v>142.683165582518</v>
      </c>
      <c r="Q1973">
        <v>214.36513021220401</v>
      </c>
      <c r="R1973">
        <v>228.31145951829299</v>
      </c>
      <c r="S1973">
        <v>206.47294103205201</v>
      </c>
      <c r="T1973">
        <v>105.407958458369</v>
      </c>
      <c r="U1973">
        <v>143.46420197433099</v>
      </c>
      <c r="V1973">
        <v>169.20033349337299</v>
      </c>
      <c r="W1973">
        <v>152.66016840399899</v>
      </c>
    </row>
    <row r="1974" spans="1:23" x14ac:dyDescent="0.2">
      <c r="A1974" t="s">
        <v>3955</v>
      </c>
      <c r="B1974" s="3" t="str">
        <f>HYPERLINK("http://www.ncbi.nlm.nih.gov/gene/245827","Fat2")</f>
        <v>Fat2</v>
      </c>
      <c r="C1974">
        <v>245827</v>
      </c>
      <c r="D1974" t="s">
        <v>3956</v>
      </c>
      <c r="E1974" s="3" t="str">
        <f>HYPERLINK("http://genome.ucsc.edu/cgi-bin/hgTracks?db=mm10&amp;lastVirtModeType=default&amp;lastVirtModeExtraState=&amp;virtModeType=default&amp;virtMode=0&amp;nonVirtPosition=&amp;position=chr11:55250609-55312257","chr11:55250609-55312257")</f>
        <v>chr11:55250609-55312257</v>
      </c>
      <c r="F1974" t="s">
        <v>25</v>
      </c>
      <c r="G1974">
        <v>-1.18871209409056</v>
      </c>
      <c r="H1974">
        <v>0.35878860927022199</v>
      </c>
      <c r="I1974">
        <v>-3.3131266249182398</v>
      </c>
      <c r="J1974">
        <v>9.2259200062837601E-4</v>
      </c>
      <c r="K1974">
        <v>6.26174834283557E-3</v>
      </c>
      <c r="L1974" t="s">
        <v>26</v>
      </c>
      <c r="M1974" t="s">
        <v>27</v>
      </c>
      <c r="N1974">
        <v>138.702482372026</v>
      </c>
      <c r="O1974">
        <v>317.380341351467</v>
      </c>
      <c r="P1974">
        <v>4.6940881374457497</v>
      </c>
      <c r="Q1974">
        <v>104.120206103071</v>
      </c>
      <c r="R1974">
        <v>836.63634501221804</v>
      </c>
      <c r="S1974">
        <v>11.3844729391106</v>
      </c>
      <c r="T1974">
        <v>9.1659094311625307</v>
      </c>
      <c r="U1974">
        <v>4.2825134917710699</v>
      </c>
      <c r="V1974">
        <v>2.9426144955369198</v>
      </c>
      <c r="W1974">
        <v>2.3853151313124799</v>
      </c>
    </row>
    <row r="1975" spans="1:23" x14ac:dyDescent="0.2">
      <c r="A1975" t="s">
        <v>3957</v>
      </c>
      <c r="B1975" s="3" t="str">
        <f>HYPERLINK("http://www.ncbi.nlm.nih.gov/gene/78255","Ralgps2")</f>
        <v>Ralgps2</v>
      </c>
      <c r="C1975">
        <v>78255</v>
      </c>
      <c r="D1975" t="s">
        <v>3958</v>
      </c>
      <c r="E1975" s="3" t="str">
        <f>HYPERLINK("http://genome.ucsc.edu/cgi-bin/hgTracks?db=mm10&amp;lastVirtModeType=default&amp;lastVirtModeExtraState=&amp;virtModeType=default&amp;virtMode=0&amp;nonVirtPosition=&amp;position=chr1:156804165-156939626","chr1:156804165-156939626")</f>
        <v>chr1:156804165-156939626</v>
      </c>
      <c r="F1975" t="s">
        <v>25</v>
      </c>
      <c r="G1975">
        <v>0.55581496692195198</v>
      </c>
      <c r="H1975">
        <v>0.167897115917546</v>
      </c>
      <c r="I1975">
        <v>3.3104497589756798</v>
      </c>
      <c r="J1975">
        <v>9.3146171925647802E-4</v>
      </c>
      <c r="K1975">
        <v>6.3187456345306396E-3</v>
      </c>
      <c r="L1975" t="s">
        <v>26</v>
      </c>
      <c r="M1975" t="s">
        <v>27</v>
      </c>
      <c r="N1975">
        <v>639.88102253535999</v>
      </c>
      <c r="O1975">
        <v>496.19073279005897</v>
      </c>
      <c r="P1975">
        <v>747.648739844337</v>
      </c>
      <c r="Q1975">
        <v>610.80142296828001</v>
      </c>
      <c r="R1975">
        <v>471.03460585003398</v>
      </c>
      <c r="S1975">
        <v>406.73616955186202</v>
      </c>
      <c r="T1975">
        <v>912.00798840067102</v>
      </c>
      <c r="U1975">
        <v>618.82319956091999</v>
      </c>
      <c r="V1975">
        <v>768.02238333513606</v>
      </c>
      <c r="W1975">
        <v>691.741388080619</v>
      </c>
    </row>
    <row r="1976" spans="1:23" x14ac:dyDescent="0.2">
      <c r="A1976" t="s">
        <v>3959</v>
      </c>
      <c r="B1976" s="3" t="str">
        <f>HYPERLINK("http://www.ncbi.nlm.nih.gov/gene/69710","Arap1")</f>
        <v>Arap1</v>
      </c>
      <c r="C1976">
        <v>69710</v>
      </c>
      <c r="D1976" t="s">
        <v>3960</v>
      </c>
      <c r="E1976" s="3" t="str">
        <f>HYPERLINK("http://genome.ucsc.edu/cgi-bin/hgTracks?db=mm10&amp;lastVirtModeType=default&amp;lastVirtModeExtraState=&amp;virtModeType=default&amp;virtMode=0&amp;nonVirtPosition=&amp;position=chr7:101378121-101412586","chr7:101378121-101412586")</f>
        <v>chr7:101378121-101412586</v>
      </c>
      <c r="F1976" t="s">
        <v>30</v>
      </c>
      <c r="G1976">
        <v>0.615211385735843</v>
      </c>
      <c r="H1976">
        <v>0.18594346469072301</v>
      </c>
      <c r="I1976">
        <v>3.3085937532631999</v>
      </c>
      <c r="J1976">
        <v>9.3765784948183703E-4</v>
      </c>
      <c r="K1976">
        <v>6.3575576012209001E-3</v>
      </c>
      <c r="L1976" t="s">
        <v>26</v>
      </c>
      <c r="M1976" t="s">
        <v>27</v>
      </c>
      <c r="N1976">
        <v>502.98798730513101</v>
      </c>
      <c r="O1976">
        <v>377.90328865181698</v>
      </c>
      <c r="P1976">
        <v>596.80151129511603</v>
      </c>
      <c r="Q1976">
        <v>496.10215849110102</v>
      </c>
      <c r="R1976">
        <v>273.82204945549501</v>
      </c>
      <c r="S1976">
        <v>363.785658008854</v>
      </c>
      <c r="T1976">
        <v>678.277297906027</v>
      </c>
      <c r="U1976">
        <v>614.54068606914905</v>
      </c>
      <c r="V1976">
        <v>586.31593823573098</v>
      </c>
      <c r="W1976">
        <v>508.072122969558</v>
      </c>
    </row>
    <row r="1977" spans="1:23" x14ac:dyDescent="0.2">
      <c r="A1977" t="s">
        <v>3961</v>
      </c>
      <c r="B1977" s="3" t="str">
        <f>HYPERLINK("http://www.ncbi.nlm.nih.gov/gene/99100","Cep152")</f>
        <v>Cep152</v>
      </c>
      <c r="C1977">
        <v>99100</v>
      </c>
      <c r="D1977" t="s">
        <v>3962</v>
      </c>
      <c r="E1977" s="3" t="str">
        <f>HYPERLINK("http://genome.ucsc.edu/cgi-bin/hgTracks?db=mm10&amp;lastVirtModeType=default&amp;lastVirtModeExtraState=&amp;virtModeType=default&amp;virtMode=0&amp;nonVirtPosition=&amp;position=chr2:125563087-125625113","chr2:125563087-125625113")</f>
        <v>chr2:125563087-125625113</v>
      </c>
      <c r="F1977" t="s">
        <v>25</v>
      </c>
      <c r="G1977">
        <v>0.84442170958729801</v>
      </c>
      <c r="H1977">
        <v>0.25531150495296101</v>
      </c>
      <c r="I1977">
        <v>3.3074173831017801</v>
      </c>
      <c r="J1977">
        <v>9.4160481729999002E-4</v>
      </c>
      <c r="K1977">
        <v>6.38108811157094E-3</v>
      </c>
      <c r="L1977" t="s">
        <v>26</v>
      </c>
      <c r="M1977" t="s">
        <v>27</v>
      </c>
      <c r="N1977">
        <v>143.52003047847501</v>
      </c>
      <c r="O1977">
        <v>92.092982385158095</v>
      </c>
      <c r="P1977">
        <v>182.09031654846399</v>
      </c>
      <c r="Q1977">
        <v>62.917557698646903</v>
      </c>
      <c r="R1977">
        <v>76.230238144812304</v>
      </c>
      <c r="S1977">
        <v>137.13115131201499</v>
      </c>
      <c r="T1977">
        <v>256.64546407255102</v>
      </c>
      <c r="U1977">
        <v>130.61666149901799</v>
      </c>
      <c r="V1977">
        <v>157.42987551122499</v>
      </c>
      <c r="W1977">
        <v>183.66926511106101</v>
      </c>
    </row>
    <row r="1978" spans="1:23" x14ac:dyDescent="0.2">
      <c r="A1978" t="s">
        <v>3963</v>
      </c>
      <c r="B1978" s="3" t="str">
        <f>HYPERLINK("http://www.ncbi.nlm.nih.gov/gene/235611","Plxnb1")</f>
        <v>Plxnb1</v>
      </c>
      <c r="C1978">
        <v>235611</v>
      </c>
      <c r="D1978" t="s">
        <v>3964</v>
      </c>
      <c r="E1978" s="3" t="str">
        <f>HYPERLINK("http://genome.ucsc.edu/cgi-bin/hgTracks?db=mm10&amp;lastVirtModeType=default&amp;lastVirtModeExtraState=&amp;virtModeType=default&amp;virtMode=0&amp;nonVirtPosition=&amp;position=chr9:109095435-109119915","chr9:109095435-109119915")</f>
        <v>chr9:109095435-109119915</v>
      </c>
      <c r="F1978" t="s">
        <v>30</v>
      </c>
      <c r="G1978">
        <v>0.61154874930266501</v>
      </c>
      <c r="H1978">
        <v>0.184954992740197</v>
      </c>
      <c r="I1978">
        <v>3.3064733221973501</v>
      </c>
      <c r="J1978">
        <v>9.4478346519171602E-4</v>
      </c>
      <c r="K1978">
        <v>6.3993906840577996E-3</v>
      </c>
      <c r="L1978" t="s">
        <v>26</v>
      </c>
      <c r="M1978" t="s">
        <v>27</v>
      </c>
      <c r="N1978">
        <v>1153.4412111468801</v>
      </c>
      <c r="O1978">
        <v>871.96592927176198</v>
      </c>
      <c r="P1978">
        <v>1364.5476725532201</v>
      </c>
      <c r="Q1978">
        <v>1123.6073578395501</v>
      </c>
      <c r="R1978">
        <v>586.70735527375405</v>
      </c>
      <c r="S1978">
        <v>905.58307470198304</v>
      </c>
      <c r="T1978">
        <v>1324.4739128029901</v>
      </c>
      <c r="U1978">
        <v>1329.7204391949199</v>
      </c>
      <c r="V1978">
        <v>1445.5593709325101</v>
      </c>
      <c r="W1978">
        <v>1358.43696728246</v>
      </c>
    </row>
    <row r="1979" spans="1:23" x14ac:dyDescent="0.2">
      <c r="A1979" t="s">
        <v>3965</v>
      </c>
      <c r="B1979" s="3" t="str">
        <f>HYPERLINK("http://www.ncbi.nlm.nih.gov/gene/101187","Parp11")</f>
        <v>Parp11</v>
      </c>
      <c r="C1979">
        <v>101187</v>
      </c>
      <c r="D1979" t="s">
        <v>3966</v>
      </c>
      <c r="E1979" s="3" t="str">
        <f>HYPERLINK("http://genome.ucsc.edu/cgi-bin/hgTracks?db=mm10&amp;lastVirtModeType=default&amp;lastVirtModeExtraState=&amp;virtModeType=default&amp;virtMode=0&amp;nonVirtPosition=&amp;position=chr6:127453722-127494239","chr6:127453722-127494239")</f>
        <v>chr6:127453722-127494239</v>
      </c>
      <c r="F1979" t="s">
        <v>30</v>
      </c>
      <c r="G1979">
        <v>0.80027368450880298</v>
      </c>
      <c r="H1979">
        <v>0.242118214417329</v>
      </c>
      <c r="I1979">
        <v>3.3053014472071198</v>
      </c>
      <c r="J1979">
        <v>9.4874298919219498E-4</v>
      </c>
      <c r="K1979">
        <v>6.4229612579740497E-3</v>
      </c>
      <c r="L1979" t="s">
        <v>26</v>
      </c>
      <c r="M1979" t="s">
        <v>27</v>
      </c>
      <c r="N1979">
        <v>301.85432769018303</v>
      </c>
      <c r="O1979">
        <v>200.82179927502099</v>
      </c>
      <c r="P1979">
        <v>377.62872400155402</v>
      </c>
      <c r="Q1979">
        <v>263.362874260708</v>
      </c>
      <c r="R1979">
        <v>142.979103386041</v>
      </c>
      <c r="S1979">
        <v>196.123420178315</v>
      </c>
      <c r="T1979">
        <v>568.28638473207695</v>
      </c>
      <c r="U1979">
        <v>241.96201228506499</v>
      </c>
      <c r="V1979">
        <v>312.65279015079801</v>
      </c>
      <c r="W1979">
        <v>387.613708838278</v>
      </c>
    </row>
    <row r="1980" spans="1:23" x14ac:dyDescent="0.2">
      <c r="A1980" t="s">
        <v>3967</v>
      </c>
      <c r="B1980" s="3" t="str">
        <f>HYPERLINK("http://www.ncbi.nlm.nih.gov/gene/53859","Map3k14")</f>
        <v>Map3k14</v>
      </c>
      <c r="C1980">
        <v>53859</v>
      </c>
      <c r="D1980" t="s">
        <v>3968</v>
      </c>
      <c r="E1980" s="3" t="str">
        <f>HYPERLINK("http://genome.ucsc.edu/cgi-bin/hgTracks?db=mm10&amp;lastVirtModeType=default&amp;lastVirtModeExtraState=&amp;virtModeType=default&amp;virtMode=0&amp;nonVirtPosition=&amp;position=chr11:103219763-103267401","chr11:103219763-103267401")</f>
        <v>chr11:103219763-103267401</v>
      </c>
      <c r="F1980" t="s">
        <v>25</v>
      </c>
      <c r="G1980">
        <v>0.74192020901568401</v>
      </c>
      <c r="H1980">
        <v>0.22455972329543999</v>
      </c>
      <c r="I1980">
        <v>3.3038881511248701</v>
      </c>
      <c r="J1980">
        <v>9.5353867144272995E-4</v>
      </c>
      <c r="K1980">
        <v>6.4521659167708998E-3</v>
      </c>
      <c r="L1980" t="s">
        <v>26</v>
      </c>
      <c r="M1980" t="s">
        <v>27</v>
      </c>
      <c r="N1980">
        <v>69.948149854577295</v>
      </c>
      <c r="O1980">
        <v>48.856018811041203</v>
      </c>
      <c r="P1980">
        <v>85.767248137229501</v>
      </c>
      <c r="Q1980">
        <v>37.305100582383602</v>
      </c>
      <c r="R1980">
        <v>46.648354685631404</v>
      </c>
      <c r="S1980">
        <v>62.614601165108603</v>
      </c>
      <c r="T1980">
        <v>91.659094311625296</v>
      </c>
      <c r="U1980">
        <v>70.661472614222703</v>
      </c>
      <c r="V1980">
        <v>85.335820370570701</v>
      </c>
      <c r="W1980">
        <v>95.412605252499205</v>
      </c>
    </row>
    <row r="1981" spans="1:23" x14ac:dyDescent="0.2">
      <c r="A1981" t="s">
        <v>3969</v>
      </c>
      <c r="B1981" s="3" t="str">
        <f>HYPERLINK("http://www.ncbi.nlm.nih.gov/gene/12421","Rb1cc1")</f>
        <v>Rb1cc1</v>
      </c>
      <c r="C1981">
        <v>12421</v>
      </c>
      <c r="D1981" t="s">
        <v>3970</v>
      </c>
      <c r="E1981" s="3" t="str">
        <f>HYPERLINK("http://genome.ucsc.edu/cgi-bin/hgTracks?db=mm10&amp;lastVirtModeType=default&amp;lastVirtModeExtraState=&amp;virtModeType=default&amp;virtMode=0&amp;nonVirtPosition=&amp;position=chr1:6214661-6276104","chr1:6214661-6276104")</f>
        <v>chr1:6214661-6276104</v>
      </c>
      <c r="F1981" t="s">
        <v>30</v>
      </c>
      <c r="G1981">
        <v>-0.47505894973618501</v>
      </c>
      <c r="H1981">
        <v>0.14380639822824501</v>
      </c>
      <c r="I1981">
        <v>-3.3034618458504701</v>
      </c>
      <c r="J1981">
        <v>9.5498963835583201E-4</v>
      </c>
      <c r="K1981">
        <v>6.45872032688028E-3</v>
      </c>
      <c r="L1981" t="s">
        <v>26</v>
      </c>
      <c r="M1981" t="s">
        <v>27</v>
      </c>
      <c r="N1981">
        <v>435.90586978080199</v>
      </c>
      <c r="O1981">
        <v>526.12513624516396</v>
      </c>
      <c r="P1981">
        <v>368.24141993252999</v>
      </c>
      <c r="Q1981">
        <v>610.80142296828001</v>
      </c>
      <c r="R1981">
        <v>464.587272275597</v>
      </c>
      <c r="S1981">
        <v>502.986713491616</v>
      </c>
      <c r="T1981">
        <v>316.22387537510701</v>
      </c>
      <c r="U1981">
        <v>370.43741703819802</v>
      </c>
      <c r="V1981">
        <v>423.736487357317</v>
      </c>
      <c r="W1981">
        <v>362.56789995949703</v>
      </c>
    </row>
    <row r="1982" spans="1:23" x14ac:dyDescent="0.2">
      <c r="A1982" t="s">
        <v>3971</v>
      </c>
      <c r="B1982" s="3" t="str">
        <f>HYPERLINK("http://www.ncbi.nlm.nih.gov/gene/66884","Appbp2")</f>
        <v>Appbp2</v>
      </c>
      <c r="C1982">
        <v>66884</v>
      </c>
      <c r="D1982" t="s">
        <v>3972</v>
      </c>
      <c r="E1982" s="3" t="str">
        <f>HYPERLINK("http://genome.ucsc.edu/cgi-bin/hgTracks?db=mm10&amp;lastVirtModeType=default&amp;lastVirtModeExtraState=&amp;virtModeType=default&amp;virtMode=0&amp;nonVirtPosition=&amp;position=chr11:85191309-85235120","chr11:85191309-85235120")</f>
        <v>chr11:85191309-85235120</v>
      </c>
      <c r="F1982" t="s">
        <v>25</v>
      </c>
      <c r="G1982">
        <v>-0.31010472381443699</v>
      </c>
      <c r="H1982">
        <v>9.3914103412912397E-2</v>
      </c>
      <c r="I1982">
        <v>-3.3020037730754699</v>
      </c>
      <c r="J1982">
        <v>9.5996778840160598E-4</v>
      </c>
      <c r="K1982">
        <v>6.4891108806087398E-3</v>
      </c>
      <c r="L1982" t="s">
        <v>26</v>
      </c>
      <c r="M1982" t="s">
        <v>27</v>
      </c>
      <c r="N1982">
        <v>893.003685629443</v>
      </c>
      <c r="O1982">
        <v>1005.00644597409</v>
      </c>
      <c r="P1982">
        <v>809.00161537095698</v>
      </c>
      <c r="Q1982">
        <v>959.91034931387003</v>
      </c>
      <c r="R1982">
        <v>1027.4015678323201</v>
      </c>
      <c r="S1982">
        <v>1027.70742077608</v>
      </c>
      <c r="T1982">
        <v>815.76593937346502</v>
      </c>
      <c r="U1982">
        <v>817.96007692827402</v>
      </c>
      <c r="V1982">
        <v>824.66771237422199</v>
      </c>
      <c r="W1982">
        <v>777.61273280786804</v>
      </c>
    </row>
    <row r="1983" spans="1:23" x14ac:dyDescent="0.2">
      <c r="A1983" t="s">
        <v>3973</v>
      </c>
      <c r="B1983" s="3" t="str">
        <f>HYPERLINK("http://www.ncbi.nlm.nih.gov/gene/231991","Creb5")</f>
        <v>Creb5</v>
      </c>
      <c r="C1983">
        <v>231991</v>
      </c>
      <c r="D1983" t="s">
        <v>3974</v>
      </c>
      <c r="E1983" s="3" t="str">
        <f>HYPERLINK("http://genome.ucsc.edu/cgi-bin/hgTracks?db=mm10&amp;lastVirtModeType=default&amp;lastVirtModeExtraState=&amp;virtModeType=default&amp;virtMode=0&amp;nonVirtPosition=&amp;position=chr6:53287302-53700363","chr6:53287302-53700363")</f>
        <v>chr6:53287302-53700363</v>
      </c>
      <c r="F1983" t="s">
        <v>30</v>
      </c>
      <c r="G1983">
        <v>0.63680215946526098</v>
      </c>
      <c r="H1983">
        <v>0.19289039846348</v>
      </c>
      <c r="I1983">
        <v>3.3013678469113898</v>
      </c>
      <c r="J1983">
        <v>9.6214648472824505E-4</v>
      </c>
      <c r="K1983">
        <v>6.50055679969522E-3</v>
      </c>
      <c r="L1983" t="s">
        <v>26</v>
      </c>
      <c r="M1983" t="s">
        <v>27</v>
      </c>
      <c r="N1983">
        <v>741.26656090340998</v>
      </c>
      <c r="O1983">
        <v>552.27887533536205</v>
      </c>
      <c r="P1983">
        <v>883.00732507944701</v>
      </c>
      <c r="Q1983">
        <v>449.88837717262601</v>
      </c>
      <c r="R1983">
        <v>424.00699624825899</v>
      </c>
      <c r="S1983">
        <v>782.9412525852</v>
      </c>
      <c r="T1983">
        <v>834.09775823579002</v>
      </c>
      <c r="U1983">
        <v>946.43548168140705</v>
      </c>
      <c r="V1983">
        <v>882.04869503719203</v>
      </c>
      <c r="W1983">
        <v>869.44736536339894</v>
      </c>
    </row>
    <row r="1984" spans="1:23" x14ac:dyDescent="0.2">
      <c r="A1984" t="s">
        <v>3975</v>
      </c>
      <c r="B1984" s="3" t="str">
        <f>HYPERLINK("http://www.ncbi.nlm.nih.gov/gene/242202","Pde5a")</f>
        <v>Pde5a</v>
      </c>
      <c r="C1984">
        <v>242202</v>
      </c>
      <c r="D1984" t="s">
        <v>3976</v>
      </c>
      <c r="E1984" s="3" t="str">
        <f>HYPERLINK("http://genome.ucsc.edu/cgi-bin/hgTracks?db=mm10&amp;lastVirtModeType=default&amp;lastVirtModeExtraState=&amp;virtModeType=default&amp;virtMode=0&amp;nonVirtPosition=&amp;position=chr3:122729157-122859374","chr3:122729157-122859374")</f>
        <v>chr3:122729157-122859374</v>
      </c>
      <c r="F1984" t="s">
        <v>30</v>
      </c>
      <c r="G1984">
        <v>-0.95794156357523597</v>
      </c>
      <c r="H1984">
        <v>0.29030056112638403</v>
      </c>
      <c r="I1984">
        <v>-3.2998267721507801</v>
      </c>
      <c r="J1984">
        <v>9.6744524920112495E-4</v>
      </c>
      <c r="K1984">
        <v>6.5330606818216203E-3</v>
      </c>
      <c r="L1984" t="s">
        <v>26</v>
      </c>
      <c r="M1984" t="s">
        <v>27</v>
      </c>
      <c r="N1984">
        <v>80.460208571439495</v>
      </c>
      <c r="O1984">
        <v>116.878172693534</v>
      </c>
      <c r="P1984">
        <v>53.146735479868902</v>
      </c>
      <c r="Q1984">
        <v>141.42530668545399</v>
      </c>
      <c r="R1984">
        <v>154.35675087034099</v>
      </c>
      <c r="S1984">
        <v>54.852460524805799</v>
      </c>
      <c r="T1984">
        <v>50.4125018713939</v>
      </c>
      <c r="U1984">
        <v>53.531418647138402</v>
      </c>
      <c r="V1984">
        <v>47.817485552474999</v>
      </c>
      <c r="W1984">
        <v>60.825535848468199</v>
      </c>
    </row>
    <row r="1985" spans="1:23" x14ac:dyDescent="0.2">
      <c r="A1985" t="s">
        <v>3977</v>
      </c>
      <c r="B1985" s="3" t="str">
        <f>HYPERLINK("http://www.ncbi.nlm.nih.gov/gene/228836","Dlgap4")</f>
        <v>Dlgap4</v>
      </c>
      <c r="C1985">
        <v>228836</v>
      </c>
      <c r="D1985" t="s">
        <v>3978</v>
      </c>
      <c r="E1985" s="3" t="str">
        <f>HYPERLINK("http://genome.ucsc.edu/cgi-bin/hgTracks?db=mm10&amp;lastVirtModeType=default&amp;lastVirtModeExtraState=&amp;virtModeType=default&amp;virtMode=0&amp;nonVirtPosition=&amp;position=chr2:156613696-156764363","chr2:156613696-156764363")</f>
        <v>chr2:156613696-156764363</v>
      </c>
      <c r="F1985" t="s">
        <v>30</v>
      </c>
      <c r="G1985">
        <v>0.48329252616850499</v>
      </c>
      <c r="H1985">
        <v>0.14656754439274</v>
      </c>
      <c r="I1985">
        <v>3.2974048120331698</v>
      </c>
      <c r="J1985">
        <v>9.75827449518199E-4</v>
      </c>
      <c r="K1985">
        <v>6.5863434357349799E-3</v>
      </c>
      <c r="L1985" t="s">
        <v>26</v>
      </c>
      <c r="M1985" t="s">
        <v>27</v>
      </c>
      <c r="N1985">
        <v>384.322494405415</v>
      </c>
      <c r="O1985">
        <v>313.96237199188499</v>
      </c>
      <c r="P1985">
        <v>437.09258621556302</v>
      </c>
      <c r="Q1985">
        <v>274.49872518082202</v>
      </c>
      <c r="R1985">
        <v>317.05710989583599</v>
      </c>
      <c r="S1985">
        <v>350.331280898996</v>
      </c>
      <c r="T1985">
        <v>329.972739521851</v>
      </c>
      <c r="U1985">
        <v>486.06528131601698</v>
      </c>
      <c r="V1985">
        <v>451.69132506491701</v>
      </c>
      <c r="W1985">
        <v>480.64099895946498</v>
      </c>
    </row>
    <row r="1986" spans="1:23" x14ac:dyDescent="0.2">
      <c r="A1986" t="s">
        <v>3979</v>
      </c>
      <c r="B1986" s="3" t="str">
        <f>HYPERLINK("http://www.ncbi.nlm.nih.gov/gene/328110","Prpf39")</f>
        <v>Prpf39</v>
      </c>
      <c r="C1986">
        <v>328110</v>
      </c>
      <c r="D1986" t="s">
        <v>3980</v>
      </c>
      <c r="E1986" s="3" t="str">
        <f>HYPERLINK("http://genome.ucsc.edu/cgi-bin/hgTracks?db=mm10&amp;lastVirtModeType=default&amp;lastVirtModeExtraState=&amp;virtModeType=default&amp;virtMode=0&amp;nonVirtPosition=&amp;position=chr12:65036333-65063386","chr12:65036333-65063386")</f>
        <v>chr12:65036333-65063386</v>
      </c>
      <c r="F1986" t="s">
        <v>30</v>
      </c>
      <c r="G1986">
        <v>0.51040836047825</v>
      </c>
      <c r="H1986">
        <v>0.15480993207205401</v>
      </c>
      <c r="I1986">
        <v>3.2970000932542698</v>
      </c>
      <c r="J1986">
        <v>9.7723468785962993E-4</v>
      </c>
      <c r="K1986">
        <v>6.5925187431376897E-3</v>
      </c>
      <c r="L1986" t="s">
        <v>26</v>
      </c>
      <c r="M1986" t="s">
        <v>27</v>
      </c>
      <c r="N1986">
        <v>360.39941955208002</v>
      </c>
      <c r="O1986">
        <v>288.014730959921</v>
      </c>
      <c r="P1986">
        <v>414.68793599619801</v>
      </c>
      <c r="Q1986">
        <v>266.70362953674203</v>
      </c>
      <c r="R1986">
        <v>286.33746168822501</v>
      </c>
      <c r="S1986">
        <v>311.00310165479499</v>
      </c>
      <c r="T1986">
        <v>444.54660741138298</v>
      </c>
      <c r="U1986">
        <v>316.90599839105897</v>
      </c>
      <c r="V1986">
        <v>496.566196121855</v>
      </c>
      <c r="W1986">
        <v>400.73294206049701</v>
      </c>
    </row>
    <row r="1987" spans="1:23" x14ac:dyDescent="0.2">
      <c r="A1987" t="s">
        <v>3981</v>
      </c>
      <c r="B1987" s="3" t="str">
        <f>HYPERLINK("http://www.ncbi.nlm.nih.gov/gene/75687","Fam65a")</f>
        <v>Fam65a</v>
      </c>
      <c r="C1987">
        <v>75687</v>
      </c>
      <c r="D1987" t="s">
        <v>3982</v>
      </c>
      <c r="E1987" s="3" t="str">
        <f>HYPERLINK("http://genome.ucsc.edu/cgi-bin/hgTracks?db=mm10&amp;lastVirtModeType=default&amp;lastVirtModeExtraState=&amp;virtModeType=default&amp;virtMode=0&amp;nonVirtPosition=&amp;position=chr8:105605228-105622218","chr8:105605228-105622218")</f>
        <v>chr8:105605228-105622218</v>
      </c>
      <c r="F1987" t="s">
        <v>30</v>
      </c>
      <c r="G1987">
        <v>0.74893376292900005</v>
      </c>
      <c r="H1987">
        <v>0.22721961011007499</v>
      </c>
      <c r="I1987">
        <v>3.2960789016677898</v>
      </c>
      <c r="J1987">
        <v>9.8044475130470792E-4</v>
      </c>
      <c r="K1987">
        <v>6.6108437385303904E-3</v>
      </c>
      <c r="L1987" t="s">
        <v>26</v>
      </c>
      <c r="M1987" t="s">
        <v>27</v>
      </c>
      <c r="N1987">
        <v>188.10964878625001</v>
      </c>
      <c r="O1987">
        <v>130.650104354517</v>
      </c>
      <c r="P1987">
        <v>231.20430711005</v>
      </c>
      <c r="Q1987">
        <v>100.222658281031</v>
      </c>
      <c r="R1987">
        <v>99.744042945699604</v>
      </c>
      <c r="S1987">
        <v>191.98361183681999</v>
      </c>
      <c r="T1987">
        <v>219.98182634790101</v>
      </c>
      <c r="U1987">
        <v>284.787147202776</v>
      </c>
      <c r="V1987">
        <v>218.48912629361601</v>
      </c>
      <c r="W1987">
        <v>201.55912859590501</v>
      </c>
    </row>
    <row r="1988" spans="1:23" x14ac:dyDescent="0.2">
      <c r="A1988" t="s">
        <v>3983</v>
      </c>
      <c r="B1988" s="3" t="str">
        <f>HYPERLINK("http://www.ncbi.nlm.nih.gov/gene/237542","Osbpl8")</f>
        <v>Osbpl8</v>
      </c>
      <c r="C1988">
        <v>237542</v>
      </c>
      <c r="D1988" t="s">
        <v>3984</v>
      </c>
      <c r="E1988" s="3" t="str">
        <f>HYPERLINK("http://genome.ucsc.edu/cgi-bin/hgTracks?db=mm10&amp;lastVirtModeType=default&amp;lastVirtModeExtraState=&amp;virtModeType=default&amp;virtMode=0&amp;nonVirtPosition=&amp;position=chr10:111164801-111297247","chr10:111164801-111297247")</f>
        <v>chr10:111164801-111297247</v>
      </c>
      <c r="F1988" t="s">
        <v>30</v>
      </c>
      <c r="G1988">
        <v>-0.37945472198116997</v>
      </c>
      <c r="H1988">
        <v>0.115135300117852</v>
      </c>
      <c r="I1988">
        <v>-3.29572877816587</v>
      </c>
      <c r="J1988">
        <v>9.8166738046775006E-4</v>
      </c>
      <c r="K1988">
        <v>6.6157563622766197E-3</v>
      </c>
      <c r="L1988" t="s">
        <v>26</v>
      </c>
      <c r="M1988" t="s">
        <v>27</v>
      </c>
      <c r="N1988">
        <v>607.76757109118</v>
      </c>
      <c r="O1988">
        <v>702.42139125822098</v>
      </c>
      <c r="P1988">
        <v>536.77720596589904</v>
      </c>
      <c r="Q1988">
        <v>684.29803904103596</v>
      </c>
      <c r="R1988">
        <v>730.06571357593805</v>
      </c>
      <c r="S1988">
        <v>692.90042115768904</v>
      </c>
      <c r="T1988">
        <v>568.28638473207695</v>
      </c>
      <c r="U1988">
        <v>479.64151107836</v>
      </c>
      <c r="V1988">
        <v>595.87943534622696</v>
      </c>
      <c r="W1988">
        <v>503.301492706933</v>
      </c>
    </row>
    <row r="1989" spans="1:23" x14ac:dyDescent="0.2">
      <c r="A1989" t="s">
        <v>3985</v>
      </c>
      <c r="B1989" s="3" t="str">
        <f>HYPERLINK("http://www.ncbi.nlm.nih.gov/gene/29813","Zfp385a")</f>
        <v>Zfp385a</v>
      </c>
      <c r="C1989">
        <v>29813</v>
      </c>
      <c r="D1989" t="s">
        <v>3986</v>
      </c>
      <c r="E1989" s="3" t="str">
        <f>HYPERLINK("http://genome.ucsc.edu/cgi-bin/hgTracks?db=mm10&amp;lastVirtModeType=default&amp;lastVirtModeExtraState=&amp;virtModeType=default&amp;virtMode=0&amp;nonVirtPosition=&amp;position=chr15:103313894-103340086","chr15:103313894-103340086")</f>
        <v>chr15:103313894-103340086</v>
      </c>
      <c r="F1989" t="s">
        <v>25</v>
      </c>
      <c r="G1989">
        <v>0.660920894180694</v>
      </c>
      <c r="H1989">
        <v>0.200637525265321</v>
      </c>
      <c r="I1989">
        <v>3.2941040979582401</v>
      </c>
      <c r="J1989">
        <v>9.8735925048873689E-4</v>
      </c>
      <c r="K1989">
        <v>6.65076847248223E-3</v>
      </c>
      <c r="L1989" t="s">
        <v>26</v>
      </c>
      <c r="M1989" t="s">
        <v>27</v>
      </c>
      <c r="N1989">
        <v>74.514487692677704</v>
      </c>
      <c r="O1989">
        <v>55.107000470728998</v>
      </c>
      <c r="P1989">
        <v>89.070103109139097</v>
      </c>
      <c r="Q1989">
        <v>48.440951502498102</v>
      </c>
      <c r="R1989">
        <v>58.405257086075103</v>
      </c>
      <c r="S1989">
        <v>58.474792823613797</v>
      </c>
      <c r="T1989">
        <v>68.744320733718993</v>
      </c>
      <c r="U1989">
        <v>113.486607531933</v>
      </c>
      <c r="V1989">
        <v>84.600166746686497</v>
      </c>
      <c r="W1989">
        <v>89.449317424217995</v>
      </c>
    </row>
    <row r="1990" spans="1:23" x14ac:dyDescent="0.2">
      <c r="A1990" t="s">
        <v>3987</v>
      </c>
      <c r="B1990" s="3" t="str">
        <f>HYPERLINK("http://www.ncbi.nlm.nih.gov/gene/18518","Igbp1")</f>
        <v>Igbp1</v>
      </c>
      <c r="C1990">
        <v>18518</v>
      </c>
      <c r="D1990" t="s">
        <v>3988</v>
      </c>
      <c r="E1990" s="3" t="str">
        <f>HYPERLINK("http://genome.ucsc.edu/cgi-bin/hgTracks?db=mm10&amp;lastVirtModeType=default&amp;lastVirtModeExtraState=&amp;virtModeType=default&amp;virtMode=0&amp;nonVirtPosition=&amp;position=chrX:100494290-100516125","chrX:100494290-100516125")</f>
        <v>chrX:100494290-100516125</v>
      </c>
      <c r="F1990" t="s">
        <v>30</v>
      </c>
      <c r="G1990">
        <v>-0.47908419304132699</v>
      </c>
      <c r="H1990">
        <v>0.14546757213897099</v>
      </c>
      <c r="I1990">
        <v>-3.2934088745472199</v>
      </c>
      <c r="J1990">
        <v>9.8980420422004295E-4</v>
      </c>
      <c r="K1990">
        <v>6.6638854191606797E-3</v>
      </c>
      <c r="L1990" t="s">
        <v>26</v>
      </c>
      <c r="M1990" t="s">
        <v>27</v>
      </c>
      <c r="N1990">
        <v>194.05030088095</v>
      </c>
      <c r="O1990">
        <v>232.33862385405499</v>
      </c>
      <c r="P1990">
        <v>165.33405865112101</v>
      </c>
      <c r="Q1990">
        <v>256.12457116263403</v>
      </c>
      <c r="R1990">
        <v>227.173694769863</v>
      </c>
      <c r="S1990">
        <v>213.71760562966799</v>
      </c>
      <c r="T1990">
        <v>183.31818862325099</v>
      </c>
      <c r="U1990">
        <v>139.18168848255999</v>
      </c>
      <c r="V1990">
        <v>170.671640741141</v>
      </c>
      <c r="W1990">
        <v>168.16471675752999</v>
      </c>
    </row>
    <row r="1991" spans="1:23" x14ac:dyDescent="0.2">
      <c r="A1991" t="s">
        <v>3989</v>
      </c>
      <c r="B1991" s="3" t="str">
        <f>HYPERLINK("http://www.ncbi.nlm.nih.gov/gene/18751","Prkcb")</f>
        <v>Prkcb</v>
      </c>
      <c r="C1991">
        <v>18751</v>
      </c>
      <c r="D1991" t="s">
        <v>3990</v>
      </c>
      <c r="E1991" s="3" t="str">
        <f>HYPERLINK("http://genome.ucsc.edu/cgi-bin/hgTracks?db=mm10&amp;lastVirtModeType=default&amp;lastVirtModeExtraState=&amp;virtModeType=default&amp;virtMode=0&amp;nonVirtPosition=&amp;position=chr7:122289124-122634401","chr7:122289124-122634401")</f>
        <v>chr7:122289124-122634401</v>
      </c>
      <c r="F1991" t="s">
        <v>30</v>
      </c>
      <c r="G1991">
        <v>-0.43259798363461599</v>
      </c>
      <c r="H1991">
        <v>0.13136404031392701</v>
      </c>
      <c r="I1991">
        <v>-3.2931233129006698</v>
      </c>
      <c r="J1991">
        <v>9.9081008728713494E-4</v>
      </c>
      <c r="K1991">
        <v>6.66730546676483E-3</v>
      </c>
      <c r="L1991" t="s">
        <v>26</v>
      </c>
      <c r="M1991" t="s">
        <v>27</v>
      </c>
      <c r="N1991">
        <v>969.295346563929</v>
      </c>
      <c r="O1991">
        <v>1137.39800633048</v>
      </c>
      <c r="P1991">
        <v>843.21835173901297</v>
      </c>
      <c r="Q1991">
        <v>1203.22869191837</v>
      </c>
      <c r="R1991">
        <v>1153.3141999919101</v>
      </c>
      <c r="S1991">
        <v>1055.65112708117</v>
      </c>
      <c r="T1991">
        <v>957.837535556484</v>
      </c>
      <c r="U1991">
        <v>901.46909001781</v>
      </c>
      <c r="V1991">
        <v>825.40336599810598</v>
      </c>
      <c r="W1991">
        <v>688.16341538364998</v>
      </c>
    </row>
    <row r="1992" spans="1:23" x14ac:dyDescent="0.2">
      <c r="A1992" t="s">
        <v>3991</v>
      </c>
      <c r="B1992" s="3" t="str">
        <f>HYPERLINK("http://www.ncbi.nlm.nih.gov/gene/100037262","Gm12359")</f>
        <v>Gm12359</v>
      </c>
      <c r="C1992">
        <v>100037262</v>
      </c>
      <c r="D1992" t="s">
        <v>3992</v>
      </c>
      <c r="E1992" s="3" t="str">
        <f>HYPERLINK("http://genome.ucsc.edu/cgi-bin/hgTracks?db=mm10&amp;lastVirtModeType=default&amp;lastVirtModeExtraState=&amp;virtModeType=default&amp;virtMode=0&amp;nonVirtPosition=&amp;position=chr11:98798308-98810089","chr11:98798308-98810089")</f>
        <v>chr11:98798308-98810089</v>
      </c>
      <c r="F1992" t="s">
        <v>25</v>
      </c>
      <c r="G1992">
        <v>1.21793000298355</v>
      </c>
      <c r="H1992">
        <v>0.36988073664772497</v>
      </c>
      <c r="I1992">
        <v>3.2927640785562402</v>
      </c>
      <c r="J1992">
        <v>9.9207682460556302E-4</v>
      </c>
      <c r="K1992">
        <v>6.6724765235023102E-3</v>
      </c>
      <c r="L1992" t="s">
        <v>26</v>
      </c>
      <c r="M1992" t="s">
        <v>27</v>
      </c>
      <c r="N1992">
        <v>14.182589022390999</v>
      </c>
      <c r="O1992">
        <v>5.4603214395628097</v>
      </c>
      <c r="P1992">
        <v>20.724289709512099</v>
      </c>
      <c r="Q1992">
        <v>3.8975478220400701</v>
      </c>
      <c r="R1992">
        <v>8.3436081551535803</v>
      </c>
      <c r="S1992">
        <v>4.1398083414947804</v>
      </c>
      <c r="T1992">
        <v>32.0806830090688</v>
      </c>
      <c r="U1992">
        <v>21.412567458855399</v>
      </c>
      <c r="V1992">
        <v>19.8626478448742</v>
      </c>
      <c r="W1992">
        <v>9.5412605252499194</v>
      </c>
    </row>
    <row r="1993" spans="1:23" x14ac:dyDescent="0.2">
      <c r="A1993" t="s">
        <v>3993</v>
      </c>
      <c r="B1993" s="3" t="str">
        <f>HYPERLINK("http://www.ncbi.nlm.nih.gov/gene/28080","Atp5o")</f>
        <v>Atp5o</v>
      </c>
      <c r="C1993">
        <v>28080</v>
      </c>
      <c r="D1993" t="s">
        <v>3994</v>
      </c>
      <c r="E1993" s="3" t="str">
        <f>HYPERLINK("http://genome.ucsc.edu/cgi-bin/hgTracks?db=mm10&amp;lastVirtModeType=default&amp;lastVirtModeExtraState=&amp;virtModeType=default&amp;virtMode=0&amp;nonVirtPosition=&amp;position=chr16:91925222-91931630","chr16:91925222-91931630")</f>
        <v>chr16:91925222-91931630</v>
      </c>
      <c r="F1993" t="s">
        <v>25</v>
      </c>
      <c r="G1993">
        <v>-0.51000281119978497</v>
      </c>
      <c r="H1993">
        <v>0.15490004478435501</v>
      </c>
      <c r="I1993">
        <v>-3.29246393640355</v>
      </c>
      <c r="J1993">
        <v>9.9313633974501807E-4</v>
      </c>
      <c r="K1993">
        <v>6.6762493602035801E-3</v>
      </c>
      <c r="L1993" t="s">
        <v>26</v>
      </c>
      <c r="M1993" t="s">
        <v>27</v>
      </c>
      <c r="N1993">
        <v>367.09425971805098</v>
      </c>
      <c r="O1993">
        <v>444.19387573562301</v>
      </c>
      <c r="P1993">
        <v>309.26954770487202</v>
      </c>
      <c r="Q1993">
        <v>361.91515490372097</v>
      </c>
      <c r="R1993">
        <v>542.71378500112598</v>
      </c>
      <c r="S1993">
        <v>427.95268730202298</v>
      </c>
      <c r="T1993">
        <v>320.80683009068798</v>
      </c>
      <c r="U1993">
        <v>308.34097140751697</v>
      </c>
      <c r="V1993">
        <v>294.26144955369199</v>
      </c>
      <c r="W1993">
        <v>313.66893976759098</v>
      </c>
    </row>
    <row r="1994" spans="1:23" x14ac:dyDescent="0.2">
      <c r="A1994" t="s">
        <v>3995</v>
      </c>
      <c r="B1994" s="3" t="str">
        <f>HYPERLINK("http://www.ncbi.nlm.nih.gov/gene/21356","Tapbp")</f>
        <v>Tapbp</v>
      </c>
      <c r="C1994">
        <v>21356</v>
      </c>
      <c r="D1994" t="s">
        <v>3996</v>
      </c>
      <c r="E1994" s="3" t="str">
        <f>HYPERLINK("http://genome.ucsc.edu/cgi-bin/hgTracks?db=mm10&amp;lastVirtModeType=default&amp;lastVirtModeExtraState=&amp;virtModeType=default&amp;virtMode=0&amp;nonVirtPosition=&amp;position=chr17:33919477-33929290","chr17:33919477-33929290")</f>
        <v>chr17:33919477-33929290</v>
      </c>
      <c r="F1994" t="s">
        <v>30</v>
      </c>
      <c r="G1994">
        <v>0.75901819031727003</v>
      </c>
      <c r="H1994">
        <v>0.23065480158742799</v>
      </c>
      <c r="I1994">
        <v>3.2907105557460898</v>
      </c>
      <c r="J1994">
        <v>9.9934681619189003E-4</v>
      </c>
      <c r="K1994">
        <v>6.7124002220704396E-3</v>
      </c>
      <c r="L1994" t="s">
        <v>26</v>
      </c>
      <c r="M1994" t="s">
        <v>27</v>
      </c>
      <c r="N1994">
        <v>275.40755722701198</v>
      </c>
      <c r="O1994">
        <v>188.899657378304</v>
      </c>
      <c r="P1994">
        <v>340.28848211354301</v>
      </c>
      <c r="Q1994">
        <v>263.362874260708</v>
      </c>
      <c r="R1994">
        <v>128.946671488737</v>
      </c>
      <c r="S1994">
        <v>174.389426385468</v>
      </c>
      <c r="T1994">
        <v>458.295471558126</v>
      </c>
      <c r="U1994">
        <v>239.82075553918</v>
      </c>
      <c r="V1994">
        <v>320.74498001352401</v>
      </c>
      <c r="W1994">
        <v>342.29272134334099</v>
      </c>
    </row>
    <row r="1995" spans="1:23" x14ac:dyDescent="0.2">
      <c r="A1995" t="s">
        <v>3997</v>
      </c>
      <c r="B1995" s="3" t="str">
        <f>HYPERLINK("http://www.ncbi.nlm.nih.gov/gene/74189","Phactr3")</f>
        <v>Phactr3</v>
      </c>
      <c r="C1995">
        <v>74189</v>
      </c>
      <c r="D1995" t="s">
        <v>3998</v>
      </c>
      <c r="E1995" s="3" t="str">
        <f>HYPERLINK("http://genome.ucsc.edu/cgi-bin/hgTracks?db=mm10&amp;lastVirtModeType=default&amp;lastVirtModeExtraState=&amp;virtModeType=default&amp;virtMode=0&amp;nonVirtPosition=&amp;position=chr2:178118974-178338492","chr2:178118974-178338492")</f>
        <v>chr2:178118974-178338492</v>
      </c>
      <c r="F1995" t="s">
        <v>30</v>
      </c>
      <c r="G1995">
        <v>-0.76221597969232902</v>
      </c>
      <c r="H1995">
        <v>0.231629927136172</v>
      </c>
      <c r="I1995">
        <v>-3.2906627788396001</v>
      </c>
      <c r="J1995">
        <v>9.99516544157154E-4</v>
      </c>
      <c r="K1995">
        <v>6.7124002220704396E-3</v>
      </c>
      <c r="L1995" t="s">
        <v>26</v>
      </c>
      <c r="M1995" t="s">
        <v>27</v>
      </c>
      <c r="N1995">
        <v>419.86612427337798</v>
      </c>
      <c r="O1995">
        <v>561.11668253281005</v>
      </c>
      <c r="P1995">
        <v>313.92820557880401</v>
      </c>
      <c r="Q1995">
        <v>866.92599413091398</v>
      </c>
      <c r="R1995">
        <v>427.799545409693</v>
      </c>
      <c r="S1995">
        <v>388.62450805782299</v>
      </c>
      <c r="T1995">
        <v>343.72160366859498</v>
      </c>
      <c r="U1995">
        <v>267.657093235692</v>
      </c>
      <c r="V1995">
        <v>325.894555380714</v>
      </c>
      <c r="W1995">
        <v>318.43957003021598</v>
      </c>
    </row>
    <row r="1996" spans="1:23" x14ac:dyDescent="0.2">
      <c r="A1996" t="s">
        <v>3999</v>
      </c>
      <c r="B1996" s="3" t="str">
        <f>HYPERLINK("http://www.ncbi.nlm.nih.gov/gene/76273","Ndfip2")</f>
        <v>Ndfip2</v>
      </c>
      <c r="C1996">
        <v>76273</v>
      </c>
      <c r="D1996" t="s">
        <v>4000</v>
      </c>
      <c r="E1996" s="3" t="str">
        <f>HYPERLINK("http://genome.ucsc.edu/cgi-bin/hgTracks?db=mm10&amp;lastVirtModeType=default&amp;lastVirtModeExtraState=&amp;virtModeType=default&amp;virtMode=0&amp;nonVirtPosition=&amp;position=chr14:105258672-105309298","chr14:105258672-105309298")</f>
        <v>chr14:105258672-105309298</v>
      </c>
      <c r="F1996" t="s">
        <v>30</v>
      </c>
      <c r="G1996">
        <v>-0.44670362569557998</v>
      </c>
      <c r="H1996">
        <v>0.135834774585538</v>
      </c>
      <c r="I1996">
        <v>-3.2885807559851501</v>
      </c>
      <c r="J1996">
        <v>1.0069389256476E-3</v>
      </c>
      <c r="K1996">
        <v>6.7588567184696897E-3</v>
      </c>
      <c r="L1996" t="s">
        <v>26</v>
      </c>
      <c r="M1996" t="s">
        <v>27</v>
      </c>
      <c r="N1996">
        <v>323.90569488229102</v>
      </c>
      <c r="O1996">
        <v>388.166229392037</v>
      </c>
      <c r="P1996">
        <v>275.71029399998099</v>
      </c>
      <c r="Q1996">
        <v>375.27817600785897</v>
      </c>
      <c r="R1996">
        <v>401.63095619580201</v>
      </c>
      <c r="S1996">
        <v>387.58955597244898</v>
      </c>
      <c r="T1996">
        <v>247.47955464138801</v>
      </c>
      <c r="U1996">
        <v>235.538242047409</v>
      </c>
      <c r="V1996">
        <v>319.27367276575598</v>
      </c>
      <c r="W1996">
        <v>300.54970654537198</v>
      </c>
    </row>
    <row r="1997" spans="1:23" x14ac:dyDescent="0.2">
      <c r="A1997" t="s">
        <v>4001</v>
      </c>
      <c r="B1997" s="3" t="str">
        <f>HYPERLINK("http://www.ncbi.nlm.nih.gov/gene/269587","Epb41")</f>
        <v>Epb41</v>
      </c>
      <c r="C1997">
        <v>269587</v>
      </c>
      <c r="D1997" t="s">
        <v>4002</v>
      </c>
      <c r="E1997" s="3" t="str">
        <f>HYPERLINK("http://genome.ucsc.edu/cgi-bin/hgTracks?db=mm10&amp;lastVirtModeType=default&amp;lastVirtModeExtraState=&amp;virtModeType=default&amp;virtMode=0&amp;nonVirtPosition=&amp;position=chr4:131923428-132072097","chr4:131923428-132072097")</f>
        <v>chr4:131923428-132072097</v>
      </c>
      <c r="F1997" t="s">
        <v>25</v>
      </c>
      <c r="G1997">
        <v>0.43855936053714401</v>
      </c>
      <c r="H1997">
        <v>0.133384725033517</v>
      </c>
      <c r="I1997">
        <v>3.28792791248729</v>
      </c>
      <c r="J1997">
        <v>1.00927679030335E-3</v>
      </c>
      <c r="K1997">
        <v>6.7711550595952403E-3</v>
      </c>
      <c r="L1997" t="s">
        <v>26</v>
      </c>
      <c r="M1997" t="s">
        <v>27</v>
      </c>
      <c r="N1997">
        <v>544.54583576099799</v>
      </c>
      <c r="O1997">
        <v>449.04023310867001</v>
      </c>
      <c r="P1997">
        <v>616.17503775024295</v>
      </c>
      <c r="Q1997">
        <v>398.66346294009901</v>
      </c>
      <c r="R1997">
        <v>529.81911785225202</v>
      </c>
      <c r="S1997">
        <v>418.63811853366002</v>
      </c>
      <c r="T1997">
        <v>650.77956961253904</v>
      </c>
      <c r="U1997">
        <v>582.42183488086596</v>
      </c>
      <c r="V1997">
        <v>645.90388177035402</v>
      </c>
      <c r="W1997">
        <v>585.59486473721404</v>
      </c>
    </row>
    <row r="1998" spans="1:23" x14ac:dyDescent="0.2">
      <c r="A1998" t="s">
        <v>4003</v>
      </c>
      <c r="B1998" s="3" t="str">
        <f>HYPERLINK("http://www.ncbi.nlm.nih.gov/gene/224814","Abcc10")</f>
        <v>Abcc10</v>
      </c>
      <c r="C1998">
        <v>224814</v>
      </c>
      <c r="D1998" t="s">
        <v>4004</v>
      </c>
      <c r="E1998" s="3" t="str">
        <f>HYPERLINK("http://genome.ucsc.edu/cgi-bin/hgTracks?db=mm10&amp;lastVirtModeType=default&amp;lastVirtModeExtraState=&amp;virtModeType=default&amp;virtMode=0&amp;nonVirtPosition=&amp;position=chr17:46303229-46325766","chr17:46303229-46325766")</f>
        <v>chr17:46303229-46325766</v>
      </c>
      <c r="F1998" t="s">
        <v>25</v>
      </c>
      <c r="G1998">
        <v>0.66161148368092204</v>
      </c>
      <c r="H1998">
        <v>0.20124744501723299</v>
      </c>
      <c r="I1998">
        <v>3.2875522152555501</v>
      </c>
      <c r="J1998">
        <v>1.01062445727129E-3</v>
      </c>
      <c r="K1998">
        <v>6.77680125554324E-3</v>
      </c>
      <c r="L1998" t="s">
        <v>26</v>
      </c>
      <c r="M1998" t="s">
        <v>27</v>
      </c>
      <c r="N1998">
        <v>103.94530485990801</v>
      </c>
      <c r="O1998">
        <v>76.257248845544098</v>
      </c>
      <c r="P1998">
        <v>124.711346870681</v>
      </c>
      <c r="Q1998">
        <v>65.701520428675593</v>
      </c>
      <c r="R1998">
        <v>63.714825912081899</v>
      </c>
      <c r="S1998">
        <v>99.355400195874793</v>
      </c>
      <c r="T1998">
        <v>128.322732036275</v>
      </c>
      <c r="U1998">
        <v>117.769121023704</v>
      </c>
      <c r="V1998">
        <v>119.17588706924499</v>
      </c>
      <c r="W1998">
        <v>133.577647353499</v>
      </c>
    </row>
    <row r="1999" spans="1:23" x14ac:dyDescent="0.2">
      <c r="A1999" t="s">
        <v>4005</v>
      </c>
      <c r="B1999" s="3" t="str">
        <f>HYPERLINK("http://www.ncbi.nlm.nih.gov/gene/215114","Hip1")</f>
        <v>Hip1</v>
      </c>
      <c r="C1999">
        <v>215114</v>
      </c>
      <c r="D1999" t="s">
        <v>4006</v>
      </c>
      <c r="E1999" s="3" t="str">
        <f>HYPERLINK("http://genome.ucsc.edu/cgi-bin/hgTracks?db=mm10&amp;lastVirtModeType=default&amp;lastVirtModeExtraState=&amp;virtModeType=default&amp;virtMode=0&amp;nonVirtPosition=&amp;position=chr5:135406518-135545122","chr5:135406518-135545122")</f>
        <v>chr5:135406518-135545122</v>
      </c>
      <c r="F1999" t="s">
        <v>25</v>
      </c>
      <c r="G1999">
        <v>-0.65069847139904302</v>
      </c>
      <c r="H1999">
        <v>0.19794730772889799</v>
      </c>
      <c r="I1999">
        <v>-3.2872307224820498</v>
      </c>
      <c r="J1999">
        <v>1.0117790093068799E-3</v>
      </c>
      <c r="K1999">
        <v>6.7811475043185396E-3</v>
      </c>
      <c r="L1999" t="s">
        <v>26</v>
      </c>
      <c r="M1999" t="s">
        <v>27</v>
      </c>
      <c r="N1999">
        <v>4186.4064110087102</v>
      </c>
      <c r="O1999">
        <v>5361.6508646811599</v>
      </c>
      <c r="P1999">
        <v>3304.9730707543599</v>
      </c>
      <c r="Q1999">
        <v>4674.2734237180603</v>
      </c>
      <c r="R1999">
        <v>4103.9174475871296</v>
      </c>
      <c r="S1999">
        <v>7306.7617227382898</v>
      </c>
      <c r="T1999">
        <v>2726.8580557708501</v>
      </c>
      <c r="U1999">
        <v>3327.5129831061199</v>
      </c>
      <c r="V1999">
        <v>3605.4384106566099</v>
      </c>
      <c r="W1999">
        <v>3560.0828334838802</v>
      </c>
    </row>
    <row r="2000" spans="1:23" x14ac:dyDescent="0.2">
      <c r="A2000" t="s">
        <v>4007</v>
      </c>
      <c r="B2000" s="3" t="str">
        <f>HYPERLINK("http://www.ncbi.nlm.nih.gov/gene/100040970","Rpl14-ps1")</f>
        <v>Rpl14-ps1</v>
      </c>
      <c r="C2000">
        <v>100040970</v>
      </c>
      <c r="D2000" t="s">
        <v>4008</v>
      </c>
      <c r="E2000" s="3" t="str">
        <f>HYPERLINK("http://genome.ucsc.edu/cgi-bin/hgTracks?db=mm10&amp;lastVirtModeType=default&amp;lastVirtModeExtraState=&amp;virtModeType=default&amp;virtMode=0&amp;nonVirtPosition=&amp;position=chr7:45324957-45325651","chr7:45324957-45325651")</f>
        <v>chr7:45324957-45325651</v>
      </c>
      <c r="F2000" t="s">
        <v>30</v>
      </c>
      <c r="G2000">
        <v>-0.81151412319013905</v>
      </c>
      <c r="H2000">
        <v>0.24689714486964401</v>
      </c>
      <c r="I2000">
        <v>-3.2868509824955701</v>
      </c>
      <c r="J2000">
        <v>1.01314431273515E-3</v>
      </c>
      <c r="K2000">
        <v>6.7858837302718902E-3</v>
      </c>
      <c r="L2000" t="s">
        <v>26</v>
      </c>
      <c r="M2000" t="s">
        <v>27</v>
      </c>
      <c r="N2000">
        <v>75.270668064455293</v>
      </c>
      <c r="O2000">
        <v>102.622562023821</v>
      </c>
      <c r="P2000">
        <v>54.756747594930701</v>
      </c>
      <c r="Q2000">
        <v>105.23379119508201</v>
      </c>
      <c r="R2000">
        <v>131.222200985597</v>
      </c>
      <c r="S2000">
        <v>71.411693890785003</v>
      </c>
      <c r="T2000">
        <v>45.829547155812598</v>
      </c>
      <c r="U2000">
        <v>72.802729360108202</v>
      </c>
      <c r="V2000">
        <v>51.495753671896097</v>
      </c>
      <c r="W2000">
        <v>48.8989601919058</v>
      </c>
    </row>
    <row r="2001" spans="1:23" x14ac:dyDescent="0.2">
      <c r="A2001" t="s">
        <v>4009</v>
      </c>
      <c r="B2001" s="3" t="str">
        <f>HYPERLINK("http://www.ncbi.nlm.nih.gov/gene/74006","Dnm1l")</f>
        <v>Dnm1l</v>
      </c>
      <c r="C2001">
        <v>74006</v>
      </c>
      <c r="D2001" t="s">
        <v>4010</v>
      </c>
      <c r="E2001" s="3" t="str">
        <f>HYPERLINK("http://genome.ucsc.edu/cgi-bin/hgTracks?db=mm10&amp;lastVirtModeType=default&amp;lastVirtModeExtraState=&amp;virtModeType=default&amp;virtMode=0&amp;nonVirtPosition=&amp;position=chr16:16312227-16359031","chr16:16312227-16359031")</f>
        <v>chr16:16312227-16359031</v>
      </c>
      <c r="F2001" t="s">
        <v>25</v>
      </c>
      <c r="G2001">
        <v>-0.42947476766452702</v>
      </c>
      <c r="H2001">
        <v>0.13066842908541501</v>
      </c>
      <c r="I2001">
        <v>-3.2867523599276498</v>
      </c>
      <c r="J2001">
        <v>1.0134991756062901E-3</v>
      </c>
      <c r="K2001">
        <v>6.7858837302718902E-3</v>
      </c>
      <c r="L2001" t="s">
        <v>26</v>
      </c>
      <c r="M2001" t="s">
        <v>27</v>
      </c>
      <c r="N2001">
        <v>654.76406017335296</v>
      </c>
      <c r="O2001">
        <v>773.47082228329202</v>
      </c>
      <c r="P2001">
        <v>565.733988590899</v>
      </c>
      <c r="Q2001">
        <v>685.96841667905301</v>
      </c>
      <c r="R2001">
        <v>898.07564142744002</v>
      </c>
      <c r="S2001">
        <v>736.36840874338395</v>
      </c>
      <c r="T2001">
        <v>522.45683757626398</v>
      </c>
      <c r="U2001">
        <v>543.879213454926</v>
      </c>
      <c r="V2001">
        <v>590.72985997903697</v>
      </c>
      <c r="W2001">
        <v>605.87004335336997</v>
      </c>
    </row>
    <row r="2002" spans="1:23" x14ac:dyDescent="0.2">
      <c r="A2002" t="s">
        <v>4011</v>
      </c>
      <c r="B2002" s="3" t="str">
        <f>HYPERLINK("http://www.ncbi.nlm.nih.gov/gene/14415","Gad1")</f>
        <v>Gad1</v>
      </c>
      <c r="C2002">
        <v>14415</v>
      </c>
      <c r="D2002" t="s">
        <v>4012</v>
      </c>
      <c r="E2002" s="3" t="str">
        <f>HYPERLINK("http://genome.ucsc.edu/cgi-bin/hgTracks?db=mm10&amp;lastVirtModeType=default&amp;lastVirtModeExtraState=&amp;virtModeType=default&amp;virtMode=0&amp;nonVirtPosition=&amp;position=chr2:70562128-70602014","chr2:70562128-70602014")</f>
        <v>chr2:70562128-70602014</v>
      </c>
      <c r="F2002" t="s">
        <v>30</v>
      </c>
      <c r="G2002">
        <v>-0.87441248770334301</v>
      </c>
      <c r="H2002">
        <v>0.26612361896193398</v>
      </c>
      <c r="I2002">
        <v>-3.2857380006861399</v>
      </c>
      <c r="J2002">
        <v>1.0171557171888999E-3</v>
      </c>
      <c r="K2002">
        <v>6.8069626231266897E-3</v>
      </c>
      <c r="L2002" t="s">
        <v>26</v>
      </c>
      <c r="M2002" t="s">
        <v>27</v>
      </c>
      <c r="N2002">
        <v>230.58505522828401</v>
      </c>
      <c r="O2002">
        <v>323.966436575351</v>
      </c>
      <c r="P2002">
        <v>160.54901921798299</v>
      </c>
      <c r="Q2002">
        <v>228.28494386234701</v>
      </c>
      <c r="R2002">
        <v>515.40743103880504</v>
      </c>
      <c r="S2002">
        <v>228.2069348249</v>
      </c>
      <c r="T2002">
        <v>119.15682260511301</v>
      </c>
      <c r="U2002">
        <v>182.00682340027001</v>
      </c>
      <c r="V2002">
        <v>128.73938417974</v>
      </c>
      <c r="W2002">
        <v>212.29304668681101</v>
      </c>
    </row>
    <row r="2003" spans="1:23" x14ac:dyDescent="0.2">
      <c r="A2003" t="s">
        <v>4013</v>
      </c>
      <c r="B2003" s="3" t="str">
        <f>HYPERLINK("http://www.ncbi.nlm.nih.gov/gene/23965","Tenm3")</f>
        <v>Tenm3</v>
      </c>
      <c r="C2003">
        <v>23965</v>
      </c>
      <c r="D2003" t="s">
        <v>4014</v>
      </c>
      <c r="E2003" s="3" t="str">
        <f>HYPERLINK("http://genome.ucsc.edu/cgi-bin/hgTracks?db=mm10&amp;lastVirtModeType=default&amp;lastVirtModeExtraState=&amp;virtModeType=default&amp;virtMode=0&amp;nonVirtPosition=&amp;position=chr8:48225664-48674690","chr8:48225664-48674690")</f>
        <v>chr8:48225664-48674690</v>
      </c>
      <c r="F2003" t="s">
        <v>25</v>
      </c>
      <c r="G2003">
        <v>1.08294747677249</v>
      </c>
      <c r="H2003">
        <v>0.32962886867006802</v>
      </c>
      <c r="I2003">
        <v>3.2853538621838201</v>
      </c>
      <c r="J2003">
        <v>1.01854363666279E-3</v>
      </c>
      <c r="K2003">
        <v>6.8128460732025196E-3</v>
      </c>
      <c r="L2003" t="s">
        <v>26</v>
      </c>
      <c r="M2003" t="s">
        <v>27</v>
      </c>
      <c r="N2003">
        <v>672.20673174384603</v>
      </c>
      <c r="O2003">
        <v>349.61916778709502</v>
      </c>
      <c r="P2003">
        <v>914.14740471140999</v>
      </c>
      <c r="Q2003">
        <v>146.436439599506</v>
      </c>
      <c r="R2003">
        <v>440.314957642423</v>
      </c>
      <c r="S2003">
        <v>462.10610611935499</v>
      </c>
      <c r="T2003">
        <v>783.68525636439597</v>
      </c>
      <c r="U2003">
        <v>922.88165747666596</v>
      </c>
      <c r="V2003">
        <v>998.28196761089998</v>
      </c>
      <c r="W2003">
        <v>951.74073739367896</v>
      </c>
    </row>
    <row r="2004" spans="1:23" x14ac:dyDescent="0.2">
      <c r="A2004" t="s">
        <v>4015</v>
      </c>
      <c r="B2004" s="3" t="str">
        <f>HYPERLINK("http://www.ncbi.nlm.nih.gov/gene/104721","Ddx1")</f>
        <v>Ddx1</v>
      </c>
      <c r="C2004">
        <v>104721</v>
      </c>
      <c r="D2004" t="s">
        <v>4016</v>
      </c>
      <c r="E2004" s="3" t="str">
        <f>HYPERLINK("http://genome.ucsc.edu/cgi-bin/hgTracks?db=mm10&amp;lastVirtModeType=default&amp;lastVirtModeExtraState=&amp;virtModeType=default&amp;virtMode=0&amp;nonVirtPosition=&amp;position=chr12:13219306-13249174","chr12:13219306-13249174")</f>
        <v>chr12:13219306-13249174</v>
      </c>
      <c r="F2004" t="s">
        <v>25</v>
      </c>
      <c r="G2004">
        <v>-0.46977400442968997</v>
      </c>
      <c r="H2004">
        <v>0.143024526618028</v>
      </c>
      <c r="I2004">
        <v>-3.2845695457835902</v>
      </c>
      <c r="J2004">
        <v>1.02138287183585E-3</v>
      </c>
      <c r="K2004">
        <v>6.8284263788087E-3</v>
      </c>
      <c r="L2004" t="s">
        <v>26</v>
      </c>
      <c r="M2004" t="s">
        <v>27</v>
      </c>
      <c r="N2004">
        <v>764.29738269397797</v>
      </c>
      <c r="O2004">
        <v>911.40501999521905</v>
      </c>
      <c r="P2004">
        <v>653.96665471804602</v>
      </c>
      <c r="Q2004">
        <v>807.90598425430699</v>
      </c>
      <c r="R2004">
        <v>1113.8716887129999</v>
      </c>
      <c r="S2004">
        <v>812.43738701835105</v>
      </c>
      <c r="T2004">
        <v>687.44320733718996</v>
      </c>
      <c r="U2004">
        <v>678.778388445715</v>
      </c>
      <c r="V2004">
        <v>637.81169190762796</v>
      </c>
      <c r="W2004">
        <v>611.83333118165103</v>
      </c>
    </row>
    <row r="2005" spans="1:23" x14ac:dyDescent="0.2">
      <c r="A2005" t="s">
        <v>4017</v>
      </c>
      <c r="B2005" s="3" t="str">
        <f>HYPERLINK("http://www.ncbi.nlm.nih.gov/gene/225055","Fbxo11")</f>
        <v>Fbxo11</v>
      </c>
      <c r="C2005">
        <v>225055</v>
      </c>
      <c r="D2005" t="s">
        <v>4018</v>
      </c>
      <c r="E2005" s="3" t="str">
        <f>HYPERLINK("http://genome.ucsc.edu/cgi-bin/hgTracks?db=mm10&amp;lastVirtModeType=default&amp;lastVirtModeExtraState=&amp;virtModeType=default&amp;virtMode=0&amp;nonVirtPosition=&amp;position=chr17:87990858-88065285","chr17:87990858-88065285")</f>
        <v>chr17:87990858-88065285</v>
      </c>
      <c r="F2005" t="s">
        <v>25</v>
      </c>
      <c r="G2005">
        <v>-0.40643494502118199</v>
      </c>
      <c r="H2005">
        <v>0.12375753422414</v>
      </c>
      <c r="I2005">
        <v>-3.2841228420491801</v>
      </c>
      <c r="J2005">
        <v>1.0230032172681199E-3</v>
      </c>
      <c r="K2005">
        <v>6.8358463485216799E-3</v>
      </c>
      <c r="L2005" t="s">
        <v>26</v>
      </c>
      <c r="M2005" t="s">
        <v>27</v>
      </c>
      <c r="N2005">
        <v>544.568998051976</v>
      </c>
      <c r="O2005">
        <v>639.55009829018502</v>
      </c>
      <c r="P2005">
        <v>473.33317287331897</v>
      </c>
      <c r="Q2005">
        <v>663.13992229281803</v>
      </c>
      <c r="R2005">
        <v>615.90998381679196</v>
      </c>
      <c r="S2005">
        <v>639.60038876094404</v>
      </c>
      <c r="T2005">
        <v>453.71251684254503</v>
      </c>
      <c r="U2005">
        <v>404.69752497236601</v>
      </c>
      <c r="V2005">
        <v>539.96975993102501</v>
      </c>
      <c r="W2005">
        <v>494.95288974733899</v>
      </c>
    </row>
    <row r="2006" spans="1:23" x14ac:dyDescent="0.2">
      <c r="A2006" t="s">
        <v>4019</v>
      </c>
      <c r="B2006" s="3" t="str">
        <f>HYPERLINK("http://www.ncbi.nlm.nih.gov/gene/22196","Ube2i")</f>
        <v>Ube2i</v>
      </c>
      <c r="C2006">
        <v>22196</v>
      </c>
      <c r="D2006" t="s">
        <v>4020</v>
      </c>
      <c r="E2006" s="3" t="str">
        <f>HYPERLINK("http://genome.ucsc.edu/cgi-bin/hgTracks?db=mm10&amp;lastVirtModeType=default&amp;lastVirtModeExtraState=&amp;virtModeType=default&amp;virtMode=0&amp;nonVirtPosition=&amp;position=chr17:25260510-25274310","chr17:25260510-25274310")</f>
        <v>chr17:25260510-25274310</v>
      </c>
      <c r="F2006" t="s">
        <v>25</v>
      </c>
      <c r="G2006">
        <v>0.67933917740146299</v>
      </c>
      <c r="H2006">
        <v>0.20694453021591599</v>
      </c>
      <c r="I2006">
        <v>3.2827114429778601</v>
      </c>
      <c r="J2006">
        <v>1.0281384857869101E-3</v>
      </c>
      <c r="K2006">
        <v>6.86673439559726E-3</v>
      </c>
      <c r="L2006" t="s">
        <v>26</v>
      </c>
      <c r="M2006" t="s">
        <v>27</v>
      </c>
      <c r="N2006">
        <v>180.79083660860999</v>
      </c>
      <c r="O2006">
        <v>132.686652312343</v>
      </c>
      <c r="P2006">
        <v>216.86897483081</v>
      </c>
      <c r="Q2006">
        <v>91.313977544938894</v>
      </c>
      <c r="R2006">
        <v>138.04878947617701</v>
      </c>
      <c r="S2006">
        <v>168.69718991591199</v>
      </c>
      <c r="T2006">
        <v>169.56932447650701</v>
      </c>
      <c r="U2006">
        <v>231.255728555638</v>
      </c>
      <c r="V2006">
        <v>256.74311473559601</v>
      </c>
      <c r="W2006">
        <v>209.907731555498</v>
      </c>
    </row>
    <row r="2007" spans="1:23" x14ac:dyDescent="0.2">
      <c r="A2007" t="s">
        <v>4021</v>
      </c>
      <c r="B2007" s="3" t="str">
        <f>HYPERLINK("http://www.ncbi.nlm.nih.gov/gene/20907","Stx1a")</f>
        <v>Stx1a</v>
      </c>
      <c r="C2007">
        <v>20907</v>
      </c>
      <c r="D2007" t="s">
        <v>4022</v>
      </c>
      <c r="E2007" s="3" t="str">
        <f>HYPERLINK("http://genome.ucsc.edu/cgi-bin/hgTracks?db=mm10&amp;lastVirtModeType=default&amp;lastVirtModeExtraState=&amp;virtModeType=default&amp;virtMode=0&amp;nonVirtPosition=&amp;position=chr5:135023481-135051100","chr5:135023481-135051100")</f>
        <v>chr5:135023481-135051100</v>
      </c>
      <c r="F2007" t="s">
        <v>30</v>
      </c>
      <c r="G2007">
        <v>0.71850283708588303</v>
      </c>
      <c r="H2007">
        <v>0.21892716718817501</v>
      </c>
      <c r="I2007">
        <v>3.2819263425096299</v>
      </c>
      <c r="J2007">
        <v>1.0310053302541699E-3</v>
      </c>
      <c r="K2007">
        <v>6.8824488421902301E-3</v>
      </c>
      <c r="L2007" t="s">
        <v>26</v>
      </c>
      <c r="M2007" t="s">
        <v>27</v>
      </c>
      <c r="N2007">
        <v>55.960008204052997</v>
      </c>
      <c r="O2007">
        <v>39.736973685137798</v>
      </c>
      <c r="P2007">
        <v>68.127284093239396</v>
      </c>
      <c r="Q2007">
        <v>40.645855858417903</v>
      </c>
      <c r="R2007">
        <v>37.166981782047799</v>
      </c>
      <c r="S2007">
        <v>41.398083414947799</v>
      </c>
      <c r="T2007">
        <v>68.744320733718993</v>
      </c>
      <c r="U2007">
        <v>59.955188884795</v>
      </c>
      <c r="V2007">
        <v>60.3235971585069</v>
      </c>
      <c r="W2007">
        <v>83.486029595936799</v>
      </c>
    </row>
    <row r="2008" spans="1:23" x14ac:dyDescent="0.2">
      <c r="A2008" t="s">
        <v>4023</v>
      </c>
      <c r="B2008" s="3" t="str">
        <f>HYPERLINK("http://www.ncbi.nlm.nih.gov/gene/57080","Gtf2ird1")</f>
        <v>Gtf2ird1</v>
      </c>
      <c r="C2008">
        <v>57080</v>
      </c>
      <c r="D2008" t="s">
        <v>4024</v>
      </c>
      <c r="E2008" s="3" t="str">
        <f>HYPERLINK("http://genome.ucsc.edu/cgi-bin/hgTracks?db=mm10&amp;lastVirtModeType=default&amp;lastVirtModeExtraState=&amp;virtModeType=default&amp;virtMode=0&amp;nonVirtPosition=&amp;position=chr5:134357660-134456716","chr5:134357660-134456716")</f>
        <v>chr5:134357660-134456716</v>
      </c>
      <c r="F2008" t="s">
        <v>25</v>
      </c>
      <c r="G2008">
        <v>0.45316465002665501</v>
      </c>
      <c r="H2008">
        <v>0.13812768437057199</v>
      </c>
      <c r="I2008">
        <v>3.28076628585834</v>
      </c>
      <c r="J2008">
        <v>1.03525489471741E-3</v>
      </c>
      <c r="K2008">
        <v>6.9073733408873302E-3</v>
      </c>
      <c r="L2008" t="s">
        <v>26</v>
      </c>
      <c r="M2008" t="s">
        <v>27</v>
      </c>
      <c r="N2008">
        <v>221.158073801028</v>
      </c>
      <c r="O2008">
        <v>182.18068883195099</v>
      </c>
      <c r="P2008">
        <v>250.39111252783499</v>
      </c>
      <c r="Q2008">
        <v>158.68587561163201</v>
      </c>
      <c r="R2008">
        <v>188.110438407099</v>
      </c>
      <c r="S2008">
        <v>199.74575247712301</v>
      </c>
      <c r="T2008">
        <v>233.73069049464399</v>
      </c>
      <c r="U2008">
        <v>263.374579743921</v>
      </c>
      <c r="V2008">
        <v>261.157036478902</v>
      </c>
      <c r="W2008">
        <v>243.302143393873</v>
      </c>
    </row>
    <row r="2009" spans="1:23" x14ac:dyDescent="0.2">
      <c r="A2009" t="s">
        <v>4025</v>
      </c>
      <c r="B2009" s="3" t="str">
        <f>HYPERLINK("http://www.ncbi.nlm.nih.gov/gene/140742","Sesn1")</f>
        <v>Sesn1</v>
      </c>
      <c r="C2009">
        <v>140742</v>
      </c>
      <c r="D2009" t="s">
        <v>4026</v>
      </c>
      <c r="E2009" s="3" t="str">
        <f>HYPERLINK("http://genome.ucsc.edu/cgi-bin/hgTracks?db=mm10&amp;lastVirtModeType=default&amp;lastVirtModeExtraState=&amp;virtModeType=default&amp;virtMode=0&amp;nonVirtPosition=&amp;position=chr10:41810573-41908436","chr10:41810573-41908436")</f>
        <v>chr10:41810573-41908436</v>
      </c>
      <c r="F2009" t="s">
        <v>30</v>
      </c>
      <c r="G2009">
        <v>-0.51966605446361103</v>
      </c>
      <c r="H2009">
        <v>0.15840745432964701</v>
      </c>
      <c r="I2009">
        <v>-3.28056565685465</v>
      </c>
      <c r="J2009">
        <v>1.0359914886630601E-3</v>
      </c>
      <c r="K2009">
        <v>6.9088456298242104E-3</v>
      </c>
      <c r="L2009" t="s">
        <v>26</v>
      </c>
      <c r="M2009" t="s">
        <v>27</v>
      </c>
      <c r="N2009">
        <v>200.31625534564299</v>
      </c>
      <c r="O2009">
        <v>244.76383086083101</v>
      </c>
      <c r="P2009">
        <v>166.98057370925099</v>
      </c>
      <c r="Q2009">
        <v>272.27155499679998</v>
      </c>
      <c r="R2009">
        <v>258.65185280976101</v>
      </c>
      <c r="S2009">
        <v>203.36808477593101</v>
      </c>
      <c r="T2009">
        <v>164.98636976092499</v>
      </c>
      <c r="U2009">
        <v>149.88797221198701</v>
      </c>
      <c r="V2009">
        <v>166.99337262172</v>
      </c>
      <c r="W2009">
        <v>186.05458024237299</v>
      </c>
    </row>
    <row r="2010" spans="1:23" x14ac:dyDescent="0.2">
      <c r="A2010" t="s">
        <v>4027</v>
      </c>
      <c r="B2010" s="3" t="str">
        <f>HYPERLINK("http://www.ncbi.nlm.nih.gov/gene/171469","Gpr37l1")</f>
        <v>Gpr37l1</v>
      </c>
      <c r="C2010">
        <v>171469</v>
      </c>
      <c r="D2010" t="s">
        <v>4028</v>
      </c>
      <c r="E2010" s="3" t="str">
        <f>HYPERLINK("http://genome.ucsc.edu/cgi-bin/hgTracks?db=mm10&amp;lastVirtModeType=default&amp;lastVirtModeExtraState=&amp;virtModeType=default&amp;virtMode=0&amp;nonVirtPosition=&amp;position=chr1:135160249-135167681","chr1:135160249-135167681")</f>
        <v>chr1:135160249-135167681</v>
      </c>
      <c r="F2010" t="s">
        <v>25</v>
      </c>
      <c r="G2010">
        <v>-0.69271774306120704</v>
      </c>
      <c r="H2010">
        <v>0.21118719821374701</v>
      </c>
      <c r="I2010">
        <v>-3.2801123785926301</v>
      </c>
      <c r="J2010">
        <v>1.0376574509342699E-3</v>
      </c>
      <c r="K2010">
        <v>6.9165111624991601E-3</v>
      </c>
      <c r="L2010" t="s">
        <v>26</v>
      </c>
      <c r="M2010" t="s">
        <v>27</v>
      </c>
      <c r="N2010">
        <v>1675.9939470290401</v>
      </c>
      <c r="O2010">
        <v>2183.5489393539801</v>
      </c>
      <c r="P2010">
        <v>1295.3277027853301</v>
      </c>
      <c r="Q2010">
        <v>3160.3544911284898</v>
      </c>
      <c r="R2010">
        <v>1616.38445260293</v>
      </c>
      <c r="S2010">
        <v>1773.9078743305099</v>
      </c>
      <c r="T2010">
        <v>1049.4966298681099</v>
      </c>
      <c r="U2010">
        <v>1336.1442094325701</v>
      </c>
      <c r="V2010">
        <v>1455.1228680430099</v>
      </c>
      <c r="W2010">
        <v>1340.5471037976099</v>
      </c>
    </row>
    <row r="2011" spans="1:23" x14ac:dyDescent="0.2">
      <c r="A2011" t="s">
        <v>4029</v>
      </c>
      <c r="B2011" s="3" t="str">
        <f>HYPERLINK("http://www.ncbi.nlm.nih.gov/gene/66848","Fuca2")</f>
        <v>Fuca2</v>
      </c>
      <c r="C2011">
        <v>66848</v>
      </c>
      <c r="D2011" t="s">
        <v>4030</v>
      </c>
      <c r="E2011" s="3" t="str">
        <f>HYPERLINK("http://genome.ucsc.edu/cgi-bin/hgTracks?db=mm10&amp;lastVirtModeType=default&amp;lastVirtModeExtraState=&amp;virtModeType=default&amp;virtMode=0&amp;nonVirtPosition=&amp;position=chr10:13501027-13519035","chr10:13501027-13519035")</f>
        <v>chr10:13501027-13519035</v>
      </c>
      <c r="F2011" t="s">
        <v>30</v>
      </c>
      <c r="G2011">
        <v>-0.65159110558887301</v>
      </c>
      <c r="H2011">
        <v>0.19868940574546801</v>
      </c>
      <c r="I2011">
        <v>-3.27944564102022</v>
      </c>
      <c r="J2011">
        <v>1.04011245931586E-3</v>
      </c>
      <c r="K2011">
        <v>6.9294258421386604E-3</v>
      </c>
      <c r="L2011" t="s">
        <v>26</v>
      </c>
      <c r="M2011" t="s">
        <v>27</v>
      </c>
      <c r="N2011">
        <v>131.38297700547801</v>
      </c>
      <c r="O2011">
        <v>167.679918412809</v>
      </c>
      <c r="P2011">
        <v>104.16027094997899</v>
      </c>
      <c r="Q2011">
        <v>216.03550785022099</v>
      </c>
      <c r="R2011">
        <v>152.46047628962501</v>
      </c>
      <c r="S2011">
        <v>134.54377109858001</v>
      </c>
      <c r="T2011">
        <v>105.407958458369</v>
      </c>
      <c r="U2011">
        <v>113.486607531933</v>
      </c>
      <c r="V2011">
        <v>96.370624728834201</v>
      </c>
      <c r="W2011">
        <v>101.37589308078</v>
      </c>
    </row>
    <row r="2012" spans="1:23" x14ac:dyDescent="0.2">
      <c r="A2012" t="s">
        <v>4031</v>
      </c>
      <c r="B2012" s="3" t="str">
        <f>HYPERLINK("http://www.ncbi.nlm.nih.gov/gene/66967","Edem3")</f>
        <v>Edem3</v>
      </c>
      <c r="C2012">
        <v>66967</v>
      </c>
      <c r="D2012" t="s">
        <v>4032</v>
      </c>
      <c r="E2012" s="3" t="str">
        <f>HYPERLINK("http://genome.ucsc.edu/cgi-bin/hgTracks?db=mm10&amp;lastVirtModeType=default&amp;lastVirtModeExtraState=&amp;virtModeType=default&amp;virtMode=0&amp;nonVirtPosition=&amp;position=chr1:151755373-151822328","chr1:151755373-151822328")</f>
        <v>chr1:151755373-151822328</v>
      </c>
      <c r="F2012" t="s">
        <v>30</v>
      </c>
      <c r="G2012">
        <v>-0.38012231282970699</v>
      </c>
      <c r="H2012">
        <v>0.115924120718297</v>
      </c>
      <c r="I2012">
        <v>-3.2790614280648902</v>
      </c>
      <c r="J2012">
        <v>1.04152961780879E-3</v>
      </c>
      <c r="K2012">
        <v>6.9354167638376197E-3</v>
      </c>
      <c r="L2012" t="s">
        <v>26</v>
      </c>
      <c r="M2012" t="s">
        <v>27</v>
      </c>
      <c r="N2012">
        <v>587.57314551920297</v>
      </c>
      <c r="O2012">
        <v>683.63239283252699</v>
      </c>
      <c r="P2012">
        <v>515.52871003421001</v>
      </c>
      <c r="Q2012">
        <v>746.10201164767102</v>
      </c>
      <c r="R2012">
        <v>638.28602386924899</v>
      </c>
      <c r="S2012">
        <v>666.50914298066004</v>
      </c>
      <c r="T2012">
        <v>449.129562126964</v>
      </c>
      <c r="U2012">
        <v>539.59669996315495</v>
      </c>
      <c r="V2012">
        <v>551.00456428928806</v>
      </c>
      <c r="W2012">
        <v>522.38401375743297</v>
      </c>
    </row>
    <row r="2013" spans="1:23" x14ac:dyDescent="0.2">
      <c r="A2013" t="s">
        <v>4033</v>
      </c>
      <c r="B2013" s="3" t="str">
        <f>HYPERLINK("http://www.ncbi.nlm.nih.gov/gene/240174","Thada")</f>
        <v>Thada</v>
      </c>
      <c r="C2013">
        <v>240174</v>
      </c>
      <c r="D2013" t="s">
        <v>4034</v>
      </c>
      <c r="E2013" s="3" t="str">
        <f>HYPERLINK("http://genome.ucsc.edu/cgi-bin/hgTracks?db=mm10&amp;lastVirtModeType=default&amp;lastVirtModeExtraState=&amp;virtModeType=default&amp;virtMode=0&amp;nonVirtPosition=&amp;position=chr17:84190055-84466208","chr17:84190055-84466208")</f>
        <v>chr17:84190055-84466208</v>
      </c>
      <c r="F2013" t="s">
        <v>25</v>
      </c>
      <c r="G2013">
        <v>0.55052155215633203</v>
      </c>
      <c r="H2013">
        <v>0.167974690043485</v>
      </c>
      <c r="I2013">
        <v>3.27740775716754</v>
      </c>
      <c r="J2013">
        <v>1.0476495536794301E-3</v>
      </c>
      <c r="K2013">
        <v>6.9719912153071101E-3</v>
      </c>
      <c r="L2013" t="s">
        <v>26</v>
      </c>
      <c r="M2013" t="s">
        <v>27</v>
      </c>
      <c r="N2013">
        <v>282.23637177842801</v>
      </c>
      <c r="O2013">
        <v>220.39959718234601</v>
      </c>
      <c r="P2013">
        <v>328.61395272548998</v>
      </c>
      <c r="Q2013">
        <v>170.378519077752</v>
      </c>
      <c r="R2013">
        <v>210.86573337569999</v>
      </c>
      <c r="S2013">
        <v>279.95453909358503</v>
      </c>
      <c r="T2013">
        <v>325.38978480626997</v>
      </c>
      <c r="U2013">
        <v>325.47102537460103</v>
      </c>
      <c r="V2013">
        <v>323.687594509061</v>
      </c>
      <c r="W2013">
        <v>339.90740621202798</v>
      </c>
    </row>
    <row r="2014" spans="1:23" x14ac:dyDescent="0.2">
      <c r="A2014" t="s">
        <v>4035</v>
      </c>
      <c r="B2014" s="3" t="str">
        <f>HYPERLINK("http://www.ncbi.nlm.nih.gov/gene/231874","Ccz1")</f>
        <v>Ccz1</v>
      </c>
      <c r="C2014">
        <v>231874</v>
      </c>
      <c r="D2014" t="s">
        <v>4036</v>
      </c>
      <c r="E2014" s="3" t="str">
        <f>HYPERLINK("http://genome.ucsc.edu/cgi-bin/hgTracks?db=mm10&amp;lastVirtModeType=default&amp;lastVirtModeExtraState=&amp;virtModeType=default&amp;virtMode=0&amp;nonVirtPosition=&amp;position=chr5:143987908-144014853","chr5:143987908-144014853")</f>
        <v>chr5:143987908-144014853</v>
      </c>
      <c r="F2014" t="s">
        <v>25</v>
      </c>
      <c r="G2014">
        <v>-0.56210955758680103</v>
      </c>
      <c r="H2014">
        <v>0.17152309981442601</v>
      </c>
      <c r="I2014">
        <v>-3.2771653392164599</v>
      </c>
      <c r="J2014">
        <v>1.0485494897227001E-3</v>
      </c>
      <c r="K2014">
        <v>6.9719912153071101E-3</v>
      </c>
      <c r="L2014" t="s">
        <v>26</v>
      </c>
      <c r="M2014" t="s">
        <v>27</v>
      </c>
      <c r="N2014">
        <v>222.053607578639</v>
      </c>
      <c r="O2014">
        <v>275.59965699395599</v>
      </c>
      <c r="P2014">
        <v>181.89407051715099</v>
      </c>
      <c r="Q2014">
        <v>227.17135877033601</v>
      </c>
      <c r="R2014">
        <v>326.91773771556302</v>
      </c>
      <c r="S2014">
        <v>272.70987449596902</v>
      </c>
      <c r="T2014">
        <v>187.90114333883199</v>
      </c>
      <c r="U2014">
        <v>152.02922895787299</v>
      </c>
      <c r="V2014">
        <v>211.132590054774</v>
      </c>
      <c r="W2014">
        <v>176.51331971712301</v>
      </c>
    </row>
    <row r="2015" spans="1:23" x14ac:dyDescent="0.2">
      <c r="A2015" t="s">
        <v>4037</v>
      </c>
      <c r="B2015" s="3" t="str">
        <f>HYPERLINK("http://www.ncbi.nlm.nih.gov/gene/240055","Neurl1b")</f>
        <v>Neurl1b</v>
      </c>
      <c r="C2015">
        <v>240055</v>
      </c>
      <c r="D2015" t="s">
        <v>4038</v>
      </c>
      <c r="E2015" s="3" t="str">
        <f>HYPERLINK("http://genome.ucsc.edu/cgi-bin/hgTracks?db=mm10&amp;lastVirtModeType=default&amp;lastVirtModeExtraState=&amp;virtModeType=default&amp;virtMode=0&amp;nonVirtPosition=&amp;position=chr17:26414964-26446342","chr17:26414964-26446342")</f>
        <v>chr17:26414964-26446342</v>
      </c>
      <c r="F2015" t="s">
        <v>30</v>
      </c>
      <c r="G2015">
        <v>0.83804374784056102</v>
      </c>
      <c r="H2015">
        <v>0.25572287249541298</v>
      </c>
      <c r="I2015">
        <v>3.2771560074493999</v>
      </c>
      <c r="J2015">
        <v>1.0485841466379301E-3</v>
      </c>
      <c r="K2015">
        <v>6.9719912153071101E-3</v>
      </c>
      <c r="L2015" t="s">
        <v>26</v>
      </c>
      <c r="M2015" t="s">
        <v>27</v>
      </c>
      <c r="N2015">
        <v>141.071090540808</v>
      </c>
      <c r="O2015">
        <v>91.881603682333406</v>
      </c>
      <c r="P2015">
        <v>177.96320568466399</v>
      </c>
      <c r="Q2015">
        <v>43.986611134452303</v>
      </c>
      <c r="R2015">
        <v>112.638710094573</v>
      </c>
      <c r="S2015">
        <v>119.019489817975</v>
      </c>
      <c r="T2015">
        <v>178.735233907669</v>
      </c>
      <c r="U2015">
        <v>186.289336892042</v>
      </c>
      <c r="V2015">
        <v>175.085562484447</v>
      </c>
      <c r="W2015">
        <v>171.74268945449899</v>
      </c>
    </row>
    <row r="2016" spans="1:23" x14ac:dyDescent="0.2">
      <c r="A2016" t="s">
        <v>4039</v>
      </c>
      <c r="B2016" s="3" t="str">
        <f>HYPERLINK("http://www.ncbi.nlm.nih.gov/gene/23836","Cdh20")</f>
        <v>Cdh20</v>
      </c>
      <c r="C2016">
        <v>23836</v>
      </c>
      <c r="D2016" t="s">
        <v>4040</v>
      </c>
      <c r="E2016" s="3" t="str">
        <f>HYPERLINK("http://genome.ucsc.edu/cgi-bin/hgTracks?db=mm10&amp;lastVirtModeType=default&amp;lastVirtModeExtraState=&amp;virtModeType=default&amp;virtMode=0&amp;nonVirtPosition=&amp;position=chr1:104768818-104995481","chr1:104768818-104995481")</f>
        <v>chr1:104768818-104995481</v>
      </c>
      <c r="F2016" t="s">
        <v>30</v>
      </c>
      <c r="G2016">
        <v>-0.50193430530960903</v>
      </c>
      <c r="H2016">
        <v>0.15318408577959999</v>
      </c>
      <c r="I2016">
        <v>-3.2766739622795198</v>
      </c>
      <c r="J2016">
        <v>1.0503758390517099E-3</v>
      </c>
      <c r="K2016">
        <v>6.9782923641783998E-3</v>
      </c>
      <c r="L2016" t="s">
        <v>26</v>
      </c>
      <c r="M2016" t="s">
        <v>27</v>
      </c>
      <c r="N2016">
        <v>492.09491955830703</v>
      </c>
      <c r="O2016">
        <v>593.39176923332604</v>
      </c>
      <c r="P2016">
        <v>416.122282302043</v>
      </c>
      <c r="Q2016">
        <v>559.01971618974801</v>
      </c>
      <c r="R2016">
        <v>491.514371321775</v>
      </c>
      <c r="S2016">
        <v>729.64122018845501</v>
      </c>
      <c r="T2016">
        <v>449.129562126964</v>
      </c>
      <c r="U2016">
        <v>430.39260592299303</v>
      </c>
      <c r="V2016">
        <v>400.93122501690499</v>
      </c>
      <c r="W2016">
        <v>384.03573614130897</v>
      </c>
    </row>
    <row r="2017" spans="1:23" x14ac:dyDescent="0.2">
      <c r="A2017" t="s">
        <v>4041</v>
      </c>
      <c r="B2017" s="3" t="str">
        <f>HYPERLINK("http://www.ncbi.nlm.nih.gov/gene/26385","Grk6")</f>
        <v>Grk6</v>
      </c>
      <c r="C2017">
        <v>26385</v>
      </c>
      <c r="D2017" t="s">
        <v>4042</v>
      </c>
      <c r="E2017" s="3" t="str">
        <f>HYPERLINK("http://genome.ucsc.edu/cgi-bin/hgTracks?db=mm10&amp;lastVirtModeType=default&amp;lastVirtModeExtraState=&amp;virtModeType=default&amp;virtMode=0&amp;nonVirtPosition=&amp;position=chr13:55445330-55460927","chr13:55445330-55460927")</f>
        <v>chr13:55445330-55460927</v>
      </c>
      <c r="F2017" t="s">
        <v>30</v>
      </c>
      <c r="G2017">
        <v>0.53586365806333303</v>
      </c>
      <c r="H2017">
        <v>0.163548001346144</v>
      </c>
      <c r="I2017">
        <v>3.2764916333596501</v>
      </c>
      <c r="J2017">
        <v>1.05105426737406E-3</v>
      </c>
      <c r="K2017">
        <v>6.9782923641783998E-3</v>
      </c>
      <c r="L2017" t="s">
        <v>26</v>
      </c>
      <c r="M2017" t="s">
        <v>27</v>
      </c>
      <c r="N2017">
        <v>341.52515384222198</v>
      </c>
      <c r="O2017">
        <v>266.52619301605199</v>
      </c>
      <c r="P2017">
        <v>397.77437446184899</v>
      </c>
      <c r="Q2017">
        <v>211.581167482175</v>
      </c>
      <c r="R2017">
        <v>276.47683386849798</v>
      </c>
      <c r="S2017">
        <v>311.520577697482</v>
      </c>
      <c r="T2017">
        <v>430.797743264639</v>
      </c>
      <c r="U2017">
        <v>456.08768687361902</v>
      </c>
      <c r="V2017">
        <v>352.37808584054602</v>
      </c>
      <c r="W2017">
        <v>351.83398186859102</v>
      </c>
    </row>
    <row r="2018" spans="1:23" x14ac:dyDescent="0.2">
      <c r="A2018" t="s">
        <v>4043</v>
      </c>
      <c r="B2018" s="3" t="str">
        <f>HYPERLINK("http://www.ncbi.nlm.nih.gov/gene/76483","Lmf1")</f>
        <v>Lmf1</v>
      </c>
      <c r="C2018">
        <v>76483</v>
      </c>
      <c r="D2018" t="s">
        <v>4044</v>
      </c>
      <c r="E2018" s="3" t="str">
        <f>HYPERLINK("http://genome.ucsc.edu/cgi-bin/hgTracks?db=mm10&amp;lastVirtModeType=default&amp;lastVirtModeExtraState=&amp;virtModeType=default&amp;virtMode=0&amp;nonVirtPosition=&amp;position=chr17:25579173-25662826","chr17:25579173-25662826")</f>
        <v>chr17:25579173-25662826</v>
      </c>
      <c r="F2018" t="s">
        <v>30</v>
      </c>
      <c r="G2018">
        <v>0.64339169668129204</v>
      </c>
      <c r="H2018">
        <v>0.196366701849921</v>
      </c>
      <c r="I2018">
        <v>3.2764806386218299</v>
      </c>
      <c r="J2018">
        <v>1.05109519069135E-3</v>
      </c>
      <c r="K2018">
        <v>6.9782923641783998E-3</v>
      </c>
      <c r="L2018" t="s">
        <v>26</v>
      </c>
      <c r="M2018" t="s">
        <v>27</v>
      </c>
      <c r="N2018">
        <v>133.22944012801901</v>
      </c>
      <c r="O2018">
        <v>99.511810975005901</v>
      </c>
      <c r="P2018">
        <v>158.51766199277799</v>
      </c>
      <c r="Q2018">
        <v>131.40304085735099</v>
      </c>
      <c r="R2018">
        <v>78.126512725528997</v>
      </c>
      <c r="S2018">
        <v>89.005879342137803</v>
      </c>
      <c r="T2018">
        <v>146.65455089860001</v>
      </c>
      <c r="U2018">
        <v>162.735512687301</v>
      </c>
      <c r="V2018">
        <v>158.901182758994</v>
      </c>
      <c r="W2018">
        <v>165.77940162621701</v>
      </c>
    </row>
    <row r="2019" spans="1:23" x14ac:dyDescent="0.2">
      <c r="A2019" t="s">
        <v>4045</v>
      </c>
      <c r="B2019" s="3" t="str">
        <f>HYPERLINK("http://www.ncbi.nlm.nih.gov/gene/245450","Slitrk2")</f>
        <v>Slitrk2</v>
      </c>
      <c r="C2019">
        <v>245450</v>
      </c>
      <c r="D2019" t="s">
        <v>4046</v>
      </c>
      <c r="E2019" s="3" t="str">
        <f>HYPERLINK("http://genome.ucsc.edu/cgi-bin/hgTracks?db=mm10&amp;lastVirtModeType=default&amp;lastVirtModeExtraState=&amp;virtModeType=default&amp;virtMode=0&amp;nonVirtPosition=&amp;position=chrX:66653158-66661402","chrX:66653158-66661402")</f>
        <v>chrX:66653158-66661402</v>
      </c>
      <c r="F2019" t="s">
        <v>30</v>
      </c>
      <c r="G2019">
        <v>-0.473297363450705</v>
      </c>
      <c r="H2019">
        <v>0.14446168748744001</v>
      </c>
      <c r="I2019">
        <v>-3.2762829486666099</v>
      </c>
      <c r="J2019">
        <v>1.0518312605522901E-3</v>
      </c>
      <c r="K2019">
        <v>6.97971873640027E-3</v>
      </c>
      <c r="L2019" t="s">
        <v>26</v>
      </c>
      <c r="M2019" t="s">
        <v>27</v>
      </c>
      <c r="N2019">
        <v>802.20317923729795</v>
      </c>
      <c r="O2019">
        <v>961.76505490105797</v>
      </c>
      <c r="P2019">
        <v>682.53177248947804</v>
      </c>
      <c r="Q2019">
        <v>1176.5026497101001</v>
      </c>
      <c r="R2019">
        <v>833.22305076692805</v>
      </c>
      <c r="S2019">
        <v>875.56946422614601</v>
      </c>
      <c r="T2019">
        <v>646.19661489695795</v>
      </c>
      <c r="U2019">
        <v>708.75598288811204</v>
      </c>
      <c r="V2019">
        <v>727.56143402150406</v>
      </c>
      <c r="W2019">
        <v>647.61305815133801</v>
      </c>
    </row>
    <row r="2020" spans="1:23" x14ac:dyDescent="0.2">
      <c r="A2020" t="s">
        <v>4047</v>
      </c>
      <c r="B2020" s="3" t="str">
        <f>HYPERLINK("http://www.ncbi.nlm.nih.gov/gene/234076","Tmco3")</f>
        <v>Tmco3</v>
      </c>
      <c r="C2020">
        <v>234076</v>
      </c>
      <c r="D2020" t="s">
        <v>4048</v>
      </c>
      <c r="E2020" s="3" t="str">
        <f>HYPERLINK("http://genome.ucsc.edu/cgi-bin/hgTracks?db=mm10&amp;lastVirtModeType=default&amp;lastVirtModeExtraState=&amp;virtModeType=default&amp;virtMode=0&amp;nonVirtPosition=&amp;position=chr8:13288012-13322924","chr8:13288012-13322924")</f>
        <v>chr8:13288012-13322924</v>
      </c>
      <c r="F2020" t="s">
        <v>30</v>
      </c>
      <c r="G2020">
        <v>-0.77926001015310697</v>
      </c>
      <c r="H2020">
        <v>0.23786710391399901</v>
      </c>
      <c r="I2020">
        <v>-3.2760310161881399</v>
      </c>
      <c r="J2020">
        <v>1.0527699857426701E-3</v>
      </c>
      <c r="K2020">
        <v>6.9824878053888796E-3</v>
      </c>
      <c r="L2020" t="s">
        <v>26</v>
      </c>
      <c r="M2020" t="s">
        <v>27</v>
      </c>
      <c r="N2020">
        <v>499.22617108612002</v>
      </c>
      <c r="O2020">
        <v>674.12546888480199</v>
      </c>
      <c r="P2020">
        <v>368.05169773710901</v>
      </c>
      <c r="Q2020">
        <v>1038.41809830068</v>
      </c>
      <c r="R2020">
        <v>411.11232909938599</v>
      </c>
      <c r="S2020">
        <v>572.84597925434002</v>
      </c>
      <c r="T2020">
        <v>320.80683009068798</v>
      </c>
      <c r="U2020">
        <v>344.742336087571</v>
      </c>
      <c r="V2020">
        <v>417.85125836624297</v>
      </c>
      <c r="W2020">
        <v>388.80636640393402</v>
      </c>
    </row>
    <row r="2021" spans="1:23" x14ac:dyDescent="0.2">
      <c r="A2021" t="s">
        <v>4049</v>
      </c>
      <c r="B2021" s="3" t="str">
        <f>HYPERLINK("http://www.ncbi.nlm.nih.gov/gene/12286","Cacna1a")</f>
        <v>Cacna1a</v>
      </c>
      <c r="C2021">
        <v>12286</v>
      </c>
      <c r="D2021" t="s">
        <v>4050</v>
      </c>
      <c r="E2021" s="3" t="str">
        <f>HYPERLINK("http://genome.ucsc.edu/cgi-bin/hgTracks?db=mm10&amp;lastVirtModeType=default&amp;lastVirtModeExtraState=&amp;virtModeType=default&amp;virtMode=0&amp;nonVirtPosition=&amp;position=chr8:84415363-84640249","chr8:84415363-84640249")</f>
        <v>chr8:84415363-84640249</v>
      </c>
      <c r="F2021" t="s">
        <v>30</v>
      </c>
      <c r="G2021">
        <v>0.61969690486129902</v>
      </c>
      <c r="H2021">
        <v>0.18919617260441299</v>
      </c>
      <c r="I2021">
        <v>3.27541987943389</v>
      </c>
      <c r="J2021">
        <v>1.05505036312664E-3</v>
      </c>
      <c r="K2021">
        <v>6.9889126337621702E-3</v>
      </c>
      <c r="L2021" t="s">
        <v>26</v>
      </c>
      <c r="M2021" t="s">
        <v>27</v>
      </c>
      <c r="N2021">
        <v>503.854015339493</v>
      </c>
      <c r="O2021">
        <v>378.35787934555498</v>
      </c>
      <c r="P2021">
        <v>597.97611733494603</v>
      </c>
      <c r="Q2021">
        <v>287.304953738954</v>
      </c>
      <c r="R2021">
        <v>509.33935238051203</v>
      </c>
      <c r="S2021">
        <v>338.429331917198</v>
      </c>
      <c r="T2021">
        <v>577.452294163239</v>
      </c>
      <c r="U2021">
        <v>595.26937535617901</v>
      </c>
      <c r="V2021">
        <v>517.90015121449801</v>
      </c>
      <c r="W2021">
        <v>701.28264860586899</v>
      </c>
    </row>
    <row r="2022" spans="1:23" x14ac:dyDescent="0.2">
      <c r="A2022" t="s">
        <v>4051</v>
      </c>
      <c r="B2022" s="3" t="str">
        <f>HYPERLINK("http://www.ncbi.nlm.nih.gov/gene/628686","D030068K23Rik")</f>
        <v>D030068K23Rik</v>
      </c>
      <c r="C2022">
        <v>628686</v>
      </c>
      <c r="D2022" t="s">
        <v>4052</v>
      </c>
      <c r="E2022" s="3" t="str">
        <f>HYPERLINK("http://genome.ucsc.edu/cgi-bin/hgTracks?db=mm10&amp;lastVirtModeType=default&amp;lastVirtModeExtraState=&amp;virtModeType=default&amp;virtMode=0&amp;nonVirtPosition=&amp;position=chr8:109075221-109253639","chr8:109075221-109253639")</f>
        <v>chr8:109075221-109253639</v>
      </c>
      <c r="F2022" t="s">
        <v>30</v>
      </c>
      <c r="G2022">
        <v>0.98976014753206898</v>
      </c>
      <c r="H2022">
        <v>0.30219432266698498</v>
      </c>
      <c r="I2022">
        <v>3.2752440178129101</v>
      </c>
      <c r="J2022">
        <v>1.05570741416105E-3</v>
      </c>
      <c r="K2022">
        <v>6.9889126337621702E-3</v>
      </c>
      <c r="L2022" t="s">
        <v>26</v>
      </c>
      <c r="M2022" t="s">
        <v>27</v>
      </c>
      <c r="N2022">
        <v>42.820562240641401</v>
      </c>
      <c r="O2022">
        <v>24.364097733849501</v>
      </c>
      <c r="P2022">
        <v>56.662910620735403</v>
      </c>
      <c r="Q2022">
        <v>36.191515490372097</v>
      </c>
      <c r="R2022">
        <v>20.859020387884001</v>
      </c>
      <c r="S2022">
        <v>16.041757323292298</v>
      </c>
      <c r="T2022">
        <v>77.910230164881497</v>
      </c>
      <c r="U2022">
        <v>29.9775944423975</v>
      </c>
      <c r="V2022">
        <v>60.3235971585069</v>
      </c>
      <c r="W2022">
        <v>58.440220717155803</v>
      </c>
    </row>
    <row r="2023" spans="1:23" x14ac:dyDescent="0.2">
      <c r="A2023" t="s">
        <v>4053</v>
      </c>
      <c r="B2023" s="3" t="str">
        <f>HYPERLINK("http://www.ncbi.nlm.nih.gov/gene/68255","Tmem86b")</f>
        <v>Tmem86b</v>
      </c>
      <c r="C2023">
        <v>68255</v>
      </c>
      <c r="D2023" t="s">
        <v>4054</v>
      </c>
      <c r="E2023" s="3" t="str">
        <f>HYPERLINK("http://genome.ucsc.edu/cgi-bin/hgTracks?db=mm10&amp;lastVirtModeType=default&amp;lastVirtModeExtraState=&amp;virtModeType=default&amp;virtMode=0&amp;nonVirtPosition=&amp;position=chr7:4628039-4630482","chr7:4628039-4630482")</f>
        <v>chr7:4628039-4630482</v>
      </c>
      <c r="F2023" t="s">
        <v>25</v>
      </c>
      <c r="G2023">
        <v>0.84315001207183704</v>
      </c>
      <c r="H2023">
        <v>0.25743370499755802</v>
      </c>
      <c r="I2023">
        <v>3.2752122030012898</v>
      </c>
      <c r="J2023">
        <v>1.05582632052131E-3</v>
      </c>
      <c r="K2023">
        <v>6.9889126337621702E-3</v>
      </c>
      <c r="L2023" t="s">
        <v>26</v>
      </c>
      <c r="M2023" t="s">
        <v>27</v>
      </c>
      <c r="N2023">
        <v>41.199884237967503</v>
      </c>
      <c r="O2023">
        <v>27.030928773824701</v>
      </c>
      <c r="P2023">
        <v>51.826600836074597</v>
      </c>
      <c r="Q2023">
        <v>31.737175122326299</v>
      </c>
      <c r="R2023">
        <v>19.342000723310601</v>
      </c>
      <c r="S2023">
        <v>30.013610475837201</v>
      </c>
      <c r="T2023">
        <v>45.829547155812598</v>
      </c>
      <c r="U2023">
        <v>62.096445630680499</v>
      </c>
      <c r="V2023">
        <v>49.288792800243399</v>
      </c>
      <c r="W2023">
        <v>50.091617757562098</v>
      </c>
    </row>
    <row r="2024" spans="1:23" x14ac:dyDescent="0.2">
      <c r="A2024" t="s">
        <v>4055</v>
      </c>
      <c r="B2024" s="3" t="str">
        <f>HYPERLINK("http://www.ncbi.nlm.nih.gov/gene/232288","Frmd4b")</f>
        <v>Frmd4b</v>
      </c>
      <c r="C2024">
        <v>232288</v>
      </c>
      <c r="D2024" t="s">
        <v>4056</v>
      </c>
      <c r="E2024" s="3" t="str">
        <f>HYPERLINK("http://genome.ucsc.edu/cgi-bin/hgTracks?db=mm10&amp;lastVirtModeType=default&amp;lastVirtModeExtraState=&amp;virtModeType=default&amp;virtMode=0&amp;nonVirtPosition=&amp;position=chr6:97286866-97617657","chr6:97286866-97617657")</f>
        <v>chr6:97286866-97617657</v>
      </c>
      <c r="F2024" t="s">
        <v>25</v>
      </c>
      <c r="G2024">
        <v>0.74251419746022396</v>
      </c>
      <c r="H2024">
        <v>0.22672470420954</v>
      </c>
      <c r="I2024">
        <v>3.2749593832262298</v>
      </c>
      <c r="J2024">
        <v>1.05677166308159E-3</v>
      </c>
      <c r="K2024">
        <v>6.99171410095139E-3</v>
      </c>
      <c r="L2024" t="s">
        <v>26</v>
      </c>
      <c r="M2024" t="s">
        <v>27</v>
      </c>
      <c r="N2024">
        <v>129.58266107542701</v>
      </c>
      <c r="O2024">
        <v>89.784125312765497</v>
      </c>
      <c r="P2024">
        <v>159.431562897422</v>
      </c>
      <c r="Q2024">
        <v>127.50549303531101</v>
      </c>
      <c r="R2024">
        <v>75.092473396382204</v>
      </c>
      <c r="S2024">
        <v>66.754409506603395</v>
      </c>
      <c r="T2024">
        <v>192.48409805441301</v>
      </c>
      <c r="U2024">
        <v>128.47540475313201</v>
      </c>
      <c r="V2024">
        <v>148.602032024614</v>
      </c>
      <c r="W2024">
        <v>168.16471675752999</v>
      </c>
    </row>
    <row r="2025" spans="1:23" x14ac:dyDescent="0.2">
      <c r="A2025" t="s">
        <v>4057</v>
      </c>
      <c r="B2025" s="3" t="str">
        <f>HYPERLINK("http://www.ncbi.nlm.nih.gov/gene/24010","Ik")</f>
        <v>Ik</v>
      </c>
      <c r="C2025">
        <v>24010</v>
      </c>
      <c r="D2025" t="s">
        <v>4058</v>
      </c>
      <c r="E2025" s="3" t="str">
        <f>HYPERLINK("http://genome.ucsc.edu/cgi-bin/hgTracks?db=mm10&amp;lastVirtModeType=default&amp;lastVirtModeExtraState=&amp;virtModeType=default&amp;virtMode=0&amp;nonVirtPosition=&amp;position=chr18:36744655-36757639","chr18:36744655-36757639")</f>
        <v>chr18:36744655-36757639</v>
      </c>
      <c r="F2025" t="s">
        <v>30</v>
      </c>
      <c r="G2025">
        <v>-0.48359219446333901</v>
      </c>
      <c r="H2025">
        <v>0.147702683564334</v>
      </c>
      <c r="I2025">
        <v>-3.27409213423467</v>
      </c>
      <c r="J2025">
        <v>1.06002043028643E-3</v>
      </c>
      <c r="K2025">
        <v>7.00974497874842E-3</v>
      </c>
      <c r="L2025" t="s">
        <v>26</v>
      </c>
      <c r="M2025" t="s">
        <v>27</v>
      </c>
      <c r="N2025">
        <v>352.17750870295902</v>
      </c>
      <c r="O2025">
        <v>424.69099155559701</v>
      </c>
      <c r="P2025">
        <v>297.79239656347897</v>
      </c>
      <c r="Q2025">
        <v>426.50309024038501</v>
      </c>
      <c r="R2025">
        <v>495.68617539935099</v>
      </c>
      <c r="S2025">
        <v>351.883709027056</v>
      </c>
      <c r="T2025">
        <v>279.560237650457</v>
      </c>
      <c r="U2025">
        <v>282.64589045689098</v>
      </c>
      <c r="V2025">
        <v>304.56060028807099</v>
      </c>
      <c r="W2025">
        <v>324.40285785849699</v>
      </c>
    </row>
    <row r="2026" spans="1:23" x14ac:dyDescent="0.2">
      <c r="A2026" t="s">
        <v>4059</v>
      </c>
      <c r="B2026" s="3" t="str">
        <f>HYPERLINK("http://www.ncbi.nlm.nih.gov/gene/98932","Myl9")</f>
        <v>Myl9</v>
      </c>
      <c r="C2026">
        <v>98932</v>
      </c>
      <c r="D2026" t="s">
        <v>4060</v>
      </c>
      <c r="E2026" s="3" t="str">
        <f>HYPERLINK("http://genome.ucsc.edu/cgi-bin/hgTracks?db=mm10&amp;lastVirtModeType=default&amp;lastVirtModeExtraState=&amp;virtModeType=default&amp;virtMode=0&amp;nonVirtPosition=&amp;position=chr2:156775463-156781657","chr2:156775463-156781657")</f>
        <v>chr2:156775463-156781657</v>
      </c>
      <c r="F2026" t="s">
        <v>30</v>
      </c>
      <c r="G2026">
        <v>-0.97118442330895105</v>
      </c>
      <c r="H2026">
        <v>0.29665726012801003</v>
      </c>
      <c r="I2026">
        <v>-3.27375916196987</v>
      </c>
      <c r="J2026">
        <v>1.06127021750942E-3</v>
      </c>
      <c r="K2026">
        <v>7.0145456479114802E-3</v>
      </c>
      <c r="L2026" t="s">
        <v>26</v>
      </c>
      <c r="M2026" t="s">
        <v>27</v>
      </c>
      <c r="N2026">
        <v>51.447823069499698</v>
      </c>
      <c r="O2026">
        <v>77.376262055212194</v>
      </c>
      <c r="P2026">
        <v>32.001493830215203</v>
      </c>
      <c r="Q2026">
        <v>114.699264477179</v>
      </c>
      <c r="R2026">
        <v>62.577061163651898</v>
      </c>
      <c r="S2026">
        <v>54.852460524805799</v>
      </c>
      <c r="T2026">
        <v>13.7488641467438</v>
      </c>
      <c r="U2026">
        <v>34.260107934168602</v>
      </c>
      <c r="V2026">
        <v>38.253988441979999</v>
      </c>
      <c r="W2026">
        <v>41.743014797968399</v>
      </c>
    </row>
    <row r="2027" spans="1:23" x14ac:dyDescent="0.2">
      <c r="A2027" t="s">
        <v>4061</v>
      </c>
      <c r="B2027" s="3" t="str">
        <f>HYPERLINK("http://www.ncbi.nlm.nih.gov/gene/73834","Atp6v1d")</f>
        <v>Atp6v1d</v>
      </c>
      <c r="C2027">
        <v>73834</v>
      </c>
      <c r="D2027" t="s">
        <v>4062</v>
      </c>
      <c r="E2027" s="3" t="str">
        <f>HYPERLINK("http://genome.ucsc.edu/cgi-bin/hgTracks?db=mm10&amp;lastVirtModeType=default&amp;lastVirtModeExtraState=&amp;virtModeType=default&amp;virtMode=0&amp;nonVirtPosition=&amp;position=chr12:78842981-78861638","chr12:78842981-78861638")</f>
        <v>chr12:78842981-78861638</v>
      </c>
      <c r="F2027" t="s">
        <v>25</v>
      </c>
      <c r="G2027">
        <v>-0.46780087607387</v>
      </c>
      <c r="H2027">
        <v>0.14290026371810799</v>
      </c>
      <c r="I2027">
        <v>-3.2736180039294802</v>
      </c>
      <c r="J2027">
        <v>1.06180045530766E-3</v>
      </c>
      <c r="K2027">
        <v>7.0145880103724299E-3</v>
      </c>
      <c r="L2027" t="s">
        <v>26</v>
      </c>
      <c r="M2027" t="s">
        <v>27</v>
      </c>
      <c r="N2027">
        <v>267.73738529167798</v>
      </c>
      <c r="O2027">
        <v>321.09242605451198</v>
      </c>
      <c r="P2027">
        <v>227.72110471955301</v>
      </c>
      <c r="Q2027">
        <v>302.33835248110898</v>
      </c>
      <c r="R2027">
        <v>371.66981782047799</v>
      </c>
      <c r="S2027">
        <v>289.26910786194799</v>
      </c>
      <c r="T2027">
        <v>206.23296220115699</v>
      </c>
      <c r="U2027">
        <v>233.39698530152299</v>
      </c>
      <c r="V2027">
        <v>224.37435528469001</v>
      </c>
      <c r="W2027">
        <v>246.88011609084199</v>
      </c>
    </row>
    <row r="2028" spans="1:23" x14ac:dyDescent="0.2">
      <c r="A2028" t="s">
        <v>4063</v>
      </c>
      <c r="B2028" s="3" t="str">
        <f>HYPERLINK("http://www.ncbi.nlm.nih.gov/gene/219022","Ttc5")</f>
        <v>Ttc5</v>
      </c>
      <c r="C2028">
        <v>219022</v>
      </c>
      <c r="D2028" t="s">
        <v>4064</v>
      </c>
      <c r="E2028" s="3" t="str">
        <f>HYPERLINK("http://genome.ucsc.edu/cgi-bin/hgTracks?db=mm10&amp;lastVirtModeType=default&amp;lastVirtModeExtraState=&amp;virtModeType=default&amp;virtMode=0&amp;nonVirtPosition=&amp;position=chr14:50765408-50785520","chr14:50765408-50785520")</f>
        <v>chr14:50765408-50785520</v>
      </c>
      <c r="F2028" t="s">
        <v>25</v>
      </c>
      <c r="G2028">
        <v>0.47386094259913197</v>
      </c>
      <c r="H2028">
        <v>0.144783841408655</v>
      </c>
      <c r="I2028">
        <v>3.2728855512380801</v>
      </c>
      <c r="J2028">
        <v>1.0645557351633701E-3</v>
      </c>
      <c r="K2028">
        <v>7.02932241103193E-3</v>
      </c>
      <c r="L2028" t="s">
        <v>26</v>
      </c>
      <c r="M2028" t="s">
        <v>27</v>
      </c>
      <c r="N2028">
        <v>153.72300578559501</v>
      </c>
      <c r="O2028">
        <v>123.057603811167</v>
      </c>
      <c r="P2028">
        <v>176.72205726641499</v>
      </c>
      <c r="Q2028">
        <v>120.82398248324201</v>
      </c>
      <c r="R2028">
        <v>123.63710266273</v>
      </c>
      <c r="S2028">
        <v>124.71172628753</v>
      </c>
      <c r="T2028">
        <v>192.48409805441301</v>
      </c>
      <c r="U2028">
        <v>188.43059363792699</v>
      </c>
      <c r="V2028">
        <v>162.579450878415</v>
      </c>
      <c r="W2028">
        <v>163.394086494905</v>
      </c>
    </row>
    <row r="2029" spans="1:23" x14ac:dyDescent="0.2">
      <c r="A2029" t="s">
        <v>4065</v>
      </c>
      <c r="B2029" s="3" t="str">
        <f>HYPERLINK("http://www.ncbi.nlm.nih.gov/gene/226849","Ppp2r5a")</f>
        <v>Ppp2r5a</v>
      </c>
      <c r="C2029">
        <v>226849</v>
      </c>
      <c r="D2029" t="s">
        <v>4066</v>
      </c>
      <c r="E2029" s="3" t="str">
        <f>HYPERLINK("http://genome.ucsc.edu/cgi-bin/hgTracks?db=mm10&amp;lastVirtModeType=default&amp;lastVirtModeExtraState=&amp;virtModeType=default&amp;virtMode=0&amp;nonVirtPosition=&amp;position=chr1:191351980-191397041","chr1:191351980-191397041")</f>
        <v>chr1:191351980-191397041</v>
      </c>
      <c r="F2029" t="s">
        <v>25</v>
      </c>
      <c r="G2029">
        <v>-0.44295721044823999</v>
      </c>
      <c r="H2029">
        <v>0.13535289508947401</v>
      </c>
      <c r="I2029">
        <v>-3.2726097964541401</v>
      </c>
      <c r="J2029">
        <v>1.06559475937703E-3</v>
      </c>
      <c r="K2029">
        <v>7.0327153389934801E-3</v>
      </c>
      <c r="L2029" t="s">
        <v>26</v>
      </c>
      <c r="M2029" t="s">
        <v>27</v>
      </c>
      <c r="N2029">
        <v>243.66483786318099</v>
      </c>
      <c r="O2029">
        <v>292.29152049414103</v>
      </c>
      <c r="P2029">
        <v>207.194825889962</v>
      </c>
      <c r="Q2029">
        <v>302.33835248110898</v>
      </c>
      <c r="R2029">
        <v>287.85448135279898</v>
      </c>
      <c r="S2029">
        <v>286.68172764851403</v>
      </c>
      <c r="T2029">
        <v>183.31818862325099</v>
      </c>
      <c r="U2029">
        <v>186.289336892042</v>
      </c>
      <c r="V2029">
        <v>236.14481326683801</v>
      </c>
      <c r="W2029">
        <v>223.02696477771701</v>
      </c>
    </row>
    <row r="2030" spans="1:23" x14ac:dyDescent="0.2">
      <c r="A2030" t="s">
        <v>4067</v>
      </c>
      <c r="B2030" s="3" t="str">
        <f>HYPERLINK("http://www.ncbi.nlm.nih.gov/gene/328643","Vwa5b2")</f>
        <v>Vwa5b2</v>
      </c>
      <c r="C2030">
        <v>328643</v>
      </c>
      <c r="D2030" t="s">
        <v>4068</v>
      </c>
      <c r="E2030" s="3" t="str">
        <f>HYPERLINK("http://genome.ucsc.edu/cgi-bin/hgTracks?db=mm10&amp;lastVirtModeType=default&amp;lastVirtModeExtraState=&amp;virtModeType=default&amp;virtMode=0&amp;nonVirtPosition=&amp;position=chr16:20589581-20605377","chr16:20589581-20605377")</f>
        <v>chr16:20589581-20605377</v>
      </c>
      <c r="F2030" t="s">
        <v>30</v>
      </c>
      <c r="G2030">
        <v>0.89730172456931401</v>
      </c>
      <c r="H2030">
        <v>0.27436288432322897</v>
      </c>
      <c r="I2030">
        <v>3.2704923874185399</v>
      </c>
      <c r="J2030">
        <v>1.07360431797832E-3</v>
      </c>
      <c r="K2030">
        <v>7.0820864148018097E-3</v>
      </c>
      <c r="L2030" t="s">
        <v>26</v>
      </c>
      <c r="M2030" t="s">
        <v>27</v>
      </c>
      <c r="N2030">
        <v>55.913938850710203</v>
      </c>
      <c r="O2030">
        <v>34.652982045932099</v>
      </c>
      <c r="P2030">
        <v>71.859656454293699</v>
      </c>
      <c r="Q2030">
        <v>27.8396273002862</v>
      </c>
      <c r="R2030">
        <v>31.098903123754301</v>
      </c>
      <c r="S2030">
        <v>45.020415713755703</v>
      </c>
      <c r="T2030">
        <v>64.161366018137699</v>
      </c>
      <c r="U2030">
        <v>92.074040073077995</v>
      </c>
      <c r="V2030">
        <v>44.139217433053801</v>
      </c>
      <c r="W2030">
        <v>87.064002292905499</v>
      </c>
    </row>
    <row r="2031" spans="1:23" x14ac:dyDescent="0.2">
      <c r="A2031" t="s">
        <v>4069</v>
      </c>
      <c r="B2031" s="3" t="str">
        <f>HYPERLINK("http://www.ncbi.nlm.nih.gov/gene/66594","Uqcr11")</f>
        <v>Uqcr11</v>
      </c>
      <c r="C2031">
        <v>66594</v>
      </c>
      <c r="D2031" t="s">
        <v>4070</v>
      </c>
      <c r="E2031" s="3" t="str">
        <f>HYPERLINK("http://genome.ucsc.edu/cgi-bin/hgTracks?db=mm10&amp;lastVirtModeType=default&amp;lastVirtModeExtraState=&amp;virtModeType=default&amp;virtMode=0&amp;nonVirtPosition=&amp;position=chr10:80402996-80406821","chr10:80402996-80406821")</f>
        <v>chr10:80402996-80406821</v>
      </c>
      <c r="F2031" t="s">
        <v>25</v>
      </c>
      <c r="G2031">
        <v>-0.52716640418337801</v>
      </c>
      <c r="H2031">
        <v>0.16127443332129399</v>
      </c>
      <c r="I2031">
        <v>-3.2687537220059402</v>
      </c>
      <c r="J2031">
        <v>1.0802227964249399E-3</v>
      </c>
      <c r="K2031">
        <v>7.1202931326432703E-3</v>
      </c>
      <c r="L2031" t="s">
        <v>26</v>
      </c>
      <c r="M2031" t="s">
        <v>27</v>
      </c>
      <c r="N2031">
        <v>175.085193973195</v>
      </c>
      <c r="O2031">
        <v>214.18441418897601</v>
      </c>
      <c r="P2031">
        <v>145.76077881135899</v>
      </c>
      <c r="Q2031">
        <v>213.80833766619801</v>
      </c>
      <c r="R2031">
        <v>232.104008679727</v>
      </c>
      <c r="S2031">
        <v>196.64089622100201</v>
      </c>
      <c r="T2031">
        <v>132.90568675185699</v>
      </c>
      <c r="U2031">
        <v>173.44179641672801</v>
      </c>
      <c r="V2031">
        <v>157.42987551122499</v>
      </c>
      <c r="W2031">
        <v>119.265756565624</v>
      </c>
    </row>
    <row r="2032" spans="1:23" x14ac:dyDescent="0.2">
      <c r="A2032" t="s">
        <v>4071</v>
      </c>
      <c r="B2032" s="3" t="str">
        <f>HYPERLINK("http://www.ncbi.nlm.nih.gov/gene/11744","Anxa11")</f>
        <v>Anxa11</v>
      </c>
      <c r="C2032">
        <v>11744</v>
      </c>
      <c r="D2032" t="s">
        <v>4072</v>
      </c>
      <c r="E2032" s="3" t="str">
        <f>HYPERLINK("http://genome.ucsc.edu/cgi-bin/hgTracks?db=mm10&amp;lastVirtModeType=default&amp;lastVirtModeExtraState=&amp;virtModeType=default&amp;virtMode=0&amp;nonVirtPosition=&amp;position=chr14:25842154-25886804","chr14:25842154-25886804")</f>
        <v>chr14:25842154-25886804</v>
      </c>
      <c r="F2032" t="s">
        <v>30</v>
      </c>
      <c r="G2032">
        <v>1.1044583941767301</v>
      </c>
      <c r="H2032">
        <v>0.33789005026402402</v>
      </c>
      <c r="I2032">
        <v>3.2686916744476999</v>
      </c>
      <c r="J2032">
        <v>1.0804596852760199E-3</v>
      </c>
      <c r="K2032">
        <v>7.1202931326432703E-3</v>
      </c>
      <c r="L2032" t="s">
        <v>26</v>
      </c>
      <c r="M2032" t="s">
        <v>27</v>
      </c>
      <c r="N2032">
        <v>23.0244138824408</v>
      </c>
      <c r="O2032">
        <v>11.6785786973185</v>
      </c>
      <c r="P2032">
        <v>31.533790271282399</v>
      </c>
      <c r="Q2032">
        <v>11.1358509201145</v>
      </c>
      <c r="R2032">
        <v>12.5154122327304</v>
      </c>
      <c r="S2032">
        <v>11.3844729391106</v>
      </c>
      <c r="T2032">
        <v>22.914773577906299</v>
      </c>
      <c r="U2032">
        <v>51.390161901252803</v>
      </c>
      <c r="V2032">
        <v>37.518334818095703</v>
      </c>
      <c r="W2032">
        <v>14.3118907878749</v>
      </c>
    </row>
    <row r="2033" spans="1:23" x14ac:dyDescent="0.2">
      <c r="A2033" t="s">
        <v>4073</v>
      </c>
      <c r="B2033" s="3" t="str">
        <f>HYPERLINK("http://www.ncbi.nlm.nih.gov/gene/17965","Nbl1")</f>
        <v>Nbl1</v>
      </c>
      <c r="C2033">
        <v>17965</v>
      </c>
      <c r="D2033" t="s">
        <v>4074</v>
      </c>
      <c r="E2033" s="3" t="str">
        <f>HYPERLINK("http://genome.ucsc.edu/cgi-bin/hgTracks?db=mm10&amp;lastVirtModeType=default&amp;lastVirtModeExtraState=&amp;virtModeType=default&amp;virtMode=0&amp;nonVirtPosition=&amp;position=chr4:139082291-139092970","chr4:139082291-139092970")</f>
        <v>chr4:139082291-139092970</v>
      </c>
      <c r="F2033" t="s">
        <v>25</v>
      </c>
      <c r="G2033">
        <v>-0.84521559061463603</v>
      </c>
      <c r="H2033">
        <v>0.258691572476833</v>
      </c>
      <c r="I2033">
        <v>-3.2672714558195701</v>
      </c>
      <c r="J2033">
        <v>1.08589503468971E-3</v>
      </c>
      <c r="K2033">
        <v>7.1525924296753102E-3</v>
      </c>
      <c r="L2033" t="s">
        <v>26</v>
      </c>
      <c r="M2033" t="s">
        <v>27</v>
      </c>
      <c r="N2033">
        <v>74.370012719194506</v>
      </c>
      <c r="O2033">
        <v>104.87673737361</v>
      </c>
      <c r="P2033">
        <v>51.489969228382698</v>
      </c>
      <c r="Q2033">
        <v>135.85738122539701</v>
      </c>
      <c r="R2033">
        <v>111.500945346143</v>
      </c>
      <c r="S2033">
        <v>67.271885549290204</v>
      </c>
      <c r="T2033">
        <v>32.0806830090688</v>
      </c>
      <c r="U2033">
        <v>55.672675393023901</v>
      </c>
      <c r="V2033">
        <v>57.380982662969998</v>
      </c>
      <c r="W2033">
        <v>60.825535848468199</v>
      </c>
    </row>
    <row r="2034" spans="1:23" x14ac:dyDescent="0.2">
      <c r="A2034" t="s">
        <v>4075</v>
      </c>
      <c r="B2034" s="3" t="str">
        <f>HYPERLINK("http://www.ncbi.nlm.nih.gov/gene/382010","Cep44")</f>
        <v>Cep44</v>
      </c>
      <c r="C2034">
        <v>382010</v>
      </c>
      <c r="D2034" t="s">
        <v>4076</v>
      </c>
      <c r="E2034" s="3" t="str">
        <f>HYPERLINK("http://genome.ucsc.edu/cgi-bin/hgTracks?db=mm10&amp;lastVirtModeType=default&amp;lastVirtModeExtraState=&amp;virtModeType=default&amp;virtMode=0&amp;nonVirtPosition=&amp;position=chr8:56531521-56550566","chr8:56531521-56550566")</f>
        <v>chr8:56531521-56550566</v>
      </c>
      <c r="F2034" t="s">
        <v>25</v>
      </c>
      <c r="G2034">
        <v>0.59417635990149598</v>
      </c>
      <c r="H2034">
        <v>0.18189440566870599</v>
      </c>
      <c r="I2034">
        <v>3.2666005186751099</v>
      </c>
      <c r="J2034">
        <v>1.0884715785569601E-3</v>
      </c>
      <c r="K2034">
        <v>7.1660387947179499E-3</v>
      </c>
      <c r="L2034" t="s">
        <v>26</v>
      </c>
      <c r="M2034" t="s">
        <v>27</v>
      </c>
      <c r="N2034">
        <v>104.050783748887</v>
      </c>
      <c r="O2034">
        <v>77.360089990527598</v>
      </c>
      <c r="P2034">
        <v>124.068804067656</v>
      </c>
      <c r="Q2034">
        <v>74.053408618761395</v>
      </c>
      <c r="R2034">
        <v>74.713218480238893</v>
      </c>
      <c r="S2034">
        <v>83.313642872582506</v>
      </c>
      <c r="T2034">
        <v>160.40341504534399</v>
      </c>
      <c r="U2034">
        <v>102.780323802506</v>
      </c>
      <c r="V2034">
        <v>106.669775463213</v>
      </c>
      <c r="W2034">
        <v>126.42170195956101</v>
      </c>
    </row>
    <row r="2035" spans="1:23" x14ac:dyDescent="0.2">
      <c r="A2035" t="s">
        <v>4077</v>
      </c>
      <c r="B2035" s="3" t="str">
        <f>HYPERLINK("http://www.ncbi.nlm.nih.gov/gene/108062","Cstf2")</f>
        <v>Cstf2</v>
      </c>
      <c r="C2035">
        <v>108062</v>
      </c>
      <c r="D2035" t="s">
        <v>4078</v>
      </c>
      <c r="E2035" s="3" t="str">
        <f>HYPERLINK("http://genome.ucsc.edu/cgi-bin/hgTracks?db=mm10&amp;lastVirtModeType=default&amp;lastVirtModeExtraState=&amp;virtModeType=default&amp;virtMode=0&amp;nonVirtPosition=&amp;position=chrX:134059175-134086822","chrX:134059175-134086822")</f>
        <v>chrX:134059175-134086822</v>
      </c>
      <c r="F2035" t="s">
        <v>30</v>
      </c>
      <c r="G2035">
        <v>-0.34488611703315503</v>
      </c>
      <c r="H2035">
        <v>0.10561780616741</v>
      </c>
      <c r="I2035">
        <v>-3.2654164060792001</v>
      </c>
      <c r="J2035">
        <v>1.09303262683558E-3</v>
      </c>
      <c r="K2035">
        <v>7.1925306663170501E-3</v>
      </c>
      <c r="L2035" t="s">
        <v>26</v>
      </c>
      <c r="M2035" t="s">
        <v>27</v>
      </c>
      <c r="N2035">
        <v>1008.4215457435899</v>
      </c>
      <c r="O2035">
        <v>1151.7488733131299</v>
      </c>
      <c r="P2035">
        <v>900.92605006643601</v>
      </c>
      <c r="Q2035">
        <v>1114.1418845574599</v>
      </c>
      <c r="R2035">
        <v>1250.7827134407501</v>
      </c>
      <c r="S2035">
        <v>1090.3220219411901</v>
      </c>
      <c r="T2035">
        <v>852.42957709811503</v>
      </c>
      <c r="U2035">
        <v>961.42427890260501</v>
      </c>
      <c r="V2035">
        <v>923.98095159859304</v>
      </c>
      <c r="W2035">
        <v>865.86939266643003</v>
      </c>
    </row>
    <row r="2036" spans="1:23" x14ac:dyDescent="0.2">
      <c r="A2036" t="s">
        <v>4079</v>
      </c>
      <c r="B2036" s="3" t="str">
        <f>HYPERLINK("http://www.ncbi.nlm.nih.gov/gene/13650","Rhbdf1")</f>
        <v>Rhbdf1</v>
      </c>
      <c r="C2036">
        <v>13650</v>
      </c>
      <c r="D2036" t="s">
        <v>4080</v>
      </c>
      <c r="E2036" s="3" t="str">
        <f>HYPERLINK("http://genome.ucsc.edu/cgi-bin/hgTracks?db=mm10&amp;lastVirtModeType=default&amp;lastVirtModeExtraState=&amp;virtModeType=default&amp;virtMode=0&amp;nonVirtPosition=&amp;position=chr11:32209584-32222293","chr11:32209584-32222293")</f>
        <v>chr11:32209584-32222293</v>
      </c>
      <c r="F2036" t="s">
        <v>25</v>
      </c>
      <c r="G2036">
        <v>0.63046026179587999</v>
      </c>
      <c r="H2036">
        <v>0.19310337747635301</v>
      </c>
      <c r="I2036">
        <v>3.2648846956241502</v>
      </c>
      <c r="J2036">
        <v>1.09508645158252E-3</v>
      </c>
      <c r="K2036">
        <v>7.2025062245292103E-3</v>
      </c>
      <c r="L2036" t="s">
        <v>26</v>
      </c>
      <c r="M2036" t="s">
        <v>27</v>
      </c>
      <c r="N2036">
        <v>373.43205896235099</v>
      </c>
      <c r="O2036">
        <v>279.683340039038</v>
      </c>
      <c r="P2036">
        <v>443.74359815483501</v>
      </c>
      <c r="Q2036">
        <v>228.28494386234701</v>
      </c>
      <c r="R2036">
        <v>221.10561611156999</v>
      </c>
      <c r="S2036">
        <v>389.65946014319599</v>
      </c>
      <c r="T2036">
        <v>394.13410553998898</v>
      </c>
      <c r="U2036">
        <v>496.77156504544399</v>
      </c>
      <c r="V2036">
        <v>448.74871056938002</v>
      </c>
      <c r="W2036">
        <v>435.32001146452802</v>
      </c>
    </row>
    <row r="2037" spans="1:23" x14ac:dyDescent="0.2">
      <c r="A2037" t="s">
        <v>4081</v>
      </c>
      <c r="B2037" s="3" t="str">
        <f>HYPERLINK("http://www.ncbi.nlm.nih.gov/gene/214239","A430105I19Rik")</f>
        <v>A430105I19Rik</v>
      </c>
      <c r="C2037">
        <v>214239</v>
      </c>
      <c r="D2037" t="s">
        <v>4082</v>
      </c>
      <c r="E2037" s="3" t="str">
        <f>HYPERLINK("http://genome.ucsc.edu/cgi-bin/hgTracks?db=mm10&amp;lastVirtModeType=default&amp;lastVirtModeExtraState=&amp;virtModeType=default&amp;virtMode=0&amp;nonVirtPosition=&amp;position=chr2:118754144-118762661","chr2:118754144-118762661")</f>
        <v>chr2:118754144-118762661</v>
      </c>
      <c r="F2037" t="s">
        <v>25</v>
      </c>
      <c r="G2037">
        <v>-0.87236365107113001</v>
      </c>
      <c r="H2037">
        <v>0.26737891323469798</v>
      </c>
      <c r="I2037">
        <v>-3.26264940087251</v>
      </c>
      <c r="J2037">
        <v>1.1037597691137501E-3</v>
      </c>
      <c r="K2037">
        <v>7.25598776053131E-3</v>
      </c>
      <c r="L2037" t="s">
        <v>26</v>
      </c>
      <c r="M2037" t="s">
        <v>27</v>
      </c>
      <c r="N2037">
        <v>74.344024991939506</v>
      </c>
      <c r="O2037">
        <v>104.098978460674</v>
      </c>
      <c r="P2037">
        <v>52.027809890388298</v>
      </c>
      <c r="Q2037">
        <v>61.803972606635497</v>
      </c>
      <c r="R2037">
        <v>114.914239591433</v>
      </c>
      <c r="S2037">
        <v>135.578723183954</v>
      </c>
      <c r="T2037">
        <v>45.829547155812598</v>
      </c>
      <c r="U2037">
        <v>66.378959122451604</v>
      </c>
      <c r="V2037">
        <v>52.967060919664597</v>
      </c>
      <c r="W2037">
        <v>42.935672363624597</v>
      </c>
    </row>
    <row r="2038" spans="1:23" x14ac:dyDescent="0.2">
      <c r="A2038" t="s">
        <v>4083</v>
      </c>
      <c r="B2038" s="3" t="str">
        <f>HYPERLINK("http://www.ncbi.nlm.nih.gov/gene/21770","Ppp2r5d")</f>
        <v>Ppp2r5d</v>
      </c>
      <c r="C2038">
        <v>21770</v>
      </c>
      <c r="D2038" t="s">
        <v>4084</v>
      </c>
      <c r="E2038" s="3" t="str">
        <f>HYPERLINK("http://genome.ucsc.edu/cgi-bin/hgTracks?db=mm10&amp;lastVirtModeType=default&amp;lastVirtModeExtraState=&amp;virtModeType=default&amp;virtMode=0&amp;nonVirtPosition=&amp;position=chr17:46682990-46705002","chr17:46682990-46705002")</f>
        <v>chr17:46682990-46705002</v>
      </c>
      <c r="F2038" t="s">
        <v>25</v>
      </c>
      <c r="G2038">
        <v>-0.44548282702373998</v>
      </c>
      <c r="H2038">
        <v>0.13656532193309301</v>
      </c>
      <c r="I2038">
        <v>-3.2620494040353298</v>
      </c>
      <c r="J2038">
        <v>1.10609864719982E-3</v>
      </c>
      <c r="K2038">
        <v>7.2677953801043998E-3</v>
      </c>
      <c r="L2038" t="s">
        <v>26</v>
      </c>
      <c r="M2038" t="s">
        <v>27</v>
      </c>
      <c r="N2038">
        <v>427.78924656232698</v>
      </c>
      <c r="O2038">
        <v>505.63101757407202</v>
      </c>
      <c r="P2038">
        <v>369.40791830351901</v>
      </c>
      <c r="Q2038">
        <v>482.73913738696399</v>
      </c>
      <c r="R2038">
        <v>582.914806112321</v>
      </c>
      <c r="S2038">
        <v>451.23910922293101</v>
      </c>
      <c r="T2038">
        <v>403.30001497115097</v>
      </c>
      <c r="U2038">
        <v>319.04725513694501</v>
      </c>
      <c r="V2038">
        <v>379.597269924263</v>
      </c>
      <c r="W2038">
        <v>375.68713318171598</v>
      </c>
    </row>
    <row r="2039" spans="1:23" x14ac:dyDescent="0.2">
      <c r="A2039" t="s">
        <v>4085</v>
      </c>
      <c r="B2039" s="3" t="str">
        <f>HYPERLINK("http://www.ncbi.nlm.nih.gov/gene/103583","Fbxw11")</f>
        <v>Fbxw11</v>
      </c>
      <c r="C2039">
        <v>103583</v>
      </c>
      <c r="D2039" t="s">
        <v>4086</v>
      </c>
      <c r="E2039" s="3" t="str">
        <f>HYPERLINK("http://genome.ucsc.edu/cgi-bin/hgTracks?db=mm10&amp;lastVirtModeType=default&amp;lastVirtModeExtraState=&amp;virtModeType=default&amp;virtMode=0&amp;nonVirtPosition=&amp;position=chr11:32642554-32746814","chr11:32642554-32746814")</f>
        <v>chr11:32642554-32746814</v>
      </c>
      <c r="F2039" t="s">
        <v>30</v>
      </c>
      <c r="G2039">
        <v>-0.37344047965902</v>
      </c>
      <c r="H2039">
        <v>0.114499661603453</v>
      </c>
      <c r="I2039">
        <v>-3.2614985444442399</v>
      </c>
      <c r="J2039">
        <v>1.10825001535453E-3</v>
      </c>
      <c r="K2039">
        <v>7.2783599586132902E-3</v>
      </c>
      <c r="L2039" t="s">
        <v>26</v>
      </c>
      <c r="M2039" t="s">
        <v>27</v>
      </c>
      <c r="N2039">
        <v>620.43692763264903</v>
      </c>
      <c r="O2039">
        <v>718.74076750017696</v>
      </c>
      <c r="P2039">
        <v>546.709047732003</v>
      </c>
      <c r="Q2039">
        <v>751.11314456172295</v>
      </c>
      <c r="R2039">
        <v>708.06892843962396</v>
      </c>
      <c r="S2039">
        <v>697.04022949918397</v>
      </c>
      <c r="T2039">
        <v>481.210245136033</v>
      </c>
      <c r="U2039">
        <v>608.11691583149195</v>
      </c>
      <c r="V2039">
        <v>587.051591859616</v>
      </c>
      <c r="W2039">
        <v>510.457438100871</v>
      </c>
    </row>
    <row r="2040" spans="1:23" x14ac:dyDescent="0.2">
      <c r="A2040" t="s">
        <v>4087</v>
      </c>
      <c r="B2040" s="3" t="str">
        <f>HYPERLINK("http://www.ncbi.nlm.nih.gov/gene/13619","Phc1")</f>
        <v>Phc1</v>
      </c>
      <c r="C2040">
        <v>13619</v>
      </c>
      <c r="D2040" t="s">
        <v>4088</v>
      </c>
      <c r="E2040" s="3" t="str">
        <f>HYPERLINK("http://genome.ucsc.edu/cgi-bin/hgTracks?db=mm10&amp;lastVirtModeType=default&amp;lastVirtModeExtraState=&amp;virtModeType=default&amp;virtMode=0&amp;nonVirtPosition=&amp;position=chr6:122317730-122339657","chr6:122317730-122339657")</f>
        <v>chr6:122317730-122339657</v>
      </c>
      <c r="F2040" t="s">
        <v>25</v>
      </c>
      <c r="G2040">
        <v>0.46241749488976103</v>
      </c>
      <c r="H2040">
        <v>0.141850984237119</v>
      </c>
      <c r="I2040">
        <v>3.2598821740762798</v>
      </c>
      <c r="J2040">
        <v>1.1145850626997601E-3</v>
      </c>
      <c r="K2040">
        <v>7.3137348246721098E-3</v>
      </c>
      <c r="L2040" t="s">
        <v>26</v>
      </c>
      <c r="M2040" t="s">
        <v>27</v>
      </c>
      <c r="N2040">
        <v>267.01353005215901</v>
      </c>
      <c r="O2040">
        <v>216.121554510343</v>
      </c>
      <c r="P2040">
        <v>305.18251170852102</v>
      </c>
      <c r="Q2040">
        <v>194.320598555998</v>
      </c>
      <c r="R2040">
        <v>212.382753040273</v>
      </c>
      <c r="S2040">
        <v>241.661311934758</v>
      </c>
      <c r="T2040">
        <v>334.55569423743202</v>
      </c>
      <c r="U2040">
        <v>325.47102537460103</v>
      </c>
      <c r="V2040">
        <v>303.08929304030301</v>
      </c>
      <c r="W2040">
        <v>257.61403418174802</v>
      </c>
    </row>
    <row r="2041" spans="1:23" x14ac:dyDescent="0.2">
      <c r="A2041" t="s">
        <v>4089</v>
      </c>
      <c r="B2041" s="3" t="str">
        <f>HYPERLINK("http://www.ncbi.nlm.nih.gov/gene/67305","Gpx7")</f>
        <v>Gpx7</v>
      </c>
      <c r="C2041">
        <v>67305</v>
      </c>
      <c r="D2041" t="s">
        <v>4090</v>
      </c>
      <c r="E2041" s="3" t="str">
        <f>HYPERLINK("http://genome.ucsc.edu/cgi-bin/hgTracks?db=mm10&amp;lastVirtModeType=default&amp;lastVirtModeExtraState=&amp;virtModeType=default&amp;virtMode=0&amp;nonVirtPosition=&amp;position=chr4:108400216-108406713","chr4:108400216-108406713")</f>
        <v>chr4:108400216-108406713</v>
      </c>
      <c r="F2041" t="s">
        <v>25</v>
      </c>
      <c r="G2041">
        <v>-0.61115394670562695</v>
      </c>
      <c r="H2041">
        <v>0.18747941463874801</v>
      </c>
      <c r="I2041">
        <v>-3.25984560962734</v>
      </c>
      <c r="J2041">
        <v>1.11472875641519E-3</v>
      </c>
      <c r="K2041">
        <v>7.3137348246721098E-3</v>
      </c>
      <c r="L2041" t="s">
        <v>26</v>
      </c>
      <c r="M2041" t="s">
        <v>27</v>
      </c>
      <c r="N2041">
        <v>99.423238243252996</v>
      </c>
      <c r="O2041">
        <v>122.474600262949</v>
      </c>
      <c r="P2041">
        <v>82.134716728480697</v>
      </c>
      <c r="Q2041">
        <v>118.040019753214</v>
      </c>
      <c r="R2041">
        <v>123.63710266273</v>
      </c>
      <c r="S2041">
        <v>125.746678372904</v>
      </c>
      <c r="T2041">
        <v>96.242049027206505</v>
      </c>
      <c r="U2041">
        <v>96.356553564849094</v>
      </c>
      <c r="V2041">
        <v>69.151440645117603</v>
      </c>
      <c r="W2041">
        <v>66.788823676749402</v>
      </c>
    </row>
    <row r="2042" spans="1:23" x14ac:dyDescent="0.2">
      <c r="A2042" t="s">
        <v>4091</v>
      </c>
      <c r="B2042" s="3" t="str">
        <f>HYPERLINK("http://www.ncbi.nlm.nih.gov/gene/53320","Folh1")</f>
        <v>Folh1</v>
      </c>
      <c r="C2042">
        <v>53320</v>
      </c>
      <c r="D2042" t="s">
        <v>4092</v>
      </c>
      <c r="E2042" s="3" t="str">
        <f>HYPERLINK("http://genome.ucsc.edu/cgi-bin/hgTracks?db=mm10&amp;lastVirtModeType=default&amp;lastVirtModeExtraState=&amp;virtModeType=default&amp;virtMode=0&amp;nonVirtPosition=&amp;position=chr7:86718975-86775864","chr7:86718975-86775864")</f>
        <v>chr7:86718975-86775864</v>
      </c>
      <c r="F2042" t="s">
        <v>25</v>
      </c>
      <c r="G2042">
        <v>-1.1381177525974899</v>
      </c>
      <c r="H2042">
        <v>0.34921124219459498</v>
      </c>
      <c r="I2042">
        <v>-3.2591097166433198</v>
      </c>
      <c r="J2042">
        <v>1.1176243677336599E-3</v>
      </c>
      <c r="K2042">
        <v>7.3291419727333201E-3</v>
      </c>
      <c r="L2042" t="s">
        <v>26</v>
      </c>
      <c r="M2042" t="s">
        <v>27</v>
      </c>
      <c r="N2042">
        <v>15.9861709593509</v>
      </c>
      <c r="O2042">
        <v>25.5129366375918</v>
      </c>
      <c r="P2042">
        <v>8.8410967006702794</v>
      </c>
      <c r="Q2042">
        <v>32.293967668332101</v>
      </c>
      <c r="R2042">
        <v>27.685608878464201</v>
      </c>
      <c r="S2042">
        <v>16.5592333659791</v>
      </c>
      <c r="T2042">
        <v>9.1659094311625307</v>
      </c>
      <c r="U2042">
        <v>8.5650269835421398</v>
      </c>
      <c r="V2042">
        <v>8.0921898627265296</v>
      </c>
      <c r="W2042">
        <v>9.5412605252499194</v>
      </c>
    </row>
    <row r="2043" spans="1:23" x14ac:dyDescent="0.2">
      <c r="A2043" t="s">
        <v>4093</v>
      </c>
      <c r="B2043" s="3" t="str">
        <f>HYPERLINK("http://www.ncbi.nlm.nih.gov/gene/232370","Clstn3")</f>
        <v>Clstn3</v>
      </c>
      <c r="C2043">
        <v>232370</v>
      </c>
      <c r="D2043" t="s">
        <v>4094</v>
      </c>
      <c r="E2043" s="3" t="str">
        <f>HYPERLINK("http://genome.ucsc.edu/cgi-bin/hgTracks?db=mm10&amp;lastVirtModeType=default&amp;lastVirtModeExtraState=&amp;virtModeType=default&amp;virtMode=0&amp;nonVirtPosition=&amp;position=chr6:124430755-124464784","chr6:124430755-124464784")</f>
        <v>chr6:124430755-124464784</v>
      </c>
      <c r="F2043" t="s">
        <v>25</v>
      </c>
      <c r="G2043">
        <v>-0.53281406131633402</v>
      </c>
      <c r="H2043">
        <v>0.16352478964405301</v>
      </c>
      <c r="I2043">
        <v>-3.2583075781728299</v>
      </c>
      <c r="J2043">
        <v>1.1207885641622199E-3</v>
      </c>
      <c r="K2043">
        <v>7.345944778019E-3</v>
      </c>
      <c r="L2043" t="s">
        <v>26</v>
      </c>
      <c r="M2043" t="s">
        <v>27</v>
      </c>
      <c r="N2043">
        <v>485.95230441890698</v>
      </c>
      <c r="O2043">
        <v>594.29620785671898</v>
      </c>
      <c r="P2043">
        <v>404.69437684054901</v>
      </c>
      <c r="Q2043">
        <v>694.87709741514504</v>
      </c>
      <c r="R2043">
        <v>631.08018046252505</v>
      </c>
      <c r="S2043">
        <v>456.93134569248701</v>
      </c>
      <c r="T2043">
        <v>389.55115082440699</v>
      </c>
      <c r="U2043">
        <v>451.80517338184802</v>
      </c>
      <c r="V2043">
        <v>351.64243221666197</v>
      </c>
      <c r="W2043">
        <v>425.77875093927798</v>
      </c>
    </row>
    <row r="2044" spans="1:23" x14ac:dyDescent="0.2">
      <c r="A2044" t="s">
        <v>4095</v>
      </c>
      <c r="B2044" s="3" t="str">
        <f>HYPERLINK("http://www.ncbi.nlm.nih.gov/gene/67389","Fam132a")</f>
        <v>Fam132a</v>
      </c>
      <c r="C2044">
        <v>67389</v>
      </c>
      <c r="D2044" t="s">
        <v>4096</v>
      </c>
      <c r="E2044" s="3" t="str">
        <f>HYPERLINK("http://genome.ucsc.edu/cgi-bin/hgTracks?db=mm10&amp;lastVirtModeType=default&amp;lastVirtModeExtraState=&amp;virtModeType=default&amp;virtMode=0&amp;nonVirtPosition=&amp;position=chr4:155962311-155966629","chr4:155962311-155966629")</f>
        <v>chr4:155962311-155966629</v>
      </c>
      <c r="F2044" t="s">
        <v>30</v>
      </c>
      <c r="G2044">
        <v>1.0334313401037201</v>
      </c>
      <c r="H2044">
        <v>0.31718033796032002</v>
      </c>
      <c r="I2044">
        <v>3.2581822276543702</v>
      </c>
      <c r="J2044">
        <v>1.12128378211267E-3</v>
      </c>
      <c r="K2044">
        <v>7.345944778019E-3</v>
      </c>
      <c r="L2044" t="s">
        <v>26</v>
      </c>
      <c r="M2044" t="s">
        <v>27</v>
      </c>
      <c r="N2044">
        <v>20.192963578986902</v>
      </c>
      <c r="O2044">
        <v>10.9386288917232</v>
      </c>
      <c r="P2044">
        <v>27.133714594434799</v>
      </c>
      <c r="Q2044">
        <v>9.4654732820973209</v>
      </c>
      <c r="R2044">
        <v>8.3436081551535803</v>
      </c>
      <c r="S2044">
        <v>15.0068052379186</v>
      </c>
      <c r="T2044">
        <v>32.0806830090688</v>
      </c>
      <c r="U2044">
        <v>23.553824204740899</v>
      </c>
      <c r="V2044">
        <v>24.276569588179601</v>
      </c>
      <c r="W2044">
        <v>28.623781575749799</v>
      </c>
    </row>
    <row r="2045" spans="1:23" x14ac:dyDescent="0.2">
      <c r="A2045" t="s">
        <v>4097</v>
      </c>
      <c r="B2045" s="3" t="str">
        <f>HYPERLINK("http://www.ncbi.nlm.nih.gov/gene/56050","Cyp39a1")</f>
        <v>Cyp39a1</v>
      </c>
      <c r="C2045">
        <v>56050</v>
      </c>
      <c r="D2045" t="s">
        <v>4098</v>
      </c>
      <c r="E2045" s="3" t="str">
        <f>HYPERLINK("http://genome.ucsc.edu/cgi-bin/hgTracks?db=mm10&amp;lastVirtModeType=default&amp;lastVirtModeExtraState=&amp;virtModeType=default&amp;virtMode=0&amp;nonVirtPosition=&amp;position=chr17:43667371-43751431","chr17:43667371-43751431")</f>
        <v>chr17:43667371-43751431</v>
      </c>
      <c r="F2045" t="s">
        <v>30</v>
      </c>
      <c r="G2045">
        <v>0.84925294262377204</v>
      </c>
      <c r="H2045">
        <v>0.26073789976546702</v>
      </c>
      <c r="I2045">
        <v>3.2571135358061598</v>
      </c>
      <c r="J2045">
        <v>1.1255140480137299E-3</v>
      </c>
      <c r="K2045">
        <v>7.3700531134239002E-3</v>
      </c>
      <c r="L2045" t="s">
        <v>26</v>
      </c>
      <c r="M2045" t="s">
        <v>27</v>
      </c>
      <c r="N2045">
        <v>35.659111619110298</v>
      </c>
      <c r="O2045">
        <v>23.904996285177599</v>
      </c>
      <c r="P2045">
        <v>44.474698119559697</v>
      </c>
      <c r="Q2045">
        <v>20.601324202211799</v>
      </c>
      <c r="R2045">
        <v>21.6175302201706</v>
      </c>
      <c r="S2045">
        <v>29.496134433150299</v>
      </c>
      <c r="T2045">
        <v>32.0806830090688</v>
      </c>
      <c r="U2045">
        <v>44.966391663596198</v>
      </c>
      <c r="V2045">
        <v>50.7601000480119</v>
      </c>
      <c r="W2045">
        <v>50.091617757562098</v>
      </c>
    </row>
    <row r="2046" spans="1:23" x14ac:dyDescent="0.2">
      <c r="A2046" t="s">
        <v>4099</v>
      </c>
      <c r="B2046" s="3" t="str">
        <f>HYPERLINK("http://www.ncbi.nlm.nih.gov/gene/76113","Lpo")</f>
        <v>Lpo</v>
      </c>
      <c r="C2046">
        <v>76113</v>
      </c>
      <c r="D2046" t="s">
        <v>4100</v>
      </c>
      <c r="E2046" s="3" t="str">
        <f>HYPERLINK("http://genome.ucsc.edu/cgi-bin/hgTracks?db=mm10&amp;lastVirtModeType=default&amp;lastVirtModeExtraState=&amp;virtModeType=default&amp;virtMode=0&amp;nonVirtPosition=&amp;position=chr11:87806427-87826114","chr11:87806427-87826114")</f>
        <v>chr11:87806427-87826114</v>
      </c>
      <c r="F2046" t="s">
        <v>25</v>
      </c>
      <c r="G2046">
        <v>-1.11849385535954</v>
      </c>
      <c r="H2046">
        <v>0.34344472247546698</v>
      </c>
      <c r="I2046">
        <v>-3.2566925102173698</v>
      </c>
      <c r="J2046">
        <v>1.12718466611835E-3</v>
      </c>
      <c r="K2046">
        <v>7.3773850752643097E-3</v>
      </c>
      <c r="L2046" t="s">
        <v>26</v>
      </c>
      <c r="M2046" t="s">
        <v>27</v>
      </c>
      <c r="N2046">
        <v>34.5465851698861</v>
      </c>
      <c r="O2046">
        <v>53.482583731156502</v>
      </c>
      <c r="P2046">
        <v>20.3445862489333</v>
      </c>
      <c r="Q2046">
        <v>85.746052084881697</v>
      </c>
      <c r="R2046">
        <v>36.4084719497611</v>
      </c>
      <c r="S2046">
        <v>38.293227158826703</v>
      </c>
      <c r="T2046">
        <v>27.497728293487601</v>
      </c>
      <c r="U2046">
        <v>19.2713107129698</v>
      </c>
      <c r="V2046">
        <v>9.5634971104949908</v>
      </c>
      <c r="W2046">
        <v>25.045808878780999</v>
      </c>
    </row>
    <row r="2047" spans="1:23" x14ac:dyDescent="0.2">
      <c r="A2047" t="s">
        <v>4101</v>
      </c>
      <c r="B2047" s="3" t="str">
        <f>HYPERLINK("http://www.ncbi.nlm.nih.gov/gene/54611","Pde3a")</f>
        <v>Pde3a</v>
      </c>
      <c r="C2047">
        <v>54611</v>
      </c>
      <c r="D2047" t="s">
        <v>4102</v>
      </c>
      <c r="E2047" s="3" t="str">
        <f>HYPERLINK("http://genome.ucsc.edu/cgi-bin/hgTracks?db=mm10&amp;lastVirtModeType=default&amp;lastVirtModeExtraState=&amp;virtModeType=default&amp;virtMode=0&amp;nonVirtPosition=&amp;position=chr6:141249268-141499351","chr6:141249268-141499351")</f>
        <v>chr6:141249268-141499351</v>
      </c>
      <c r="F2047" t="s">
        <v>30</v>
      </c>
      <c r="G2047">
        <v>-0.53141279235550298</v>
      </c>
      <c r="H2047">
        <v>0.16326571755351699</v>
      </c>
      <c r="I2047">
        <v>-3.25489515079189</v>
      </c>
      <c r="J2047">
        <v>1.1343423545719E-3</v>
      </c>
      <c r="K2047">
        <v>7.4206050171335301E-3</v>
      </c>
      <c r="L2047" t="s">
        <v>26</v>
      </c>
      <c r="M2047" t="s">
        <v>27</v>
      </c>
      <c r="N2047">
        <v>342.34744148080802</v>
      </c>
      <c r="O2047">
        <v>416.35470472160802</v>
      </c>
      <c r="P2047">
        <v>286.84199405020797</v>
      </c>
      <c r="Q2047">
        <v>365.81270272576103</v>
      </c>
      <c r="R2047">
        <v>363.70546458146703</v>
      </c>
      <c r="S2047">
        <v>519.54594685759503</v>
      </c>
      <c r="T2047">
        <v>320.80683009068798</v>
      </c>
      <c r="U2047">
        <v>299.77594442397498</v>
      </c>
      <c r="V2047">
        <v>275.13445533270198</v>
      </c>
      <c r="W2047">
        <v>251.65074635346701</v>
      </c>
    </row>
    <row r="2048" spans="1:23" x14ac:dyDescent="0.2">
      <c r="A2048" t="s">
        <v>4103</v>
      </c>
      <c r="B2048" s="3" t="str">
        <f>HYPERLINK("http://www.ncbi.nlm.nih.gov/gene/76594","Dnajc18")</f>
        <v>Dnajc18</v>
      </c>
      <c r="C2048">
        <v>76594</v>
      </c>
      <c r="D2048" t="s">
        <v>4104</v>
      </c>
      <c r="E2048" s="3" t="str">
        <f>HYPERLINK("http://genome.ucsc.edu/cgi-bin/hgTracks?db=mm10&amp;lastVirtModeType=default&amp;lastVirtModeExtraState=&amp;virtModeType=default&amp;virtMode=0&amp;nonVirtPosition=&amp;position=chr18:35671104-35703144","chr18:35671104-35703144")</f>
        <v>chr18:35671104-35703144</v>
      </c>
      <c r="F2048" t="s">
        <v>25</v>
      </c>
      <c r="G2048">
        <v>-0.672926296405154</v>
      </c>
      <c r="H2048">
        <v>0.20677356528109</v>
      </c>
      <c r="I2048">
        <v>-3.2544116337616602</v>
      </c>
      <c r="J2048">
        <v>1.13627504092121E-3</v>
      </c>
      <c r="K2048">
        <v>7.4296186879765297E-3</v>
      </c>
      <c r="L2048" t="s">
        <v>26</v>
      </c>
      <c r="M2048" t="s">
        <v>27</v>
      </c>
      <c r="N2048">
        <v>530.62097660886604</v>
      </c>
      <c r="O2048">
        <v>684.81028591071504</v>
      </c>
      <c r="P2048">
        <v>414.97899463248001</v>
      </c>
      <c r="Q2048">
        <v>989.42035425217296</v>
      </c>
      <c r="R2048">
        <v>557.88398164685998</v>
      </c>
      <c r="S2048">
        <v>507.12652183311098</v>
      </c>
      <c r="T2048">
        <v>453.71251684254503</v>
      </c>
      <c r="U2048">
        <v>359.73113330876998</v>
      </c>
      <c r="V2048">
        <v>417.11560474235898</v>
      </c>
      <c r="W2048">
        <v>429.35672363624599</v>
      </c>
    </row>
    <row r="2049" spans="1:23" x14ac:dyDescent="0.2">
      <c r="A2049" t="s">
        <v>4105</v>
      </c>
      <c r="B2049" s="3" t="str">
        <f>HYPERLINK("http://www.ncbi.nlm.nih.gov/gene/54709","Eif3i")</f>
        <v>Eif3i</v>
      </c>
      <c r="C2049">
        <v>54709</v>
      </c>
      <c r="D2049" t="s">
        <v>4106</v>
      </c>
      <c r="E2049" s="3" t="str">
        <f>HYPERLINK("http://genome.ucsc.edu/cgi-bin/hgTracks?db=mm10&amp;lastVirtModeType=default&amp;lastVirtModeExtraState=&amp;virtModeType=default&amp;virtMode=0&amp;nonVirtPosition=&amp;position=chr4:129591973-129600648","chr4:129591973-129600648")</f>
        <v>chr4:129591973-129600648</v>
      </c>
      <c r="F2049" t="s">
        <v>25</v>
      </c>
      <c r="G2049">
        <v>-0.47307304349566798</v>
      </c>
      <c r="H2049">
        <v>0.145374902732055</v>
      </c>
      <c r="I2049">
        <v>-3.2541589683303398</v>
      </c>
      <c r="J2049">
        <v>1.13728619109646E-3</v>
      </c>
      <c r="K2049">
        <v>7.4326009687519E-3</v>
      </c>
      <c r="L2049" t="s">
        <v>26</v>
      </c>
      <c r="M2049" t="s">
        <v>27</v>
      </c>
      <c r="N2049">
        <v>498.91481293211501</v>
      </c>
      <c r="O2049">
        <v>598.09506949765</v>
      </c>
      <c r="P2049">
        <v>424.52962050796401</v>
      </c>
      <c r="Q2049">
        <v>474.38724919687797</v>
      </c>
      <c r="R2049">
        <v>650.80143610197899</v>
      </c>
      <c r="S2049">
        <v>669.09652319409395</v>
      </c>
      <c r="T2049">
        <v>394.13410553998898</v>
      </c>
      <c r="U2049">
        <v>451.80517338184802</v>
      </c>
      <c r="V2049">
        <v>425.20779460508498</v>
      </c>
      <c r="W2049">
        <v>426.971408504934</v>
      </c>
    </row>
    <row r="2050" spans="1:23" x14ac:dyDescent="0.2">
      <c r="A2050" t="s">
        <v>4107</v>
      </c>
      <c r="B2050" s="3" t="str">
        <f>HYPERLINK("http://www.ncbi.nlm.nih.gov/gene/13860","Eps8")</f>
        <v>Eps8</v>
      </c>
      <c r="C2050">
        <v>13860</v>
      </c>
      <c r="D2050" t="s">
        <v>4108</v>
      </c>
      <c r="E2050" s="3" t="str">
        <f>HYPERLINK("http://genome.ucsc.edu/cgi-bin/hgTracks?db=mm10&amp;lastVirtModeType=default&amp;lastVirtModeExtraState=&amp;virtModeType=default&amp;virtMode=0&amp;nonVirtPosition=&amp;position=chr6:137477244-137649285","chr6:137477244-137649285")</f>
        <v>chr6:137477244-137649285</v>
      </c>
      <c r="F2050" t="s">
        <v>25</v>
      </c>
      <c r="G2050">
        <v>-0.42863203683565299</v>
      </c>
      <c r="H2050">
        <v>0.13173794637219599</v>
      </c>
      <c r="I2050">
        <v>-3.2536717676215301</v>
      </c>
      <c r="J2050">
        <v>1.13923828443252E-3</v>
      </c>
      <c r="K2050">
        <v>7.4402979100363902E-3</v>
      </c>
      <c r="L2050" t="s">
        <v>26</v>
      </c>
      <c r="M2050" t="s">
        <v>27</v>
      </c>
      <c r="N2050">
        <v>558.01381845752098</v>
      </c>
      <c r="O2050">
        <v>659.17413229072997</v>
      </c>
      <c r="P2050">
        <v>482.14358308261501</v>
      </c>
      <c r="Q2050">
        <v>664.25350738482996</v>
      </c>
      <c r="R2050">
        <v>602.25680683563098</v>
      </c>
      <c r="S2050">
        <v>711.01208265172897</v>
      </c>
      <c r="T2050">
        <v>485.79319985161402</v>
      </c>
      <c r="U2050">
        <v>396.13249798882401</v>
      </c>
      <c r="V2050">
        <v>532.61322369218306</v>
      </c>
      <c r="W2050">
        <v>514.03541079783895</v>
      </c>
    </row>
    <row r="2051" spans="1:23" x14ac:dyDescent="0.2">
      <c r="A2051" t="s">
        <v>4109</v>
      </c>
      <c r="B2051" s="3" t="str">
        <f>HYPERLINK("http://www.ncbi.nlm.nih.gov/gene/19134","Prpf4b")</f>
        <v>Prpf4b</v>
      </c>
      <c r="C2051">
        <v>19134</v>
      </c>
      <c r="D2051" t="s">
        <v>4110</v>
      </c>
      <c r="E2051" s="3" t="str">
        <f>HYPERLINK("http://genome.ucsc.edu/cgi-bin/hgTracks?db=mm10&amp;lastVirtModeType=default&amp;lastVirtModeExtraState=&amp;virtModeType=default&amp;virtMode=0&amp;nonVirtPosition=&amp;position=chr13:34875493-34902878","chr13:34875493-34902878")</f>
        <v>chr13:34875493-34902878</v>
      </c>
      <c r="F2051" t="s">
        <v>30</v>
      </c>
      <c r="G2051">
        <v>0.40105245445333199</v>
      </c>
      <c r="H2051">
        <v>0.12326585117411901</v>
      </c>
      <c r="I2051">
        <v>3.2535568499569898</v>
      </c>
      <c r="J2051">
        <v>1.13969918245441E-3</v>
      </c>
      <c r="K2051">
        <v>7.4402979100363902E-3</v>
      </c>
      <c r="L2051" t="s">
        <v>26</v>
      </c>
      <c r="M2051" t="s">
        <v>27</v>
      </c>
      <c r="N2051">
        <v>793.61095798366398</v>
      </c>
      <c r="O2051">
        <v>669.449114186575</v>
      </c>
      <c r="P2051">
        <v>886.732340831481</v>
      </c>
      <c r="Q2051">
        <v>649.77690118868099</v>
      </c>
      <c r="R2051">
        <v>651.18069101812296</v>
      </c>
      <c r="S2051">
        <v>707.38975035292106</v>
      </c>
      <c r="T2051">
        <v>893.67616953834602</v>
      </c>
      <c r="U2051">
        <v>734.45106383873895</v>
      </c>
      <c r="V2051">
        <v>946.78621393900403</v>
      </c>
      <c r="W2051">
        <v>972.015916009835</v>
      </c>
    </row>
    <row r="2052" spans="1:23" x14ac:dyDescent="0.2">
      <c r="A2052" t="s">
        <v>4111</v>
      </c>
      <c r="B2052" s="3" t="str">
        <f>HYPERLINK("http://www.ncbi.nlm.nih.gov/gene/21769","Zfand3")</f>
        <v>Zfand3</v>
      </c>
      <c r="C2052">
        <v>21769</v>
      </c>
      <c r="D2052" t="s">
        <v>4112</v>
      </c>
      <c r="E2052" s="3" t="str">
        <f>HYPERLINK("http://genome.ucsc.edu/cgi-bin/hgTracks?db=mm10&amp;lastVirtModeType=default&amp;lastVirtModeExtraState=&amp;virtModeType=default&amp;virtMode=0&amp;nonVirtPosition=&amp;position=chr17:30005086-30210020","chr17:30005086-30210020")</f>
        <v>chr17:30005086-30210020</v>
      </c>
      <c r="F2052" t="s">
        <v>30</v>
      </c>
      <c r="G2052">
        <v>-0.41461860877435303</v>
      </c>
      <c r="H2052">
        <v>0.127442666502733</v>
      </c>
      <c r="I2052">
        <v>-3.2533736161700801</v>
      </c>
      <c r="J2052">
        <v>1.1404344311401601E-3</v>
      </c>
      <c r="K2052">
        <v>7.4402979100363902E-3</v>
      </c>
      <c r="L2052" t="s">
        <v>26</v>
      </c>
      <c r="M2052" t="s">
        <v>27</v>
      </c>
      <c r="N2052">
        <v>455.51203097469102</v>
      </c>
      <c r="O2052">
        <v>535.49541920233696</v>
      </c>
      <c r="P2052">
        <v>395.52448980395599</v>
      </c>
      <c r="Q2052">
        <v>568.48518947184505</v>
      </c>
      <c r="R2052">
        <v>495.68617539935099</v>
      </c>
      <c r="S2052">
        <v>542.31489273581599</v>
      </c>
      <c r="T2052">
        <v>398.71706025557</v>
      </c>
      <c r="U2052">
        <v>349.024849579342</v>
      </c>
      <c r="V2052">
        <v>453.89828593657001</v>
      </c>
      <c r="W2052">
        <v>380.45776344434103</v>
      </c>
    </row>
    <row r="2053" spans="1:23" x14ac:dyDescent="0.2">
      <c r="A2053" t="s">
        <v>4113</v>
      </c>
      <c r="B2053" s="3" t="str">
        <f>HYPERLINK("http://www.ncbi.nlm.nih.gov/gene/230700","Foxj3")</f>
        <v>Foxj3</v>
      </c>
      <c r="C2053">
        <v>230700</v>
      </c>
      <c r="D2053" t="s">
        <v>4114</v>
      </c>
      <c r="E2053" s="3" t="str">
        <f>HYPERLINK("http://genome.ucsc.edu/cgi-bin/hgTracks?db=mm10&amp;lastVirtModeType=default&amp;lastVirtModeExtraState=&amp;virtModeType=default&amp;virtMode=0&amp;nonVirtPosition=&amp;position=chr4:119539660-119629119","chr4:119539660-119629119")</f>
        <v>chr4:119539660-119629119</v>
      </c>
      <c r="F2053" t="s">
        <v>30</v>
      </c>
      <c r="G2053">
        <v>0.39846751159464799</v>
      </c>
      <c r="H2053">
        <v>0.122480614475535</v>
      </c>
      <c r="I2053">
        <v>3.2533108467890601</v>
      </c>
      <c r="J2053">
        <v>1.14068640200916E-3</v>
      </c>
      <c r="K2053">
        <v>7.4402979100363902E-3</v>
      </c>
      <c r="L2053" t="s">
        <v>26</v>
      </c>
      <c r="M2053" t="s">
        <v>27</v>
      </c>
      <c r="N2053">
        <v>226.89185834101599</v>
      </c>
      <c r="O2053">
        <v>191.94710377945199</v>
      </c>
      <c r="P2053">
        <v>253.10042426218899</v>
      </c>
      <c r="Q2053">
        <v>191.536635825969</v>
      </c>
      <c r="R2053">
        <v>185.076399077952</v>
      </c>
      <c r="S2053">
        <v>199.228276434436</v>
      </c>
      <c r="T2053">
        <v>238.31364521022601</v>
      </c>
      <c r="U2053">
        <v>265.51583648980602</v>
      </c>
      <c r="V2053">
        <v>254.53615386394401</v>
      </c>
      <c r="W2053">
        <v>254.036061484779</v>
      </c>
    </row>
    <row r="2054" spans="1:23" x14ac:dyDescent="0.2">
      <c r="A2054" t="s">
        <v>4115</v>
      </c>
      <c r="B2054" s="3" t="str">
        <f>HYPERLINK("http://www.ncbi.nlm.nih.gov/gene/94063","Mrpl16")</f>
        <v>Mrpl16</v>
      </c>
      <c r="C2054">
        <v>94063</v>
      </c>
      <c r="D2054" t="s">
        <v>4116</v>
      </c>
      <c r="E2054" s="3" t="str">
        <f>HYPERLINK("http://genome.ucsc.edu/cgi-bin/hgTracks?db=mm10&amp;lastVirtModeType=default&amp;lastVirtModeExtraState=&amp;virtModeType=default&amp;virtMode=0&amp;nonVirtPosition=&amp;position=chr19:11770414-11774946","chr19:11770414-11774946")</f>
        <v>chr19:11770414-11774946</v>
      </c>
      <c r="F2054" t="s">
        <v>30</v>
      </c>
      <c r="G2054">
        <v>-0.68113027823105099</v>
      </c>
      <c r="H2054">
        <v>0.20938414470779901</v>
      </c>
      <c r="I2054">
        <v>-3.2530174583256302</v>
      </c>
      <c r="J2054">
        <v>1.14186481395638E-3</v>
      </c>
      <c r="K2054">
        <v>7.4420393887198602E-3</v>
      </c>
      <c r="L2054" t="s">
        <v>26</v>
      </c>
      <c r="M2054" t="s">
        <v>27</v>
      </c>
      <c r="N2054">
        <v>68.907829186776397</v>
      </c>
      <c r="O2054">
        <v>90.804208013398394</v>
      </c>
      <c r="P2054">
        <v>52.485545066809898</v>
      </c>
      <c r="Q2054">
        <v>87.416429722898798</v>
      </c>
      <c r="R2054">
        <v>88.745650377542603</v>
      </c>
      <c r="S2054">
        <v>96.250543939753697</v>
      </c>
      <c r="T2054">
        <v>45.829547155812598</v>
      </c>
      <c r="U2054">
        <v>51.390161901252803</v>
      </c>
      <c r="V2054">
        <v>66.208826149580702</v>
      </c>
      <c r="W2054">
        <v>46.513645060593397</v>
      </c>
    </row>
    <row r="2055" spans="1:23" x14ac:dyDescent="0.2">
      <c r="A2055" t="s">
        <v>4117</v>
      </c>
      <c r="B2055" s="3" t="str">
        <f>HYPERLINK("http://www.ncbi.nlm.nih.gov/gene/100043911","Ppp4r1l-ps")</f>
        <v>Ppp4r1l-ps</v>
      </c>
      <c r="C2055">
        <v>100043911</v>
      </c>
      <c r="D2055" t="s">
        <v>4118</v>
      </c>
      <c r="E2055" s="3" t="str">
        <f>HYPERLINK("http://genome.ucsc.edu/cgi-bin/hgTracks?db=mm10&amp;lastVirtModeType=default&amp;lastVirtModeExtraState=&amp;virtModeType=default&amp;virtMode=0&amp;nonVirtPosition=&amp;position=chr2:173579319-173659539","chr2:173579319-173659539")</f>
        <v>chr2:173579319-173659539</v>
      </c>
      <c r="F2055" t="s">
        <v>25</v>
      </c>
      <c r="G2055">
        <v>0.58785068717322397</v>
      </c>
      <c r="H2055">
        <v>0.18071212081240701</v>
      </c>
      <c r="I2055">
        <v>3.25296767328329</v>
      </c>
      <c r="J2055">
        <v>1.14206489013661E-3</v>
      </c>
      <c r="K2055">
        <v>7.4420393887198602E-3</v>
      </c>
      <c r="L2055" t="s">
        <v>26</v>
      </c>
      <c r="M2055" t="s">
        <v>27</v>
      </c>
      <c r="N2055">
        <v>114.70328323755101</v>
      </c>
      <c r="O2055">
        <v>87.102005525711803</v>
      </c>
      <c r="P2055">
        <v>135.404241521431</v>
      </c>
      <c r="Q2055">
        <v>102.449828465053</v>
      </c>
      <c r="R2055">
        <v>72.437688983378806</v>
      </c>
      <c r="S2055">
        <v>86.418499128703601</v>
      </c>
      <c r="T2055">
        <v>155.82046032976299</v>
      </c>
      <c r="U2055">
        <v>124.192891261361</v>
      </c>
      <c r="V2055">
        <v>137.56722766635099</v>
      </c>
      <c r="W2055">
        <v>124.03638682824899</v>
      </c>
    </row>
    <row r="2056" spans="1:23" x14ac:dyDescent="0.2">
      <c r="A2056" t="s">
        <v>4119</v>
      </c>
      <c r="B2056" s="3" t="str">
        <f>HYPERLINK("http://www.ncbi.nlm.nih.gov/gene/66868","Mfsd1")</f>
        <v>Mfsd1</v>
      </c>
      <c r="C2056">
        <v>66868</v>
      </c>
      <c r="D2056" t="s">
        <v>4120</v>
      </c>
      <c r="E2056" s="3" t="str">
        <f>HYPERLINK("http://genome.ucsc.edu/cgi-bin/hgTracks?db=mm10&amp;lastVirtModeType=default&amp;lastVirtModeExtraState=&amp;virtModeType=default&amp;virtMode=0&amp;nonVirtPosition=&amp;position=chr3:67582767-67604231","chr3:67582767-67604231")</f>
        <v>chr3:67582767-67604231</v>
      </c>
      <c r="F2056" t="s">
        <v>30</v>
      </c>
      <c r="G2056">
        <v>-0.39873495758371102</v>
      </c>
      <c r="H2056">
        <v>0.122585937418059</v>
      </c>
      <c r="I2056">
        <v>-3.2526973809719499</v>
      </c>
      <c r="J2056">
        <v>1.1431517068312201E-3</v>
      </c>
      <c r="K2056">
        <v>7.4454983006696802E-3</v>
      </c>
      <c r="L2056" t="s">
        <v>26</v>
      </c>
      <c r="M2056" t="s">
        <v>27</v>
      </c>
      <c r="N2056">
        <v>478.867235613194</v>
      </c>
      <c r="O2056">
        <v>561.98481829142395</v>
      </c>
      <c r="P2056">
        <v>416.52904860452099</v>
      </c>
      <c r="Q2056">
        <v>537.30480689552496</v>
      </c>
      <c r="R2056">
        <v>532.85315718139896</v>
      </c>
      <c r="S2056">
        <v>615.79649079734895</v>
      </c>
      <c r="T2056">
        <v>352.88751309975697</v>
      </c>
      <c r="U2056">
        <v>438.95763290653503</v>
      </c>
      <c r="V2056">
        <v>456.84090043210699</v>
      </c>
      <c r="W2056">
        <v>417.43014797968402</v>
      </c>
    </row>
    <row r="2057" spans="1:23" x14ac:dyDescent="0.2">
      <c r="A2057" t="s">
        <v>4121</v>
      </c>
      <c r="B2057" s="3" t="str">
        <f>HYPERLINK("http://www.ncbi.nlm.nih.gov/gene/56149","Grasp")</f>
        <v>Grasp</v>
      </c>
      <c r="C2057">
        <v>56149</v>
      </c>
      <c r="D2057" t="s">
        <v>4122</v>
      </c>
      <c r="E2057" s="3" t="str">
        <f>HYPERLINK("http://genome.ucsc.edu/cgi-bin/hgTracks?db=mm10&amp;lastVirtModeType=default&amp;lastVirtModeExtraState=&amp;virtModeType=default&amp;virtMode=0&amp;nonVirtPosition=&amp;position=chr15:101224206-101232756","chr15:101224206-101232756")</f>
        <v>chr15:101224206-101232756</v>
      </c>
      <c r="F2057" t="s">
        <v>30</v>
      </c>
      <c r="G2057">
        <v>0.87993156345714496</v>
      </c>
      <c r="H2057">
        <v>0.27055740531081501</v>
      </c>
      <c r="I2057">
        <v>3.2522915513854902</v>
      </c>
      <c r="J2057">
        <v>1.14478529989185E-3</v>
      </c>
      <c r="K2057">
        <v>7.4525133450908197E-3</v>
      </c>
      <c r="L2057" t="s">
        <v>26</v>
      </c>
      <c r="M2057" t="s">
        <v>27</v>
      </c>
      <c r="N2057">
        <v>33.681078521540499</v>
      </c>
      <c r="O2057">
        <v>21.1865610606804</v>
      </c>
      <c r="P2057">
        <v>43.051966617185599</v>
      </c>
      <c r="Q2057">
        <v>15.033398742154599</v>
      </c>
      <c r="R2057">
        <v>21.6175302201706</v>
      </c>
      <c r="S2057">
        <v>26.908754219716101</v>
      </c>
      <c r="T2057">
        <v>41.246592440231403</v>
      </c>
      <c r="U2057">
        <v>47.107648409481797</v>
      </c>
      <c r="V2057">
        <v>39.7252956897484</v>
      </c>
      <c r="W2057">
        <v>44.128329929280902</v>
      </c>
    </row>
    <row r="2058" spans="1:23" x14ac:dyDescent="0.2">
      <c r="A2058" t="s">
        <v>4123</v>
      </c>
      <c r="B2058" s="3" t="str">
        <f>HYPERLINK("http://www.ncbi.nlm.nih.gov/gene/71766","Raver1")</f>
        <v>Raver1</v>
      </c>
      <c r="C2058">
        <v>71766</v>
      </c>
      <c r="D2058" t="s">
        <v>4124</v>
      </c>
      <c r="E2058" s="3" t="str">
        <f>HYPERLINK("http://genome.ucsc.edu/cgi-bin/hgTracks?db=mm10&amp;lastVirtModeType=default&amp;lastVirtModeExtraState=&amp;virtModeType=default&amp;virtMode=0&amp;nonVirtPosition=&amp;position=chr9:21074163-21091988","chr9:21074163-21091988")</f>
        <v>chr9:21074163-21091988</v>
      </c>
      <c r="F2058" t="s">
        <v>25</v>
      </c>
      <c r="G2058">
        <v>0.726852504724251</v>
      </c>
      <c r="H2058">
        <v>0.223564776566124</v>
      </c>
      <c r="I2058">
        <v>3.2511941992314202</v>
      </c>
      <c r="J2058">
        <v>1.1492133028747E-3</v>
      </c>
      <c r="K2058">
        <v>7.4777042462561604E-3</v>
      </c>
      <c r="L2058" t="s">
        <v>26</v>
      </c>
      <c r="M2058" t="s">
        <v>27</v>
      </c>
      <c r="N2058">
        <v>450.25329404472899</v>
      </c>
      <c r="O2058">
        <v>316.58110623195302</v>
      </c>
      <c r="P2058">
        <v>550.50743490431205</v>
      </c>
      <c r="Q2058">
        <v>213.80833766619801</v>
      </c>
      <c r="R2058">
        <v>262.444401971194</v>
      </c>
      <c r="S2058">
        <v>473.49057905846598</v>
      </c>
      <c r="T2058">
        <v>559.12047530091399</v>
      </c>
      <c r="U2058">
        <v>655.22456424097402</v>
      </c>
      <c r="V2058">
        <v>504.65838598458203</v>
      </c>
      <c r="W2058">
        <v>483.02631409077702</v>
      </c>
    </row>
    <row r="2059" spans="1:23" x14ac:dyDescent="0.2">
      <c r="A2059" t="s">
        <v>4125</v>
      </c>
      <c r="B2059" s="3" t="str">
        <f>HYPERLINK("http://www.ncbi.nlm.nih.gov/gene/18689","Phxr4")</f>
        <v>Phxr4</v>
      </c>
      <c r="C2059">
        <v>18689</v>
      </c>
      <c r="D2059" t="s">
        <v>4126</v>
      </c>
      <c r="E2059" s="3" t="str">
        <f>HYPERLINK("http://genome.ucsc.edu/cgi-bin/hgTracks?db=mm10&amp;lastVirtModeType=default&amp;lastVirtModeExtraState=&amp;virtModeType=default&amp;virtMode=0&amp;nonVirtPosition=&amp;position=chr9:13431360-13432740","chr9:13431360-13432740")</f>
        <v>chr9:13431360-13432740</v>
      </c>
      <c r="F2059" t="s">
        <v>30</v>
      </c>
      <c r="G2059">
        <v>0.86032779521262404</v>
      </c>
      <c r="H2059">
        <v>0.26464567216084001</v>
      </c>
      <c r="I2059">
        <v>3.2508666708509599</v>
      </c>
      <c r="J2059">
        <v>1.15053800014033E-3</v>
      </c>
      <c r="K2059">
        <v>7.4826878872652804E-3</v>
      </c>
      <c r="L2059" t="s">
        <v>26</v>
      </c>
      <c r="M2059" t="s">
        <v>27</v>
      </c>
      <c r="N2059">
        <v>40.629045459026699</v>
      </c>
      <c r="O2059">
        <v>26.8208318461724</v>
      </c>
      <c r="P2059">
        <v>50.985205668667398</v>
      </c>
      <c r="Q2059">
        <v>26.726042208274801</v>
      </c>
      <c r="R2059">
        <v>20.1005105555973</v>
      </c>
      <c r="S2059">
        <v>33.635942774645102</v>
      </c>
      <c r="T2059">
        <v>45.829547155812598</v>
      </c>
      <c r="U2059">
        <v>42.825134917710699</v>
      </c>
      <c r="V2059">
        <v>64.001865277928005</v>
      </c>
      <c r="W2059">
        <v>51.284275323218303</v>
      </c>
    </row>
    <row r="2060" spans="1:23" x14ac:dyDescent="0.2">
      <c r="A2060" t="s">
        <v>4127</v>
      </c>
      <c r="B2060" s="3" t="str">
        <f>HYPERLINK("http://www.ncbi.nlm.nih.gov/gene/77782","Polq")</f>
        <v>Polq</v>
      </c>
      <c r="C2060">
        <v>77782</v>
      </c>
      <c r="D2060" t="s">
        <v>4128</v>
      </c>
      <c r="E2060" s="3" t="str">
        <f>HYPERLINK("http://genome.ucsc.edu/cgi-bin/hgTracks?db=mm10&amp;lastVirtModeType=default&amp;lastVirtModeExtraState=&amp;virtModeType=default&amp;virtMode=0&amp;nonVirtPosition=&amp;position=chr16:37011785-37095417","chr16:37011785-37095417")</f>
        <v>chr16:37011785-37095417</v>
      </c>
      <c r="F2060" t="s">
        <v>30</v>
      </c>
      <c r="G2060">
        <v>0.88278686110957505</v>
      </c>
      <c r="H2060">
        <v>0.271620002199007</v>
      </c>
      <c r="I2060">
        <v>3.2500804578551898</v>
      </c>
      <c r="J2060">
        <v>1.1537236217573101E-3</v>
      </c>
      <c r="K2060">
        <v>7.49976360143306E-3</v>
      </c>
      <c r="L2060" t="s">
        <v>26</v>
      </c>
      <c r="M2060" t="s">
        <v>27</v>
      </c>
      <c r="N2060">
        <v>205.36194562374999</v>
      </c>
      <c r="O2060">
        <v>128.052667018552</v>
      </c>
      <c r="P2060">
        <v>263.34390457764903</v>
      </c>
      <c r="Q2060">
        <v>59.576802422612602</v>
      </c>
      <c r="R2060">
        <v>138.807299308464</v>
      </c>
      <c r="S2060">
        <v>185.773899324578</v>
      </c>
      <c r="T2060">
        <v>357.47046781533902</v>
      </c>
      <c r="U2060">
        <v>239.82075553918</v>
      </c>
      <c r="V2060">
        <v>210.39693643089001</v>
      </c>
      <c r="W2060">
        <v>245.68745852518501</v>
      </c>
    </row>
    <row r="2061" spans="1:23" x14ac:dyDescent="0.2">
      <c r="A2061" t="s">
        <v>4129</v>
      </c>
      <c r="B2061" s="3" t="str">
        <f>HYPERLINK("http://www.ncbi.nlm.nih.gov/gene/19414","Rasa3")</f>
        <v>Rasa3</v>
      </c>
      <c r="C2061">
        <v>19414</v>
      </c>
      <c r="D2061" t="s">
        <v>4130</v>
      </c>
      <c r="E2061" s="3" t="str">
        <f>HYPERLINK("http://genome.ucsc.edu/cgi-bin/hgTracks?db=mm10&amp;lastVirtModeType=default&amp;lastVirtModeExtraState=&amp;virtModeType=default&amp;virtMode=0&amp;nonVirtPosition=&amp;position=chr8:13567217-13677587","chr8:13567217-13677587")</f>
        <v>chr8:13567217-13677587</v>
      </c>
      <c r="F2061" t="s">
        <v>25</v>
      </c>
      <c r="G2061">
        <v>-0.303874906457759</v>
      </c>
      <c r="H2061">
        <v>9.3545452144263005E-2</v>
      </c>
      <c r="I2061">
        <v>-3.2484198803073001</v>
      </c>
      <c r="J2061">
        <v>1.1604788526788799E-3</v>
      </c>
      <c r="K2061">
        <v>7.5379310642994897E-3</v>
      </c>
      <c r="L2061" t="s">
        <v>26</v>
      </c>
      <c r="M2061" t="s">
        <v>27</v>
      </c>
      <c r="N2061">
        <v>1863.5648672719501</v>
      </c>
      <c r="O2061">
        <v>2097.68715655296</v>
      </c>
      <c r="P2061">
        <v>1687.97315031119</v>
      </c>
      <c r="Q2061">
        <v>2168.7069666922998</v>
      </c>
      <c r="R2061">
        <v>2125.3445500673001</v>
      </c>
      <c r="S2061">
        <v>1999.0099528992901</v>
      </c>
      <c r="T2061">
        <v>1567.3705127287899</v>
      </c>
      <c r="U2061">
        <v>1736.5592209131701</v>
      </c>
      <c r="V2061">
        <v>1731.7286306234801</v>
      </c>
      <c r="W2061">
        <v>1716.23423697933</v>
      </c>
    </row>
    <row r="2062" spans="1:23" x14ac:dyDescent="0.2">
      <c r="A2062" t="s">
        <v>4131</v>
      </c>
      <c r="B2062" s="3" t="str">
        <f>HYPERLINK("http://www.ncbi.nlm.nih.gov/gene/15463","Agfg1")</f>
        <v>Agfg1</v>
      </c>
      <c r="C2062">
        <v>15463</v>
      </c>
      <c r="D2062" t="s">
        <v>4132</v>
      </c>
      <c r="E2062" s="3" t="str">
        <f>HYPERLINK("http://genome.ucsc.edu/cgi-bin/hgTracks?db=mm10&amp;lastVirtModeType=default&amp;lastVirtModeExtraState=&amp;virtModeType=default&amp;virtMode=0&amp;nonVirtPosition=&amp;position=chr1:82839459-82901001","chr1:82839459-82901001")</f>
        <v>chr1:82839459-82901001</v>
      </c>
      <c r="F2062" t="s">
        <v>30</v>
      </c>
      <c r="G2062">
        <v>-0.327589884215715</v>
      </c>
      <c r="H2062">
        <v>0.10084776000241299</v>
      </c>
      <c r="I2062">
        <v>-3.2483605407584499</v>
      </c>
      <c r="J2062">
        <v>1.1607209211101099E-3</v>
      </c>
      <c r="K2062">
        <v>7.5379310642994897E-3</v>
      </c>
      <c r="L2062" t="s">
        <v>26</v>
      </c>
      <c r="M2062" t="s">
        <v>27</v>
      </c>
      <c r="N2062">
        <v>1043.8221655713901</v>
      </c>
      <c r="O2062">
        <v>1186.02692289586</v>
      </c>
      <c r="P2062">
        <v>937.168597578039</v>
      </c>
      <c r="Q2062">
        <v>1105.2332038213599</v>
      </c>
      <c r="R2062">
        <v>1246.6109093631701</v>
      </c>
      <c r="S2062">
        <v>1206.2366555030401</v>
      </c>
      <c r="T2062">
        <v>898.25912425392801</v>
      </c>
      <c r="U2062">
        <v>910.034117001352</v>
      </c>
      <c r="V2062">
        <v>994.60369949147901</v>
      </c>
      <c r="W2062">
        <v>945.777449565398</v>
      </c>
    </row>
    <row r="2063" spans="1:23" x14ac:dyDescent="0.2">
      <c r="A2063" t="s">
        <v>4133</v>
      </c>
      <c r="B2063" s="3" t="str">
        <f>HYPERLINK("http://www.ncbi.nlm.nih.gov/gene/12491","Cd36")</f>
        <v>Cd36</v>
      </c>
      <c r="C2063">
        <v>12491</v>
      </c>
      <c r="D2063" t="s">
        <v>4134</v>
      </c>
      <c r="E2063" s="3" t="str">
        <f>HYPERLINK("http://genome.ucsc.edu/cgi-bin/hgTracks?db=mm10&amp;lastVirtModeType=default&amp;lastVirtModeExtraState=&amp;virtModeType=default&amp;virtMode=0&amp;nonVirtPosition=&amp;position=chr5:17781689-17835896","chr5:17781689-17835896")</f>
        <v>chr5:17781689-17835896</v>
      </c>
      <c r="F2063" t="s">
        <v>25</v>
      </c>
      <c r="G2063">
        <v>1.05156502465018</v>
      </c>
      <c r="H2063">
        <v>0.32397620613994799</v>
      </c>
      <c r="I2063">
        <v>3.2458094289675401</v>
      </c>
      <c r="J2063">
        <v>1.1711721056535201E-3</v>
      </c>
      <c r="K2063">
        <v>7.5998133567788699E-3</v>
      </c>
      <c r="L2063" t="s">
        <v>26</v>
      </c>
      <c r="M2063" t="s">
        <v>27</v>
      </c>
      <c r="N2063">
        <v>53.965865953761401</v>
      </c>
      <c r="O2063">
        <v>28.8806315816888</v>
      </c>
      <c r="P2063">
        <v>72.779791732815895</v>
      </c>
      <c r="Q2063">
        <v>47.327366410486597</v>
      </c>
      <c r="R2063">
        <v>22.755294968600701</v>
      </c>
      <c r="S2063">
        <v>16.5592333659791</v>
      </c>
      <c r="T2063">
        <v>96.242049027206505</v>
      </c>
      <c r="U2063">
        <v>32.118851188283003</v>
      </c>
      <c r="V2063">
        <v>81.657552251149596</v>
      </c>
      <c r="W2063">
        <v>81.100714464624303</v>
      </c>
    </row>
    <row r="2064" spans="1:23" x14ac:dyDescent="0.2">
      <c r="A2064" t="s">
        <v>4135</v>
      </c>
      <c r="B2064" s="3" t="str">
        <f>HYPERLINK("http://www.ncbi.nlm.nih.gov/gene/16848","Lfng")</f>
        <v>Lfng</v>
      </c>
      <c r="C2064">
        <v>16848</v>
      </c>
      <c r="D2064" t="s">
        <v>4136</v>
      </c>
      <c r="E2064" s="3" t="str">
        <f>HYPERLINK("http://genome.ucsc.edu/cgi-bin/hgTracks?db=mm10&amp;lastVirtModeType=default&amp;lastVirtModeExtraState=&amp;virtModeType=default&amp;virtMode=0&amp;nonVirtPosition=&amp;position=chr5:140607340-140615545","chr5:140607340-140615545")</f>
        <v>chr5:140607340-140615545</v>
      </c>
      <c r="F2064" t="s">
        <v>30</v>
      </c>
      <c r="G2064">
        <v>-0.751777656286439</v>
      </c>
      <c r="H2064">
        <v>0.23161853803473501</v>
      </c>
      <c r="I2064">
        <v>-3.24575771294134</v>
      </c>
      <c r="J2064">
        <v>1.17138486807494E-3</v>
      </c>
      <c r="K2064">
        <v>7.5998133567788699E-3</v>
      </c>
      <c r="L2064" t="s">
        <v>26</v>
      </c>
      <c r="M2064" t="s">
        <v>27</v>
      </c>
      <c r="N2064">
        <v>56.041242133363298</v>
      </c>
      <c r="O2064">
        <v>74.893353800990894</v>
      </c>
      <c r="P2064">
        <v>41.902158382642703</v>
      </c>
      <c r="Q2064">
        <v>68.485483158704199</v>
      </c>
      <c r="R2064">
        <v>81.160552054675705</v>
      </c>
      <c r="S2064">
        <v>75.034026189592893</v>
      </c>
      <c r="T2064">
        <v>41.246592440231403</v>
      </c>
      <c r="U2064">
        <v>34.260107934168602</v>
      </c>
      <c r="V2064">
        <v>36.047027570327302</v>
      </c>
      <c r="W2064">
        <v>56.054905585843301</v>
      </c>
    </row>
    <row r="2065" spans="1:23" x14ac:dyDescent="0.2">
      <c r="A2065" t="s">
        <v>4137</v>
      </c>
      <c r="B2065" s="3" t="str">
        <f>HYPERLINK("http://www.ncbi.nlm.nih.gov/gene/21687","Tek")</f>
        <v>Tek</v>
      </c>
      <c r="C2065">
        <v>21687</v>
      </c>
      <c r="D2065" t="s">
        <v>4138</v>
      </c>
      <c r="E2065" s="3" t="str">
        <f>HYPERLINK("http://genome.ucsc.edu/cgi-bin/hgTracks?db=mm10&amp;lastVirtModeType=default&amp;lastVirtModeExtraState=&amp;virtModeType=default&amp;virtMode=0&amp;nonVirtPosition=&amp;position=chr4:94739288-94874976","chr4:94739288-94874976")</f>
        <v>chr4:94739288-94874976</v>
      </c>
      <c r="F2065" t="s">
        <v>30</v>
      </c>
      <c r="G2065">
        <v>-1.03676785627024</v>
      </c>
      <c r="H2065">
        <v>0.31945965164352602</v>
      </c>
      <c r="I2065">
        <v>-3.2453796619897899</v>
      </c>
      <c r="J2065">
        <v>1.17294127456275E-3</v>
      </c>
      <c r="K2065">
        <v>7.6062259601306602E-3</v>
      </c>
      <c r="L2065" t="s">
        <v>26</v>
      </c>
      <c r="M2065" t="s">
        <v>27</v>
      </c>
      <c r="N2065">
        <v>32.906824106376298</v>
      </c>
      <c r="O2065">
        <v>49.657485724319002</v>
      </c>
      <c r="P2065">
        <v>20.3438278929193</v>
      </c>
      <c r="Q2065">
        <v>75.723786256778595</v>
      </c>
      <c r="R2065">
        <v>43.2350604403413</v>
      </c>
      <c r="S2065">
        <v>30.013610475837201</v>
      </c>
      <c r="T2065">
        <v>22.914773577906299</v>
      </c>
      <c r="U2065">
        <v>17.130053967084301</v>
      </c>
      <c r="V2065">
        <v>19.8626478448742</v>
      </c>
      <c r="W2065">
        <v>21.467836181812299</v>
      </c>
    </row>
    <row r="2066" spans="1:23" x14ac:dyDescent="0.2">
      <c r="A2066" t="s">
        <v>4139</v>
      </c>
      <c r="B2066" s="3" t="str">
        <f>HYPERLINK("http://www.ncbi.nlm.nih.gov/gene/11983","Atpif1")</f>
        <v>Atpif1</v>
      </c>
      <c r="C2066">
        <v>11983</v>
      </c>
      <c r="D2066" t="s">
        <v>4140</v>
      </c>
      <c r="E2066" s="3" t="str">
        <f>HYPERLINK("http://genome.ucsc.edu/cgi-bin/hgTracks?db=mm10&amp;lastVirtModeType=default&amp;lastVirtModeExtraState=&amp;virtModeType=default&amp;virtMode=0&amp;nonVirtPosition=&amp;position=chr4:132530554-132535414","chr4:132530554-132535414")</f>
        <v>chr4:132530554-132535414</v>
      </c>
      <c r="F2066" t="s">
        <v>25</v>
      </c>
      <c r="G2066">
        <v>-0.41730766284373799</v>
      </c>
      <c r="H2066">
        <v>0.128596344006528</v>
      </c>
      <c r="I2066">
        <v>-3.24509740978759</v>
      </c>
      <c r="J2066">
        <v>1.17410453072235E-3</v>
      </c>
      <c r="K2066">
        <v>7.6100841098272198E-3</v>
      </c>
      <c r="L2066" t="s">
        <v>26</v>
      </c>
      <c r="M2066" t="s">
        <v>27</v>
      </c>
      <c r="N2066">
        <v>390.30558769655698</v>
      </c>
      <c r="O2066">
        <v>457.85904157866997</v>
      </c>
      <c r="P2066">
        <v>339.64049728497201</v>
      </c>
      <c r="Q2066">
        <v>425.38950514837398</v>
      </c>
      <c r="R2066">
        <v>519.199980200239</v>
      </c>
      <c r="S2066">
        <v>428.987639387397</v>
      </c>
      <c r="T2066">
        <v>320.80683009068798</v>
      </c>
      <c r="U2066">
        <v>370.43741703819802</v>
      </c>
      <c r="V2066">
        <v>346.49285684947199</v>
      </c>
      <c r="W2066">
        <v>320.82488516152898</v>
      </c>
    </row>
    <row r="2067" spans="1:23" x14ac:dyDescent="0.2">
      <c r="A2067" t="s">
        <v>4141</v>
      </c>
      <c r="B2067" s="3" t="str">
        <f>HYPERLINK("http://www.ncbi.nlm.nih.gov/gene/67804","Snx2")</f>
        <v>Snx2</v>
      </c>
      <c r="C2067">
        <v>67804</v>
      </c>
      <c r="D2067" t="s">
        <v>4142</v>
      </c>
      <c r="E2067" s="3" t="str">
        <f>HYPERLINK("http://genome.ucsc.edu/cgi-bin/hgTracks?db=mm10&amp;lastVirtModeType=default&amp;lastVirtModeExtraState=&amp;virtModeType=default&amp;virtMode=0&amp;nonVirtPosition=&amp;position=chr18:53176364-53220860","chr18:53176364-53220860")</f>
        <v>chr18:53176364-53220860</v>
      </c>
      <c r="F2067" t="s">
        <v>30</v>
      </c>
      <c r="G2067">
        <v>-0.652561697580339</v>
      </c>
      <c r="H2067">
        <v>0.201109210450828</v>
      </c>
      <c r="I2067">
        <v>-3.2448125877352201</v>
      </c>
      <c r="J2067">
        <v>1.1752794586589899E-3</v>
      </c>
      <c r="K2067">
        <v>7.6140141417041802E-3</v>
      </c>
      <c r="L2067" t="s">
        <v>26</v>
      </c>
      <c r="M2067" t="s">
        <v>27</v>
      </c>
      <c r="N2067">
        <v>162.984929394582</v>
      </c>
      <c r="O2067">
        <v>213.07971725472601</v>
      </c>
      <c r="P2067">
        <v>125.413838499473</v>
      </c>
      <c r="Q2067">
        <v>194.877391102004</v>
      </c>
      <c r="R2067">
        <v>250.30824465460699</v>
      </c>
      <c r="S2067">
        <v>194.05351600756799</v>
      </c>
      <c r="T2067">
        <v>77.910230164881497</v>
      </c>
      <c r="U2067">
        <v>115.627864277819</v>
      </c>
      <c r="V2067">
        <v>137.56722766635099</v>
      </c>
      <c r="W2067">
        <v>170.550031888842</v>
      </c>
    </row>
    <row r="2068" spans="1:23" x14ac:dyDescent="0.2">
      <c r="A2068" t="s">
        <v>4143</v>
      </c>
      <c r="B2068" s="3" t="str">
        <f>HYPERLINK("http://www.ncbi.nlm.nih.gov/gene/52250","Reep1")</f>
        <v>Reep1</v>
      </c>
      <c r="C2068">
        <v>52250</v>
      </c>
      <c r="D2068" t="s">
        <v>4144</v>
      </c>
      <c r="E2068" s="3" t="str">
        <f>HYPERLINK("http://genome.ucsc.edu/cgi-bin/hgTracks?db=mm10&amp;lastVirtModeType=default&amp;lastVirtModeExtraState=&amp;virtModeType=default&amp;virtMode=0&amp;nonVirtPosition=&amp;position=chr6:71707680-71810705","chr6:71707680-71810705")</f>
        <v>chr6:71707680-71810705</v>
      </c>
      <c r="F2068" t="s">
        <v>30</v>
      </c>
      <c r="G2068">
        <v>-0.40563830826953001</v>
      </c>
      <c r="H2068">
        <v>0.12502918774602201</v>
      </c>
      <c r="I2068">
        <v>-3.24434890430163</v>
      </c>
      <c r="J2068">
        <v>1.17719453730111E-3</v>
      </c>
      <c r="K2068">
        <v>7.6227330991291697E-3</v>
      </c>
      <c r="L2068" t="s">
        <v>26</v>
      </c>
      <c r="M2068" t="s">
        <v>27</v>
      </c>
      <c r="N2068">
        <v>625.582592436764</v>
      </c>
      <c r="O2068">
        <v>736.79318428655995</v>
      </c>
      <c r="P2068">
        <v>542.17464854941795</v>
      </c>
      <c r="Q2068">
        <v>731.62540545152297</v>
      </c>
      <c r="R2068">
        <v>723.23912508535795</v>
      </c>
      <c r="S2068">
        <v>755.51502232279802</v>
      </c>
      <c r="T2068">
        <v>449.129562126964</v>
      </c>
      <c r="U2068">
        <v>524.60790274195597</v>
      </c>
      <c r="V2068">
        <v>635.60473103597496</v>
      </c>
      <c r="W2068">
        <v>559.35639829277602</v>
      </c>
    </row>
    <row r="2069" spans="1:23" x14ac:dyDescent="0.2">
      <c r="A2069" t="s">
        <v>4145</v>
      </c>
      <c r="B2069" s="3" t="str">
        <f>HYPERLINK("http://www.ncbi.nlm.nih.gov/gene/12778","Ackr3")</f>
        <v>Ackr3</v>
      </c>
      <c r="C2069">
        <v>12778</v>
      </c>
      <c r="D2069" t="s">
        <v>4146</v>
      </c>
      <c r="E2069" s="3" t="str">
        <f>HYPERLINK("http://genome.ucsc.edu/cgi-bin/hgTracks?db=mm10&amp;lastVirtModeType=default&amp;lastVirtModeExtraState=&amp;virtModeType=default&amp;virtMode=0&amp;nonVirtPosition=&amp;position=chr1:90203979-90215722","chr1:90203979-90215722")</f>
        <v>chr1:90203979-90215722</v>
      </c>
      <c r="F2069" t="s">
        <v>30</v>
      </c>
      <c r="G2069">
        <v>-1.1068479737633701</v>
      </c>
      <c r="H2069">
        <v>0.34119367260238798</v>
      </c>
      <c r="I2069">
        <v>-3.24404601445598</v>
      </c>
      <c r="J2069">
        <v>1.17844707205318E-3</v>
      </c>
      <c r="K2069">
        <v>7.6271555059758802E-3</v>
      </c>
      <c r="L2069" t="s">
        <v>26</v>
      </c>
      <c r="M2069" t="s">
        <v>27</v>
      </c>
      <c r="N2069">
        <v>37.108109371419701</v>
      </c>
      <c r="O2069">
        <v>59.290405405011697</v>
      </c>
      <c r="P2069">
        <v>20.471387346225601</v>
      </c>
      <c r="Q2069">
        <v>102.449828465053</v>
      </c>
      <c r="R2069">
        <v>44.372825188771301</v>
      </c>
      <c r="S2069">
        <v>31.0485625612109</v>
      </c>
      <c r="T2069">
        <v>13.7488641467438</v>
      </c>
      <c r="U2069">
        <v>19.2713107129698</v>
      </c>
      <c r="V2069">
        <v>25.012223212063802</v>
      </c>
      <c r="W2069">
        <v>23.853151313124801</v>
      </c>
    </row>
    <row r="2070" spans="1:23" x14ac:dyDescent="0.2">
      <c r="A2070" t="s">
        <v>4147</v>
      </c>
      <c r="B2070" s="3" t="str">
        <f>HYPERLINK("http://www.ncbi.nlm.nih.gov/gene/72162","Dhx36")</f>
        <v>Dhx36</v>
      </c>
      <c r="C2070">
        <v>72162</v>
      </c>
      <c r="D2070" t="s">
        <v>4148</v>
      </c>
      <c r="E2070" s="3" t="str">
        <f>HYPERLINK("http://genome.ucsc.edu/cgi-bin/hgTracks?db=mm10&amp;lastVirtModeType=default&amp;lastVirtModeExtraState=&amp;virtModeType=default&amp;virtMode=0&amp;nonVirtPosition=&amp;position=chr3:62468641-62506988","chr3:62468641-62506988")</f>
        <v>chr3:62468641-62506988</v>
      </c>
      <c r="F2070" t="s">
        <v>25</v>
      </c>
      <c r="G2070">
        <v>-0.35608806915048502</v>
      </c>
      <c r="H2070">
        <v>0.109775034728677</v>
      </c>
      <c r="I2070">
        <v>-3.2437982828299901</v>
      </c>
      <c r="J2070">
        <v>1.1794724273929099E-3</v>
      </c>
      <c r="K2070">
        <v>7.6301039976900999E-3</v>
      </c>
      <c r="L2070" t="s">
        <v>26</v>
      </c>
      <c r="M2070" t="s">
        <v>27</v>
      </c>
      <c r="N2070">
        <v>779.10623147740898</v>
      </c>
      <c r="O2070">
        <v>891.76256800151202</v>
      </c>
      <c r="P2070">
        <v>694.61397908433105</v>
      </c>
      <c r="Q2070">
        <v>853.56297302677604</v>
      </c>
      <c r="R2070">
        <v>916.659132318464</v>
      </c>
      <c r="S2070">
        <v>905.06559865929705</v>
      </c>
      <c r="T2070">
        <v>664.52843375928296</v>
      </c>
      <c r="U2070">
        <v>794.40625272353395</v>
      </c>
      <c r="V2070">
        <v>663.55956874357605</v>
      </c>
      <c r="W2070">
        <v>655.96166111093203</v>
      </c>
    </row>
    <row r="2071" spans="1:23" x14ac:dyDescent="0.2">
      <c r="A2071" t="s">
        <v>4149</v>
      </c>
      <c r="B2071" s="3" t="str">
        <f>HYPERLINK("http://www.ncbi.nlm.nih.gov/gene/54451","Cpsf3")</f>
        <v>Cpsf3</v>
      </c>
      <c r="C2071">
        <v>54451</v>
      </c>
      <c r="D2071" t="s">
        <v>4150</v>
      </c>
      <c r="E2071" s="3" t="str">
        <f>HYPERLINK("http://genome.ucsc.edu/cgi-bin/hgTracks?db=mm10&amp;lastVirtModeType=default&amp;lastVirtModeExtraState=&amp;virtModeType=default&amp;virtMode=0&amp;nonVirtPosition=&amp;position=chr12:21286296-21315056","chr12:21286296-21315056")</f>
        <v>chr12:21286296-21315056</v>
      </c>
      <c r="F2071" t="s">
        <v>30</v>
      </c>
      <c r="G2071">
        <v>-0.38647245078440401</v>
      </c>
      <c r="H2071">
        <v>0.11914943294653001</v>
      </c>
      <c r="I2071">
        <v>-3.2435945453289601</v>
      </c>
      <c r="J2071">
        <v>1.18031630978166E-3</v>
      </c>
      <c r="K2071">
        <v>7.6318762454303402E-3</v>
      </c>
      <c r="L2071" t="s">
        <v>26</v>
      </c>
      <c r="M2071" t="s">
        <v>27</v>
      </c>
      <c r="N2071">
        <v>314.756186710603</v>
      </c>
      <c r="O2071">
        <v>360.93787662536403</v>
      </c>
      <c r="P2071">
        <v>280.11991927453198</v>
      </c>
      <c r="Q2071">
        <v>373.60779836984102</v>
      </c>
      <c r="R2071">
        <v>365.601739162184</v>
      </c>
      <c r="S2071">
        <v>343.604092344067</v>
      </c>
      <c r="T2071">
        <v>316.22387537510701</v>
      </c>
      <c r="U2071">
        <v>276.222120219234</v>
      </c>
      <c r="V2071">
        <v>259.685729231133</v>
      </c>
      <c r="W2071">
        <v>268.34795227265403</v>
      </c>
    </row>
    <row r="2072" spans="1:23" x14ac:dyDescent="0.2">
      <c r="A2072" t="s">
        <v>4151</v>
      </c>
      <c r="B2072" s="3" t="str">
        <f>HYPERLINK("http://www.ncbi.nlm.nih.gov/gene/68523","Fam96b")</f>
        <v>Fam96b</v>
      </c>
      <c r="C2072">
        <v>68523</v>
      </c>
      <c r="D2072" t="s">
        <v>4152</v>
      </c>
      <c r="E2072" s="3" t="str">
        <f>HYPERLINK("http://genome.ucsc.edu/cgi-bin/hgTracks?db=mm10&amp;lastVirtModeType=default&amp;lastVirtModeExtraState=&amp;virtModeType=default&amp;virtMode=0&amp;nonVirtPosition=&amp;position=chr8:104639838-104641728","chr8:104639838-104641728")</f>
        <v>chr8:104639838-104641728</v>
      </c>
      <c r="F2072" t="s">
        <v>25</v>
      </c>
      <c r="G2072">
        <v>-0.76721597418246301</v>
      </c>
      <c r="H2072">
        <v>0.236590682598779</v>
      </c>
      <c r="I2072">
        <v>-3.2427987685531199</v>
      </c>
      <c r="J2072">
        <v>1.18361777156437E-3</v>
      </c>
      <c r="K2072">
        <v>7.6473345795842196E-3</v>
      </c>
      <c r="L2072" t="s">
        <v>26</v>
      </c>
      <c r="M2072" t="s">
        <v>27</v>
      </c>
      <c r="N2072">
        <v>43.090843585863396</v>
      </c>
      <c r="O2072">
        <v>58.770845722791996</v>
      </c>
      <c r="P2072">
        <v>31.330841983167002</v>
      </c>
      <c r="Q2072">
        <v>55.122462054566803</v>
      </c>
      <c r="R2072">
        <v>62.197806247508503</v>
      </c>
      <c r="S2072">
        <v>58.992268866300599</v>
      </c>
      <c r="T2072">
        <v>22.914773577906299</v>
      </c>
      <c r="U2072">
        <v>34.260107934168602</v>
      </c>
      <c r="V2072">
        <v>32.368759450906097</v>
      </c>
      <c r="W2072">
        <v>35.779726969687196</v>
      </c>
    </row>
    <row r="2073" spans="1:23" x14ac:dyDescent="0.2">
      <c r="A2073" t="s">
        <v>4153</v>
      </c>
      <c r="B2073" s="3" t="str">
        <f>HYPERLINK("http://www.ncbi.nlm.nih.gov/gene/68304","Kdelc2")</f>
        <v>Kdelc2</v>
      </c>
      <c r="C2073">
        <v>68304</v>
      </c>
      <c r="D2073" t="s">
        <v>4154</v>
      </c>
      <c r="E2073" s="3" t="str">
        <f>HYPERLINK("http://genome.ucsc.edu/cgi-bin/hgTracks?db=mm10&amp;lastVirtModeType=default&amp;lastVirtModeExtraState=&amp;virtModeType=default&amp;virtMode=0&amp;nonVirtPosition=&amp;position=chr9:53384022-53401867","chr9:53384022-53401867")</f>
        <v>chr9:53384022-53401867</v>
      </c>
      <c r="F2073" t="s">
        <v>30</v>
      </c>
      <c r="G2073">
        <v>-0.69095160368658604</v>
      </c>
      <c r="H2073">
        <v>0.213076272204828</v>
      </c>
      <c r="I2073">
        <v>-3.24274306349034</v>
      </c>
      <c r="J2073">
        <v>1.1838491959882101E-3</v>
      </c>
      <c r="K2073">
        <v>7.6473345795842196E-3</v>
      </c>
      <c r="L2073" t="s">
        <v>26</v>
      </c>
      <c r="M2073" t="s">
        <v>27</v>
      </c>
      <c r="N2073">
        <v>57.462741346187897</v>
      </c>
      <c r="O2073">
        <v>76.005062198964694</v>
      </c>
      <c r="P2073">
        <v>43.556000706605303</v>
      </c>
      <c r="Q2073">
        <v>74.610201164767105</v>
      </c>
      <c r="R2073">
        <v>73.196198815665497</v>
      </c>
      <c r="S2073">
        <v>80.208786616461396</v>
      </c>
      <c r="T2073">
        <v>32.0806830090688</v>
      </c>
      <c r="U2073">
        <v>51.390161901252803</v>
      </c>
      <c r="V2073">
        <v>47.817485552474999</v>
      </c>
      <c r="W2073">
        <v>42.935672363624597</v>
      </c>
    </row>
    <row r="2074" spans="1:23" x14ac:dyDescent="0.2">
      <c r="A2074" t="s">
        <v>4155</v>
      </c>
      <c r="B2074" s="3" t="str">
        <f>HYPERLINK("http://www.ncbi.nlm.nih.gov/gene/16401","Itga4")</f>
        <v>Itga4</v>
      </c>
      <c r="C2074">
        <v>16401</v>
      </c>
      <c r="D2074" t="s">
        <v>4156</v>
      </c>
      <c r="E2074" s="3" t="str">
        <f>HYPERLINK("http://genome.ucsc.edu/cgi-bin/hgTracks?db=mm10&amp;lastVirtModeType=default&amp;lastVirtModeExtraState=&amp;virtModeType=default&amp;virtMode=0&amp;nonVirtPosition=&amp;position=chr2:79255425-79333114","chr2:79255425-79333114")</f>
        <v>chr2:79255425-79333114</v>
      </c>
      <c r="F2074" t="s">
        <v>30</v>
      </c>
      <c r="G2074">
        <v>0.61811032937396204</v>
      </c>
      <c r="H2074">
        <v>0.19065874940786701</v>
      </c>
      <c r="I2074">
        <v>3.2419720117416202</v>
      </c>
      <c r="J2074">
        <v>1.1870567965606401E-3</v>
      </c>
      <c r="K2074">
        <v>7.6643575519496597E-3</v>
      </c>
      <c r="L2074" t="s">
        <v>26</v>
      </c>
      <c r="M2074" t="s">
        <v>27</v>
      </c>
      <c r="N2074">
        <v>243.65727823845199</v>
      </c>
      <c r="O2074">
        <v>182.18879055877699</v>
      </c>
      <c r="P2074">
        <v>289.75864399820802</v>
      </c>
      <c r="Q2074">
        <v>207.12682711413001</v>
      </c>
      <c r="R2074">
        <v>156.25302545105799</v>
      </c>
      <c r="S2074">
        <v>183.18651911114401</v>
      </c>
      <c r="T2074">
        <v>362.05342253091999</v>
      </c>
      <c r="U2074">
        <v>222.690701572096</v>
      </c>
      <c r="V2074">
        <v>346.49285684947199</v>
      </c>
      <c r="W2074">
        <v>227.797595040342</v>
      </c>
    </row>
    <row r="2075" spans="1:23" x14ac:dyDescent="0.2">
      <c r="A2075" t="s">
        <v>4157</v>
      </c>
      <c r="B2075" s="3" t="str">
        <f>HYPERLINK("http://www.ncbi.nlm.nih.gov/gene/12950","Hapln1")</f>
        <v>Hapln1</v>
      </c>
      <c r="C2075">
        <v>12950</v>
      </c>
      <c r="D2075" t="s">
        <v>4158</v>
      </c>
      <c r="E2075" s="3" t="str">
        <f>HYPERLINK("http://genome.ucsc.edu/cgi-bin/hgTracks?db=mm10&amp;lastVirtModeType=default&amp;lastVirtModeExtraState=&amp;virtModeType=default&amp;virtMode=0&amp;nonVirtPosition=&amp;position=chr13:89540635-89611832","chr13:89540635-89611832")</f>
        <v>chr13:89540635-89611832</v>
      </c>
      <c r="F2075" t="s">
        <v>30</v>
      </c>
      <c r="G2075">
        <v>1.24957003600128</v>
      </c>
      <c r="H2075">
        <v>0.38546577663818798</v>
      </c>
      <c r="I2075">
        <v>3.2417146001891801</v>
      </c>
      <c r="J2075">
        <v>1.18812942362401E-3</v>
      </c>
      <c r="K2075">
        <v>7.6653466330126596E-3</v>
      </c>
      <c r="L2075" t="s">
        <v>26</v>
      </c>
      <c r="M2075" t="s">
        <v>27</v>
      </c>
      <c r="N2075">
        <v>18.2381396836984</v>
      </c>
      <c r="O2075">
        <v>7.0466115453571803</v>
      </c>
      <c r="P2075">
        <v>26.631785787454302</v>
      </c>
      <c r="Q2075">
        <v>7.79509564408015</v>
      </c>
      <c r="R2075">
        <v>10.2398827358703</v>
      </c>
      <c r="S2075">
        <v>3.10485625612109</v>
      </c>
      <c r="T2075">
        <v>9.1659094311625307</v>
      </c>
      <c r="U2075">
        <v>17.130053967084301</v>
      </c>
      <c r="V2075">
        <v>20.5983014687584</v>
      </c>
      <c r="W2075">
        <v>59.632878282812001</v>
      </c>
    </row>
    <row r="2076" spans="1:23" x14ac:dyDescent="0.2">
      <c r="A2076" t="s">
        <v>4159</v>
      </c>
      <c r="B2076" s="3" t="str">
        <f>HYPERLINK("http://www.ncbi.nlm.nih.gov/gene/75734","Mff")</f>
        <v>Mff</v>
      </c>
      <c r="C2076">
        <v>75734</v>
      </c>
      <c r="D2076" t="s">
        <v>4160</v>
      </c>
      <c r="E2076" s="3" t="str">
        <f>HYPERLINK("http://genome.ucsc.edu/cgi-bin/hgTracks?db=mm10&amp;lastVirtModeType=default&amp;lastVirtModeExtraState=&amp;virtModeType=default&amp;virtMode=0&amp;nonVirtPosition=&amp;position=chr1:82724889-82752389","chr1:82724889-82752389")</f>
        <v>chr1:82724889-82752389</v>
      </c>
      <c r="F2076" t="s">
        <v>30</v>
      </c>
      <c r="G2076">
        <v>-0.42668813358441599</v>
      </c>
      <c r="H2076">
        <v>0.13162640853636301</v>
      </c>
      <c r="I2076">
        <v>-3.2416605324799899</v>
      </c>
      <c r="J2076">
        <v>1.1883548360939601E-3</v>
      </c>
      <c r="K2076">
        <v>7.6653466330126596E-3</v>
      </c>
      <c r="L2076" t="s">
        <v>26</v>
      </c>
      <c r="M2076" t="s">
        <v>27</v>
      </c>
      <c r="N2076">
        <v>507.87712479458901</v>
      </c>
      <c r="O2076">
        <v>599.74104408790402</v>
      </c>
      <c r="P2076">
        <v>438.97918532460199</v>
      </c>
      <c r="Q2076">
        <v>688.75237940908198</v>
      </c>
      <c r="R2076">
        <v>572.29566846030696</v>
      </c>
      <c r="S2076">
        <v>538.17508439432197</v>
      </c>
      <c r="T2076">
        <v>426.21478854905803</v>
      </c>
      <c r="U2076">
        <v>396.13249798882401</v>
      </c>
      <c r="V2076">
        <v>470.81831928590702</v>
      </c>
      <c r="W2076">
        <v>462.75113547462098</v>
      </c>
    </row>
    <row r="2077" spans="1:23" x14ac:dyDescent="0.2">
      <c r="A2077" t="s">
        <v>4161</v>
      </c>
      <c r="B2077" s="3" t="str">
        <f>HYPERLINK("http://www.ncbi.nlm.nih.gov/gene/382423","Atxn7l3b")</f>
        <v>Atxn7l3b</v>
      </c>
      <c r="C2077">
        <v>382423</v>
      </c>
      <c r="D2077" t="s">
        <v>4162</v>
      </c>
      <c r="E2077" s="3" t="str">
        <f>HYPERLINK("http://genome.ucsc.edu/cgi-bin/hgTracks?db=mm10&amp;lastVirtModeType=default&amp;lastVirtModeExtraState=&amp;virtModeType=default&amp;virtMode=0&amp;nonVirtPosition=&amp;position=chr10:112925427-112929026","chr10:112925427-112929026")</f>
        <v>chr10:112925427-112929026</v>
      </c>
      <c r="F2077" t="s">
        <v>25</v>
      </c>
      <c r="G2077">
        <v>-0.38221225003244702</v>
      </c>
      <c r="H2077">
        <v>0.11791791171631601</v>
      </c>
      <c r="I2077">
        <v>-3.2413417475706798</v>
      </c>
      <c r="J2077">
        <v>1.18968467854465E-3</v>
      </c>
      <c r="K2077">
        <v>7.6702299135249803E-3</v>
      </c>
      <c r="L2077" t="s">
        <v>26</v>
      </c>
      <c r="M2077" t="s">
        <v>27</v>
      </c>
      <c r="N2077">
        <v>1062.64853256691</v>
      </c>
      <c r="O2077">
        <v>1228.0412500196601</v>
      </c>
      <c r="P2077">
        <v>938.60399447734096</v>
      </c>
      <c r="Q2077">
        <v>1391.4245724683101</v>
      </c>
      <c r="R2077">
        <v>1085.4275700022499</v>
      </c>
      <c r="S2077">
        <v>1207.27160758842</v>
      </c>
      <c r="T2077">
        <v>971.58639970322804</v>
      </c>
      <c r="U2077">
        <v>940.01171144374996</v>
      </c>
      <c r="V2077">
        <v>898.23307476264495</v>
      </c>
      <c r="W2077">
        <v>944.58479199974204</v>
      </c>
    </row>
    <row r="2078" spans="1:23" x14ac:dyDescent="0.2">
      <c r="A2078" t="s">
        <v>4163</v>
      </c>
      <c r="B2078" s="3" t="str">
        <f>HYPERLINK("http://www.ncbi.nlm.nih.gov/gene/56494","Gosr2")</f>
        <v>Gosr2</v>
      </c>
      <c r="C2078">
        <v>56494</v>
      </c>
      <c r="D2078" t="s">
        <v>4164</v>
      </c>
      <c r="E2078" s="3" t="str">
        <f>HYPERLINK("http://genome.ucsc.edu/cgi-bin/hgTracks?db=mm10&amp;lastVirtModeType=default&amp;lastVirtModeExtraState=&amp;virtModeType=default&amp;virtMode=0&amp;nonVirtPosition=&amp;position=chr11:103676848-103697710","chr11:103676848-103697710")</f>
        <v>chr11:103676848-103697710</v>
      </c>
      <c r="F2078" t="s">
        <v>25</v>
      </c>
      <c r="G2078">
        <v>-0.43318271164891298</v>
      </c>
      <c r="H2078">
        <v>0.133656843436186</v>
      </c>
      <c r="I2078">
        <v>-3.2410065995291499</v>
      </c>
      <c r="J2078">
        <v>1.1910842639159601E-3</v>
      </c>
      <c r="K2078">
        <v>7.6755579297876101E-3</v>
      </c>
      <c r="L2078" t="s">
        <v>26</v>
      </c>
      <c r="M2078" t="s">
        <v>27</v>
      </c>
      <c r="N2078">
        <v>391.16067883495901</v>
      </c>
      <c r="O2078">
        <v>464.65120181003903</v>
      </c>
      <c r="P2078">
        <v>336.04278660364798</v>
      </c>
      <c r="Q2078">
        <v>511.69234977926101</v>
      </c>
      <c r="R2078">
        <v>461.55323294645001</v>
      </c>
      <c r="S2078">
        <v>420.70802270440697</v>
      </c>
      <c r="T2078">
        <v>297.89205651278201</v>
      </c>
      <c r="U2078">
        <v>344.742336087571</v>
      </c>
      <c r="V2078">
        <v>385.48249891533698</v>
      </c>
      <c r="W2078">
        <v>316.05425489890399</v>
      </c>
    </row>
    <row r="2079" spans="1:23" x14ac:dyDescent="0.2">
      <c r="A2079" t="s">
        <v>4165</v>
      </c>
      <c r="B2079" s="3" t="str">
        <f>HYPERLINK("http://www.ncbi.nlm.nih.gov/gene/12831","Col5a1")</f>
        <v>Col5a1</v>
      </c>
      <c r="C2079">
        <v>12831</v>
      </c>
      <c r="D2079" t="s">
        <v>4166</v>
      </c>
      <c r="E2079" s="3" t="str">
        <f>HYPERLINK("http://genome.ucsc.edu/cgi-bin/hgTracks?db=mm10&amp;lastVirtModeType=default&amp;lastVirtModeExtraState=&amp;virtModeType=default&amp;virtMode=0&amp;nonVirtPosition=&amp;position=chr2:27886424-28039510","chr2:27886424-28039510")</f>
        <v>chr2:27886424-28039510</v>
      </c>
      <c r="F2079" t="s">
        <v>30</v>
      </c>
      <c r="G2079">
        <v>0.62564296208779901</v>
      </c>
      <c r="H2079">
        <v>0.193050610487776</v>
      </c>
      <c r="I2079">
        <v>3.2408235358956001</v>
      </c>
      <c r="J2079">
        <v>1.1918493837889501E-3</v>
      </c>
      <c r="K2079">
        <v>7.6767941790850296E-3</v>
      </c>
      <c r="L2079" t="s">
        <v>26</v>
      </c>
      <c r="M2079" t="s">
        <v>27</v>
      </c>
      <c r="N2079">
        <v>604.04879521637201</v>
      </c>
      <c r="O2079">
        <v>454.61431593797101</v>
      </c>
      <c r="P2079">
        <v>716.12465467517302</v>
      </c>
      <c r="Q2079">
        <v>478.84158956492303</v>
      </c>
      <c r="R2079">
        <v>321.98742380570002</v>
      </c>
      <c r="S2079">
        <v>563.01393444329005</v>
      </c>
      <c r="T2079">
        <v>554.53752058533303</v>
      </c>
      <c r="U2079">
        <v>781.55871224821999</v>
      </c>
      <c r="V2079">
        <v>853.35820370570696</v>
      </c>
      <c r="W2079">
        <v>675.04418216143199</v>
      </c>
    </row>
    <row r="2080" spans="1:23" x14ac:dyDescent="0.2">
      <c r="A2080" t="s">
        <v>4167</v>
      </c>
      <c r="B2080" s="3" t="str">
        <f>HYPERLINK("http://www.ncbi.nlm.nih.gov/gene/27224","Tceb3")</f>
        <v>Tceb3</v>
      </c>
      <c r="C2080">
        <v>27224</v>
      </c>
      <c r="D2080" t="s">
        <v>4168</v>
      </c>
      <c r="E2080" s="3" t="str">
        <f>HYPERLINK("http://genome.ucsc.edu/cgi-bin/hgTracks?db=mm10&amp;lastVirtModeType=default&amp;lastVirtModeExtraState=&amp;virtModeType=default&amp;virtMode=0&amp;nonVirtPosition=&amp;position=chr4:136003369-136021649","chr4:136003369-136021649")</f>
        <v>chr4:136003369-136021649</v>
      </c>
      <c r="F2080" t="s">
        <v>25</v>
      </c>
      <c r="G2080">
        <v>-0.381019493424475</v>
      </c>
      <c r="H2080">
        <v>0.117582447359946</v>
      </c>
      <c r="I2080">
        <v>-3.2404453383938199</v>
      </c>
      <c r="J2080">
        <v>1.19343150973332E-3</v>
      </c>
      <c r="K2080">
        <v>7.6832891090571603E-3</v>
      </c>
      <c r="L2080" t="s">
        <v>26</v>
      </c>
      <c r="M2080" t="s">
        <v>27</v>
      </c>
      <c r="N2080">
        <v>397.19066256133402</v>
      </c>
      <c r="O2080">
        <v>460.50648707124299</v>
      </c>
      <c r="P2080">
        <v>349.703794178902</v>
      </c>
      <c r="Q2080">
        <v>419.821579688317</v>
      </c>
      <c r="R2080">
        <v>483.55001808276398</v>
      </c>
      <c r="S2080">
        <v>478.14786344264701</v>
      </c>
      <c r="T2080">
        <v>343.72160366859498</v>
      </c>
      <c r="U2080">
        <v>340.45982259580001</v>
      </c>
      <c r="V2080">
        <v>375.91900180484203</v>
      </c>
      <c r="W2080">
        <v>338.71474864637202</v>
      </c>
    </row>
    <row r="2081" spans="1:23" x14ac:dyDescent="0.2">
      <c r="A2081" t="s">
        <v>4169</v>
      </c>
      <c r="B2081" s="3" t="str">
        <f>HYPERLINK("http://www.ncbi.nlm.nih.gov/gene/67437","Ssr3")</f>
        <v>Ssr3</v>
      </c>
      <c r="C2081">
        <v>67437</v>
      </c>
      <c r="D2081" t="s">
        <v>4170</v>
      </c>
      <c r="E2081" s="3" t="str">
        <f>HYPERLINK("http://genome.ucsc.edu/cgi-bin/hgTracks?db=mm10&amp;lastVirtModeType=default&amp;lastVirtModeExtraState=&amp;virtModeType=default&amp;virtMode=0&amp;nonVirtPosition=&amp;position=chr3:65379656-65392553","chr3:65379656-65392553")</f>
        <v>chr3:65379656-65392553</v>
      </c>
      <c r="F2081" t="s">
        <v>25</v>
      </c>
      <c r="G2081">
        <v>-0.39470819706851701</v>
      </c>
      <c r="H2081">
        <v>0.121836991872498</v>
      </c>
      <c r="I2081">
        <v>-3.2396416802671699</v>
      </c>
      <c r="J2081">
        <v>1.1967999233441901E-3</v>
      </c>
      <c r="K2081">
        <v>7.7012723563200597E-3</v>
      </c>
      <c r="L2081" t="s">
        <v>26</v>
      </c>
      <c r="M2081" t="s">
        <v>27</v>
      </c>
      <c r="N2081">
        <v>1408.1214883345101</v>
      </c>
      <c r="O2081">
        <v>1641.07160203633</v>
      </c>
      <c r="P2081">
        <v>1233.4089030581399</v>
      </c>
      <c r="Q2081">
        <v>1578.5068679262299</v>
      </c>
      <c r="R2081">
        <v>1751.3992027499701</v>
      </c>
      <c r="S2081">
        <v>1593.3087354327999</v>
      </c>
      <c r="T2081">
        <v>1145.7386788953199</v>
      </c>
      <c r="U2081">
        <v>1156.27864277819</v>
      </c>
      <c r="V2081">
        <v>1448.5019854280499</v>
      </c>
      <c r="W2081">
        <v>1183.11630513099</v>
      </c>
    </row>
    <row r="2082" spans="1:23" x14ac:dyDescent="0.2">
      <c r="A2082" t="s">
        <v>4171</v>
      </c>
      <c r="B2082" s="3" t="str">
        <f>HYPERLINK("http://www.ncbi.nlm.nih.gov/gene/100379145","Snora23")</f>
        <v>Snora23</v>
      </c>
      <c r="C2082">
        <v>100379145</v>
      </c>
      <c r="D2082" t="s">
        <v>4172</v>
      </c>
      <c r="E2082" s="3" t="str">
        <f>HYPERLINK("http://genome.ucsc.edu/cgi-bin/hgTracks?db=mm10&amp;lastVirtModeType=default&amp;lastVirtModeExtraState=&amp;virtModeType=default&amp;virtMode=0&amp;nonVirtPosition=&amp;position=chr7:110046363-110046547","chr7:110046363-110046547")</f>
        <v>chr7:110046363-110046547</v>
      </c>
      <c r="F2082" t="s">
        <v>30</v>
      </c>
      <c r="G2082">
        <v>1.2866026600159</v>
      </c>
      <c r="H2082">
        <v>0.39716498901884101</v>
      </c>
      <c r="I2082">
        <v>3.2394664574899599</v>
      </c>
      <c r="J2082">
        <v>1.1975355088825301E-3</v>
      </c>
      <c r="K2082">
        <v>7.7023045146234403E-3</v>
      </c>
      <c r="L2082" t="s">
        <v>26</v>
      </c>
      <c r="M2082" t="s">
        <v>27</v>
      </c>
      <c r="N2082">
        <v>38.886073717540299</v>
      </c>
      <c r="O2082">
        <v>5.9405123247247804</v>
      </c>
      <c r="P2082">
        <v>63.5952447621519</v>
      </c>
      <c r="Q2082">
        <v>6.6815105520687004</v>
      </c>
      <c r="R2082">
        <v>4.9303139098634796</v>
      </c>
      <c r="S2082">
        <v>6.2097125122421701</v>
      </c>
      <c r="T2082">
        <v>169.56932447650701</v>
      </c>
      <c r="U2082">
        <v>19.2713107129698</v>
      </c>
      <c r="V2082">
        <v>15.4487261015688</v>
      </c>
      <c r="W2082">
        <v>50.091617757562098</v>
      </c>
    </row>
    <row r="2083" spans="1:23" x14ac:dyDescent="0.2">
      <c r="A2083" t="s">
        <v>4173</v>
      </c>
      <c r="B2083" s="3" t="str">
        <f>HYPERLINK("http://www.ncbi.nlm.nih.gov/gene/100383","Bsdc1")</f>
        <v>Bsdc1</v>
      </c>
      <c r="C2083">
        <v>100383</v>
      </c>
      <c r="D2083" t="s">
        <v>4174</v>
      </c>
      <c r="E2083" s="3" t="str">
        <f>HYPERLINK("http://genome.ucsc.edu/cgi-bin/hgTracks?db=mm10&amp;lastVirtModeType=default&amp;lastVirtModeExtraState=&amp;virtModeType=default&amp;virtMode=0&amp;nonVirtPosition=&amp;position=chr4:129461678-129488432","chr4:129461678-129488432")</f>
        <v>chr4:129461678-129488432</v>
      </c>
      <c r="F2083" t="s">
        <v>30</v>
      </c>
      <c r="G2083">
        <v>-0.52305835008967005</v>
      </c>
      <c r="H2083">
        <v>0.161474705275993</v>
      </c>
      <c r="I2083">
        <v>-3.2392587383618801</v>
      </c>
      <c r="J2083">
        <v>1.19840805520503E-3</v>
      </c>
      <c r="K2083">
        <v>7.70421616286634E-3</v>
      </c>
      <c r="L2083" t="s">
        <v>26</v>
      </c>
      <c r="M2083" t="s">
        <v>27</v>
      </c>
      <c r="N2083">
        <v>237.392145075401</v>
      </c>
      <c r="O2083">
        <v>292.419118216676</v>
      </c>
      <c r="P2083">
        <v>196.12191521944499</v>
      </c>
      <c r="Q2083">
        <v>351.89288907561797</v>
      </c>
      <c r="R2083">
        <v>249.549734822321</v>
      </c>
      <c r="S2083">
        <v>275.81473075208999</v>
      </c>
      <c r="T2083">
        <v>160.40341504534399</v>
      </c>
      <c r="U2083">
        <v>209.84316109678201</v>
      </c>
      <c r="V2083">
        <v>206.718668311469</v>
      </c>
      <c r="W2083">
        <v>207.52241642418599</v>
      </c>
    </row>
    <row r="2084" spans="1:23" x14ac:dyDescent="0.2">
      <c r="A2084" t="s">
        <v>4175</v>
      </c>
      <c r="B2084" s="3" t="str">
        <f>HYPERLINK("http://www.ncbi.nlm.nih.gov/gene/234725","Zfp612")</f>
        <v>Zfp612</v>
      </c>
      <c r="C2084">
        <v>234725</v>
      </c>
      <c r="D2084" t="s">
        <v>4176</v>
      </c>
      <c r="E2084" s="3" t="str">
        <f>HYPERLINK("http://genome.ucsc.edu/cgi-bin/hgTracks?db=mm10&amp;lastVirtModeType=default&amp;lastVirtModeExtraState=&amp;virtModeType=default&amp;virtMode=0&amp;nonVirtPosition=&amp;position=chr8:110079733-110092752","chr8:110079733-110092752")</f>
        <v>chr8:110079733-110092752</v>
      </c>
      <c r="F2084" t="s">
        <v>30</v>
      </c>
      <c r="G2084">
        <v>0.67741392485484397</v>
      </c>
      <c r="H2084">
        <v>0.209205763841188</v>
      </c>
      <c r="I2084">
        <v>3.2380270620511298</v>
      </c>
      <c r="J2084">
        <v>1.2035939204604401E-3</v>
      </c>
      <c r="K2084">
        <v>7.7338417413079204E-3</v>
      </c>
      <c r="L2084" t="s">
        <v>26</v>
      </c>
      <c r="M2084" t="s">
        <v>27</v>
      </c>
      <c r="N2084">
        <v>110.481797813157</v>
      </c>
      <c r="O2084">
        <v>80.236939256487901</v>
      </c>
      <c r="P2084">
        <v>133.16544173066001</v>
      </c>
      <c r="Q2084">
        <v>79.621334078818705</v>
      </c>
      <c r="R2084">
        <v>87.607885629112602</v>
      </c>
      <c r="S2084">
        <v>73.481598061532395</v>
      </c>
      <c r="T2084">
        <v>132.90568675185699</v>
      </c>
      <c r="U2084">
        <v>111.345350786048</v>
      </c>
      <c r="V2084">
        <v>105.93412183932899</v>
      </c>
      <c r="W2084">
        <v>182.47660754540499</v>
      </c>
    </row>
    <row r="2085" spans="1:23" x14ac:dyDescent="0.2">
      <c r="A2085" t="s">
        <v>4177</v>
      </c>
      <c r="B2085" s="3" t="str">
        <f>HYPERLINK("http://www.ncbi.nlm.nih.gov/gene/233545","Emsy")</f>
        <v>Emsy</v>
      </c>
      <c r="C2085">
        <v>233545</v>
      </c>
      <c r="D2085" t="s">
        <v>4178</v>
      </c>
      <c r="E2085" s="3" t="str">
        <f>HYPERLINK("http://genome.ucsc.edu/cgi-bin/hgTracks?db=mm10&amp;lastVirtModeType=default&amp;lastVirtModeExtraState=&amp;virtModeType=default&amp;virtMode=0&amp;nonVirtPosition=&amp;position=chr7:98590605-98656569","chr7:98590605-98656569")</f>
        <v>chr7:98590605-98656569</v>
      </c>
      <c r="F2085" t="s">
        <v>25</v>
      </c>
      <c r="G2085">
        <v>0.41843306493939197</v>
      </c>
      <c r="H2085">
        <v>0.12923250553488499</v>
      </c>
      <c r="I2085">
        <v>3.2378314047810601</v>
      </c>
      <c r="J2085">
        <v>1.2044196238261799E-3</v>
      </c>
      <c r="K2085">
        <v>7.73543557921172E-3</v>
      </c>
      <c r="L2085" t="s">
        <v>26</v>
      </c>
      <c r="M2085" t="s">
        <v>27</v>
      </c>
      <c r="N2085">
        <v>425.53350188923901</v>
      </c>
      <c r="O2085">
        <v>354.11992478592902</v>
      </c>
      <c r="P2085">
        <v>479.09368471672099</v>
      </c>
      <c r="Q2085">
        <v>351.89288907561797</v>
      </c>
      <c r="R2085">
        <v>333.744326206143</v>
      </c>
      <c r="S2085">
        <v>376.72255907602499</v>
      </c>
      <c r="T2085">
        <v>536.20570172300802</v>
      </c>
      <c r="U2085">
        <v>389.70872775116698</v>
      </c>
      <c r="V2085">
        <v>475.23224102921301</v>
      </c>
      <c r="W2085">
        <v>515.22806836349605</v>
      </c>
    </row>
    <row r="2086" spans="1:23" x14ac:dyDescent="0.2">
      <c r="A2086" t="s">
        <v>4179</v>
      </c>
      <c r="B2086" s="3" t="str">
        <f>HYPERLINK("http://www.ncbi.nlm.nih.gov/gene/71960","Myh14")</f>
        <v>Myh14</v>
      </c>
      <c r="C2086">
        <v>71960</v>
      </c>
      <c r="D2086" t="s">
        <v>4180</v>
      </c>
      <c r="E2086" s="3" t="str">
        <f>HYPERLINK("http://genome.ucsc.edu/cgi-bin/hgTracks?db=mm10&amp;lastVirtModeType=default&amp;lastVirtModeExtraState=&amp;virtModeType=default&amp;virtMode=0&amp;nonVirtPosition=&amp;position=chr7:44605802-44665503","chr7:44605802-44665503")</f>
        <v>chr7:44605802-44665503</v>
      </c>
      <c r="F2086" t="s">
        <v>25</v>
      </c>
      <c r="G2086">
        <v>0.47410280782152903</v>
      </c>
      <c r="H2086">
        <v>0.14644110386397899</v>
      </c>
      <c r="I2086">
        <v>3.2374981839927899</v>
      </c>
      <c r="J2086">
        <v>1.20582707069114E-3</v>
      </c>
      <c r="K2086">
        <v>7.7407623699065403E-3</v>
      </c>
      <c r="L2086" t="s">
        <v>26</v>
      </c>
      <c r="M2086" t="s">
        <v>27</v>
      </c>
      <c r="N2086">
        <v>367.92481302013903</v>
      </c>
      <c r="O2086">
        <v>299.83611742518599</v>
      </c>
      <c r="P2086">
        <v>418.99133471635298</v>
      </c>
      <c r="Q2086">
        <v>361.91515490372097</v>
      </c>
      <c r="R2086">
        <v>279.89012811378802</v>
      </c>
      <c r="S2086">
        <v>257.70306925804999</v>
      </c>
      <c r="T2086">
        <v>403.30001497115097</v>
      </c>
      <c r="U2086">
        <v>393.99124124293797</v>
      </c>
      <c r="V2086">
        <v>417.11560474235898</v>
      </c>
      <c r="W2086">
        <v>461.55847790896502</v>
      </c>
    </row>
    <row r="2087" spans="1:23" x14ac:dyDescent="0.2">
      <c r="A2087" t="s">
        <v>4181</v>
      </c>
      <c r="B2087" s="3" t="str">
        <f>HYPERLINK("http://www.ncbi.nlm.nih.gov/gene/11606","Agt")</f>
        <v>Agt</v>
      </c>
      <c r="C2087">
        <v>11606</v>
      </c>
      <c r="D2087" t="s">
        <v>4182</v>
      </c>
      <c r="E2087" s="3" t="str">
        <f>HYPERLINK("http://genome.ucsc.edu/cgi-bin/hgTracks?db=mm10&amp;lastVirtModeType=default&amp;lastVirtModeExtraState=&amp;virtModeType=default&amp;virtMode=0&amp;nonVirtPosition=&amp;position=chr8:124556586-124569707","chr8:124556586-124569707")</f>
        <v>chr8:124556586-124569707</v>
      </c>
      <c r="F2087" t="s">
        <v>25</v>
      </c>
      <c r="G2087">
        <v>-1.0717176703575499</v>
      </c>
      <c r="H2087">
        <v>0.33106991923719498</v>
      </c>
      <c r="I2087">
        <v>-3.2371339348100499</v>
      </c>
      <c r="J2087">
        <v>1.20736731225983E-3</v>
      </c>
      <c r="K2087">
        <v>7.7469361180984297E-3</v>
      </c>
      <c r="L2087" t="s">
        <v>26</v>
      </c>
      <c r="M2087" t="s">
        <v>27</v>
      </c>
      <c r="N2087">
        <v>68.541608239248802</v>
      </c>
      <c r="O2087">
        <v>106.905589794793</v>
      </c>
      <c r="P2087">
        <v>39.768622072590603</v>
      </c>
      <c r="Q2087">
        <v>168.15134889372899</v>
      </c>
      <c r="R2087">
        <v>92.538199538976102</v>
      </c>
      <c r="S2087">
        <v>60.027220951674302</v>
      </c>
      <c r="T2087">
        <v>22.914773577906299</v>
      </c>
      <c r="U2087">
        <v>34.260107934168602</v>
      </c>
      <c r="V2087">
        <v>27.954837707600699</v>
      </c>
      <c r="W2087">
        <v>73.944769070686903</v>
      </c>
    </row>
    <row r="2088" spans="1:23" x14ac:dyDescent="0.2">
      <c r="A2088" t="s">
        <v>4183</v>
      </c>
      <c r="B2088" s="3" t="str">
        <f>HYPERLINK("http://www.ncbi.nlm.nih.gov/gene/66366","Ergic3")</f>
        <v>Ergic3</v>
      </c>
      <c r="C2088">
        <v>66366</v>
      </c>
      <c r="D2088" t="s">
        <v>4184</v>
      </c>
      <c r="E2088" s="3" t="str">
        <f>HYPERLINK("http://genome.ucsc.edu/cgi-bin/hgTracks?db=mm10&amp;lastVirtModeType=default&amp;lastVirtModeExtraState=&amp;virtModeType=default&amp;virtMode=0&amp;nonVirtPosition=&amp;position=chr2:156008124-156018279","chr2:156008124-156018279")</f>
        <v>chr2:156008124-156018279</v>
      </c>
      <c r="F2088" t="s">
        <v>30</v>
      </c>
      <c r="G2088">
        <v>-0.41370484340680902</v>
      </c>
      <c r="H2088">
        <v>0.12785198716158699</v>
      </c>
      <c r="I2088">
        <v>-3.2358108199283899</v>
      </c>
      <c r="J2088">
        <v>1.2129774574976501E-3</v>
      </c>
      <c r="K2088">
        <v>7.7748740413623504E-3</v>
      </c>
      <c r="L2088" t="s">
        <v>26</v>
      </c>
      <c r="M2088" t="s">
        <v>27</v>
      </c>
      <c r="N2088">
        <v>321.50039242582397</v>
      </c>
      <c r="O2088">
        <v>379.70244886906198</v>
      </c>
      <c r="P2088">
        <v>277.84885009339598</v>
      </c>
      <c r="Q2088">
        <v>413.14006913624797</v>
      </c>
      <c r="R2088">
        <v>373.566092401194</v>
      </c>
      <c r="S2088">
        <v>352.40118506974301</v>
      </c>
      <c r="T2088">
        <v>242.89659992580701</v>
      </c>
      <c r="U2088">
        <v>289.069660694547</v>
      </c>
      <c r="V2088">
        <v>307.50321478360797</v>
      </c>
      <c r="W2088">
        <v>271.925924969623</v>
      </c>
    </row>
    <row r="2089" spans="1:23" x14ac:dyDescent="0.2">
      <c r="A2089" t="s">
        <v>4185</v>
      </c>
      <c r="B2089" s="3" t="str">
        <f>HYPERLINK("http://www.ncbi.nlm.nih.gov/gene/268448","Phf12")</f>
        <v>Phf12</v>
      </c>
      <c r="C2089">
        <v>268448</v>
      </c>
      <c r="D2089" t="s">
        <v>4186</v>
      </c>
      <c r="E2089" s="3" t="str">
        <f>HYPERLINK("http://genome.ucsc.edu/cgi-bin/hgTracks?db=mm10&amp;lastVirtModeType=default&amp;lastVirtModeExtraState=&amp;virtModeType=default&amp;virtMode=0&amp;nonVirtPosition=&amp;position=chr11:77982815-78030535","chr11:77982815-78030535")</f>
        <v>chr11:77982815-78030535</v>
      </c>
      <c r="F2089" t="s">
        <v>30</v>
      </c>
      <c r="G2089">
        <v>0.43868486301631399</v>
      </c>
      <c r="H2089">
        <v>0.13557613414804801</v>
      </c>
      <c r="I2089">
        <v>3.2357085985153802</v>
      </c>
      <c r="J2089">
        <v>1.21341188742466E-3</v>
      </c>
      <c r="K2089">
        <v>7.7748740413623504E-3</v>
      </c>
      <c r="L2089" t="s">
        <v>26</v>
      </c>
      <c r="M2089" t="s">
        <v>27</v>
      </c>
      <c r="N2089">
        <v>247.775308083754</v>
      </c>
      <c r="O2089">
        <v>205.68215093812799</v>
      </c>
      <c r="P2089">
        <v>279.34517594297398</v>
      </c>
      <c r="Q2089">
        <v>201.002109108067</v>
      </c>
      <c r="R2089">
        <v>183.180124497235</v>
      </c>
      <c r="S2089">
        <v>232.864219209081</v>
      </c>
      <c r="T2089">
        <v>261.22841878813199</v>
      </c>
      <c r="U2089">
        <v>295.49343093220398</v>
      </c>
      <c r="V2089">
        <v>283.96229881931299</v>
      </c>
      <c r="W2089">
        <v>276.69655523224799</v>
      </c>
    </row>
    <row r="2090" spans="1:23" x14ac:dyDescent="0.2">
      <c r="A2090" t="s">
        <v>4187</v>
      </c>
      <c r="B2090" s="3" t="str">
        <f>HYPERLINK("http://www.ncbi.nlm.nih.gov/gene/15929","Idh3g")</f>
        <v>Idh3g</v>
      </c>
      <c r="C2090">
        <v>15929</v>
      </c>
      <c r="D2090" t="s">
        <v>4188</v>
      </c>
      <c r="E2090" s="3" t="str">
        <f>HYPERLINK("http://genome.ucsc.edu/cgi-bin/hgTracks?db=mm10&amp;lastVirtModeType=default&amp;lastVirtModeExtraState=&amp;virtModeType=default&amp;virtMode=0&amp;nonVirtPosition=&amp;position=chrX:73778962-73786897","chrX:73778962-73786897")</f>
        <v>chrX:73778962-73786897</v>
      </c>
      <c r="F2090" t="s">
        <v>25</v>
      </c>
      <c r="G2090">
        <v>-0.52781657029908802</v>
      </c>
      <c r="H2090">
        <v>0.16312301505379501</v>
      </c>
      <c r="I2090">
        <v>-3.23569650870555</v>
      </c>
      <c r="J2090">
        <v>1.2134632773091901E-3</v>
      </c>
      <c r="K2090">
        <v>7.7748740413623504E-3</v>
      </c>
      <c r="L2090" t="s">
        <v>26</v>
      </c>
      <c r="M2090" t="s">
        <v>27</v>
      </c>
      <c r="N2090">
        <v>233.57211600554601</v>
      </c>
      <c r="O2090">
        <v>288.45724593080001</v>
      </c>
      <c r="P2090">
        <v>192.40826856160601</v>
      </c>
      <c r="Q2090">
        <v>280.06665064088003</v>
      </c>
      <c r="R2090">
        <v>336.399110619147</v>
      </c>
      <c r="S2090">
        <v>248.90597653237401</v>
      </c>
      <c r="T2090">
        <v>146.65455089860001</v>
      </c>
      <c r="U2090">
        <v>205.56064760501101</v>
      </c>
      <c r="V2090">
        <v>192.00559583378401</v>
      </c>
      <c r="W2090">
        <v>225.412279909029</v>
      </c>
    </row>
    <row r="2091" spans="1:23" x14ac:dyDescent="0.2">
      <c r="A2091" t="s">
        <v>4189</v>
      </c>
      <c r="B2091" s="3" t="str">
        <f>HYPERLINK("http://www.ncbi.nlm.nih.gov/gene/68693","Hnrnpul2")</f>
        <v>Hnrnpul2</v>
      </c>
      <c r="C2091">
        <v>68693</v>
      </c>
      <c r="D2091" t="s">
        <v>4190</v>
      </c>
      <c r="E2091" s="3" t="str">
        <f>HYPERLINK("http://genome.ucsc.edu/cgi-bin/hgTracks?db=mm10&amp;lastVirtModeType=default&amp;lastVirtModeExtraState=&amp;virtModeType=default&amp;virtMode=0&amp;nonVirtPosition=&amp;position=chr19:8819400-8834142","chr19:8819400-8834142")</f>
        <v>chr19:8819400-8834142</v>
      </c>
      <c r="F2091" t="s">
        <v>30</v>
      </c>
      <c r="G2091">
        <v>0.466765847776757</v>
      </c>
      <c r="H2091">
        <v>0.14427620427745599</v>
      </c>
      <c r="I2091">
        <v>3.23522406286158</v>
      </c>
      <c r="J2091">
        <v>1.2154730672898899E-3</v>
      </c>
      <c r="K2091">
        <v>7.7840267068765498E-3</v>
      </c>
      <c r="L2091" t="s">
        <v>26</v>
      </c>
      <c r="M2091" t="s">
        <v>27</v>
      </c>
      <c r="N2091">
        <v>833.28004563855097</v>
      </c>
      <c r="O2091">
        <v>679.98129203824601</v>
      </c>
      <c r="P2091">
        <v>948.25411083877998</v>
      </c>
      <c r="Q2091">
        <v>620.26689625037795</v>
      </c>
      <c r="R2091">
        <v>577.22598237017098</v>
      </c>
      <c r="S2091">
        <v>842.45099749418796</v>
      </c>
      <c r="T2091">
        <v>912.00798840067102</v>
      </c>
      <c r="U2091">
        <v>944.29422493552102</v>
      </c>
      <c r="V2091">
        <v>956.34971104949898</v>
      </c>
      <c r="W2091">
        <v>980.36451896942901</v>
      </c>
    </row>
    <row r="2092" spans="1:23" x14ac:dyDescent="0.2">
      <c r="A2092" t="s">
        <v>4191</v>
      </c>
      <c r="B2092" s="3" t="str">
        <f>HYPERLINK("http://www.ncbi.nlm.nih.gov/gene/236266","Alms1")</f>
        <v>Alms1</v>
      </c>
      <c r="C2092">
        <v>236266</v>
      </c>
      <c r="D2092" t="s">
        <v>4192</v>
      </c>
      <c r="E2092" s="3" t="str">
        <f>HYPERLINK("http://genome.ucsc.edu/cgi-bin/hgTracks?db=mm10&amp;lastVirtModeType=default&amp;lastVirtModeExtraState=&amp;virtModeType=default&amp;virtMode=0&amp;nonVirtPosition=&amp;position=chr6:85587530-85702751","chr6:85587530-85702751")</f>
        <v>chr6:85587530-85702751</v>
      </c>
      <c r="F2092" t="s">
        <v>30</v>
      </c>
      <c r="G2092">
        <v>0.43219567518844099</v>
      </c>
      <c r="H2092">
        <v>0.13360483524268199</v>
      </c>
      <c r="I2092">
        <v>3.2348804921872398</v>
      </c>
      <c r="J2092">
        <v>1.21693655131704E-3</v>
      </c>
      <c r="K2092">
        <v>7.7896736896207099E-3</v>
      </c>
      <c r="L2092" t="s">
        <v>26</v>
      </c>
      <c r="M2092" t="s">
        <v>27</v>
      </c>
      <c r="N2092">
        <v>282.45477913528799</v>
      </c>
      <c r="O2092">
        <v>232.059995603418</v>
      </c>
      <c r="P2092">
        <v>320.25086678419098</v>
      </c>
      <c r="Q2092">
        <v>244.43192769651299</v>
      </c>
      <c r="R2092">
        <v>244.240165996314</v>
      </c>
      <c r="S2092">
        <v>207.50789311742599</v>
      </c>
      <c r="T2092">
        <v>357.47046781533902</v>
      </c>
      <c r="U2092">
        <v>297.63468767808899</v>
      </c>
      <c r="V2092">
        <v>288.37622056261802</v>
      </c>
      <c r="W2092">
        <v>337.522091080716</v>
      </c>
    </row>
    <row r="2093" spans="1:23" x14ac:dyDescent="0.2">
      <c r="A2093" t="s">
        <v>4193</v>
      </c>
      <c r="B2093" s="3" t="str">
        <f>HYPERLINK("http://www.ncbi.nlm.nih.gov/gene/20222","Sf3a2")</f>
        <v>Sf3a2</v>
      </c>
      <c r="C2093">
        <v>20222</v>
      </c>
      <c r="D2093" t="s">
        <v>4194</v>
      </c>
      <c r="E2093" s="3" t="str">
        <f>HYPERLINK("http://genome.ucsc.edu/cgi-bin/hgTracks?db=mm10&amp;lastVirtModeType=default&amp;lastVirtModeExtraState=&amp;virtModeType=default&amp;virtMode=0&amp;nonVirtPosition=&amp;position=chr10:80798734-80804922","chr10:80798734-80804922")</f>
        <v>chr10:80798734-80804922</v>
      </c>
      <c r="F2093" t="s">
        <v>30</v>
      </c>
      <c r="G2093">
        <v>0.65982289609929701</v>
      </c>
      <c r="H2093">
        <v>0.204004124889474</v>
      </c>
      <c r="I2093">
        <v>3.23436056235029</v>
      </c>
      <c r="J2093">
        <v>1.2191543556112001E-3</v>
      </c>
      <c r="K2093">
        <v>7.8001414123218399E-3</v>
      </c>
      <c r="L2093" t="s">
        <v>26</v>
      </c>
      <c r="M2093" t="s">
        <v>27</v>
      </c>
      <c r="N2093">
        <v>135.52056255056999</v>
      </c>
      <c r="O2093">
        <v>100.191889765111</v>
      </c>
      <c r="P2093">
        <v>162.017067139663</v>
      </c>
      <c r="Q2093">
        <v>74.053408618761395</v>
      </c>
      <c r="R2093">
        <v>105.43286668784999</v>
      </c>
      <c r="S2093">
        <v>121.08939398872199</v>
      </c>
      <c r="T2093">
        <v>137.48864146743799</v>
      </c>
      <c r="U2093">
        <v>186.289336892042</v>
      </c>
      <c r="V2093">
        <v>188.32732771436301</v>
      </c>
      <c r="W2093">
        <v>135.96296248481099</v>
      </c>
    </row>
    <row r="2094" spans="1:23" x14ac:dyDescent="0.2">
      <c r="A2094" t="s">
        <v>4195</v>
      </c>
      <c r="B2094" s="3" t="str">
        <f>HYPERLINK("http://www.ncbi.nlm.nih.gov/gene/320873","Cdh10")</f>
        <v>Cdh10</v>
      </c>
      <c r="C2094">
        <v>320873</v>
      </c>
      <c r="D2094" t="s">
        <v>4196</v>
      </c>
      <c r="E2094" s="3" t="str">
        <f>HYPERLINK("http://genome.ucsc.edu/cgi-bin/hgTracks?db=mm10&amp;lastVirtModeType=default&amp;lastVirtModeExtraState=&amp;virtModeType=default&amp;virtMode=0&amp;nonVirtPosition=&amp;position=chr15:18818946-19014236","chr15:18818946-19014236")</f>
        <v>chr15:18818946-19014236</v>
      </c>
      <c r="F2094" t="s">
        <v>30</v>
      </c>
      <c r="G2094">
        <v>-0.59701486771411405</v>
      </c>
      <c r="H2094">
        <v>0.18459593981399799</v>
      </c>
      <c r="I2094">
        <v>-3.2341711757890099</v>
      </c>
      <c r="J2094">
        <v>1.2199631270133E-3</v>
      </c>
      <c r="K2094">
        <v>7.8015884593291103E-3</v>
      </c>
      <c r="L2094" t="s">
        <v>26</v>
      </c>
      <c r="M2094" t="s">
        <v>27</v>
      </c>
      <c r="N2094">
        <v>310.43074591112497</v>
      </c>
      <c r="O2094">
        <v>391.004870602783</v>
      </c>
      <c r="P2094">
        <v>250.00015239238201</v>
      </c>
      <c r="Q2094">
        <v>520.60103051535305</v>
      </c>
      <c r="R2094">
        <v>321.228913973413</v>
      </c>
      <c r="S2094">
        <v>331.18466731958301</v>
      </c>
      <c r="T2094">
        <v>229.147735779063</v>
      </c>
      <c r="U2094">
        <v>239.82075553918</v>
      </c>
      <c r="V2094">
        <v>247.179617625101</v>
      </c>
      <c r="W2094">
        <v>283.85250062618502</v>
      </c>
    </row>
    <row r="2095" spans="1:23" x14ac:dyDescent="0.2">
      <c r="A2095" t="s">
        <v>4197</v>
      </c>
      <c r="B2095" s="3" t="str">
        <f>HYPERLINK("http://www.ncbi.nlm.nih.gov/gene/68558","Ankra2")</f>
        <v>Ankra2</v>
      </c>
      <c r="C2095">
        <v>68558</v>
      </c>
      <c r="D2095" t="s">
        <v>4198</v>
      </c>
      <c r="E2095" s="3" t="str">
        <f>HYPERLINK("http://genome.ucsc.edu/cgi-bin/hgTracks?db=mm10&amp;lastVirtModeType=default&amp;lastVirtModeExtraState=&amp;virtModeType=default&amp;virtMode=0&amp;nonVirtPosition=&amp;position=chr13:98263075-98273918","chr13:98263075-98273918")</f>
        <v>chr13:98263075-98273918</v>
      </c>
      <c r="F2095" t="s">
        <v>30</v>
      </c>
      <c r="G2095">
        <v>-0.55405545887211405</v>
      </c>
      <c r="H2095">
        <v>0.17139318463872699</v>
      </c>
      <c r="I2095">
        <v>-3.2326574714157101</v>
      </c>
      <c r="J2095">
        <v>1.22644520158382E-3</v>
      </c>
      <c r="K2095">
        <v>7.8392972288348194E-3</v>
      </c>
      <c r="L2095" t="s">
        <v>26</v>
      </c>
      <c r="M2095" t="s">
        <v>27</v>
      </c>
      <c r="N2095">
        <v>136.29386601265</v>
      </c>
      <c r="O2095">
        <v>169.85501000465501</v>
      </c>
      <c r="P2095">
        <v>111.123008018647</v>
      </c>
      <c r="Q2095">
        <v>197.66135383203201</v>
      </c>
      <c r="R2095">
        <v>166.49290818692799</v>
      </c>
      <c r="S2095">
        <v>145.41076799500399</v>
      </c>
      <c r="T2095">
        <v>96.242049027206505</v>
      </c>
      <c r="U2095">
        <v>113.486607531933</v>
      </c>
      <c r="V2095">
        <v>115.497618949824</v>
      </c>
      <c r="W2095">
        <v>119.265756565624</v>
      </c>
    </row>
    <row r="2096" spans="1:23" x14ac:dyDescent="0.2">
      <c r="A2096" t="s">
        <v>4199</v>
      </c>
      <c r="B2096" s="3" t="str">
        <f>HYPERLINK("http://www.ncbi.nlm.nih.gov/gene/52323","Klhl7")</f>
        <v>Klhl7</v>
      </c>
      <c r="C2096">
        <v>52323</v>
      </c>
      <c r="D2096" t="s">
        <v>4200</v>
      </c>
      <c r="E2096" s="3" t="str">
        <f>HYPERLINK("http://genome.ucsc.edu/cgi-bin/hgTracks?db=mm10&amp;lastVirtModeType=default&amp;lastVirtModeExtraState=&amp;virtModeType=default&amp;virtMode=0&amp;nonVirtPosition=&amp;position=chr5:24100589-24161231","chr5:24100589-24161231")</f>
        <v>chr5:24100589-24161231</v>
      </c>
      <c r="F2096" t="s">
        <v>30</v>
      </c>
      <c r="G2096">
        <v>-0.45969535575793702</v>
      </c>
      <c r="H2096">
        <v>0.14227137377552501</v>
      </c>
      <c r="I2096">
        <v>-3.2311163065258901</v>
      </c>
      <c r="J2096">
        <v>1.2330775369337099E-3</v>
      </c>
      <c r="K2096">
        <v>7.8779300081484992E-3</v>
      </c>
      <c r="L2096" t="s">
        <v>26</v>
      </c>
      <c r="M2096" t="s">
        <v>27</v>
      </c>
      <c r="N2096">
        <v>478.90567383097601</v>
      </c>
      <c r="O2096">
        <v>570.29580112896701</v>
      </c>
      <c r="P2096">
        <v>410.36307835748198</v>
      </c>
      <c r="Q2096">
        <v>653.67444901072099</v>
      </c>
      <c r="R2096">
        <v>559.40100131143299</v>
      </c>
      <c r="S2096">
        <v>497.811953064747</v>
      </c>
      <c r="T2096">
        <v>444.54660741138298</v>
      </c>
      <c r="U2096">
        <v>336.17730910402901</v>
      </c>
      <c r="V2096">
        <v>432.564330843927</v>
      </c>
      <c r="W2096">
        <v>428.16406607059002</v>
      </c>
    </row>
    <row r="2097" spans="1:23" x14ac:dyDescent="0.2">
      <c r="A2097" t="s">
        <v>4201</v>
      </c>
      <c r="B2097" s="3" t="str">
        <f>HYPERLINK("http://www.ncbi.nlm.nih.gov/gene/170763","Zfp87")</f>
        <v>Zfp87</v>
      </c>
      <c r="C2097">
        <v>170763</v>
      </c>
      <c r="D2097" t="s">
        <v>4202</v>
      </c>
      <c r="E2097" s="3" t="str">
        <f>HYPERLINK("http://genome.ucsc.edu/cgi-bin/hgTracks?db=mm10&amp;lastVirtModeType=default&amp;lastVirtModeExtraState=&amp;virtModeType=default&amp;virtMode=0&amp;nonVirtPosition=&amp;position=chr13:67515781-67526231","chr13:67515781-67526231")</f>
        <v>chr13:67515781-67526231</v>
      </c>
      <c r="F2097" t="s">
        <v>25</v>
      </c>
      <c r="G2097">
        <v>-0.63799540480045702</v>
      </c>
      <c r="H2097">
        <v>0.197516615309316</v>
      </c>
      <c r="I2097">
        <v>-3.2300847389539298</v>
      </c>
      <c r="J2097">
        <v>1.2375353309826401E-3</v>
      </c>
      <c r="K2097">
        <v>7.9026397792983094E-3</v>
      </c>
      <c r="L2097" t="s">
        <v>26</v>
      </c>
      <c r="M2097" t="s">
        <v>27</v>
      </c>
      <c r="N2097">
        <v>77.490798225525296</v>
      </c>
      <c r="O2097">
        <v>99.120202879956693</v>
      </c>
      <c r="P2097">
        <v>61.268744734701997</v>
      </c>
      <c r="Q2097">
        <v>104.120206103071</v>
      </c>
      <c r="R2097">
        <v>90.262670042116</v>
      </c>
      <c r="S2097">
        <v>102.977732494683</v>
      </c>
      <c r="T2097">
        <v>64.161366018137699</v>
      </c>
      <c r="U2097">
        <v>57.8139321389095</v>
      </c>
      <c r="V2097">
        <v>70.622747892886096</v>
      </c>
      <c r="W2097">
        <v>52.4769328888746</v>
      </c>
    </row>
    <row r="2098" spans="1:23" x14ac:dyDescent="0.2">
      <c r="A2098" t="s">
        <v>4203</v>
      </c>
      <c r="B2098" s="3" t="str">
        <f>HYPERLINK("http://www.ncbi.nlm.nih.gov/gene/67068","Dynlrb1")</f>
        <v>Dynlrb1</v>
      </c>
      <c r="C2098">
        <v>67068</v>
      </c>
      <c r="D2098" t="s">
        <v>4204</v>
      </c>
      <c r="E2098" s="3" t="str">
        <f>HYPERLINK("http://genome.ucsc.edu/cgi-bin/hgTracks?db=mm10&amp;lastVirtModeType=default&amp;lastVirtModeExtraState=&amp;virtModeType=default&amp;virtMode=0&amp;nonVirtPosition=&amp;position=chr2:155236532-155250277","chr2:155236532-155250277")</f>
        <v>chr2:155236532-155250277</v>
      </c>
      <c r="F2098" t="s">
        <v>30</v>
      </c>
      <c r="G2098">
        <v>-0.56355496961259699</v>
      </c>
      <c r="H2098">
        <v>0.17448134250426001</v>
      </c>
      <c r="I2098">
        <v>-3.2298867118060901</v>
      </c>
      <c r="J2098">
        <v>1.2383927821075899E-3</v>
      </c>
      <c r="K2098">
        <v>7.9043459224035998E-3</v>
      </c>
      <c r="L2098" t="s">
        <v>26</v>
      </c>
      <c r="M2098" t="s">
        <v>27</v>
      </c>
      <c r="N2098">
        <v>262.12622889478899</v>
      </c>
      <c r="O2098">
        <v>327.58061986644202</v>
      </c>
      <c r="P2098">
        <v>213.03543566604799</v>
      </c>
      <c r="Q2098">
        <v>317.371751223263</v>
      </c>
      <c r="R2098">
        <v>403.52723077651899</v>
      </c>
      <c r="S2098">
        <v>261.84287759954498</v>
      </c>
      <c r="T2098">
        <v>169.56932447650701</v>
      </c>
      <c r="U2098">
        <v>216.26693133443899</v>
      </c>
      <c r="V2098">
        <v>226.58131615634301</v>
      </c>
      <c r="W2098">
        <v>239.724170696904</v>
      </c>
    </row>
    <row r="2099" spans="1:23" x14ac:dyDescent="0.2">
      <c r="A2099" t="s">
        <v>4205</v>
      </c>
      <c r="B2099" s="3" t="str">
        <f>HYPERLINK("http://www.ncbi.nlm.nih.gov/gene/12010","B2m")</f>
        <v>B2m</v>
      </c>
      <c r="C2099">
        <v>12010</v>
      </c>
      <c r="D2099" t="s">
        <v>4206</v>
      </c>
      <c r="E2099" s="3" t="str">
        <f>HYPERLINK("http://genome.ucsc.edu/cgi-bin/hgTracks?db=mm10&amp;lastVirtModeType=default&amp;lastVirtModeExtraState=&amp;virtModeType=default&amp;virtMode=0&amp;nonVirtPosition=&amp;position=chr2:122147686-122153082","chr2:122147686-122153082")</f>
        <v>chr2:122147686-122153082</v>
      </c>
      <c r="F2099" t="s">
        <v>30</v>
      </c>
      <c r="G2099">
        <v>0.88189064301711495</v>
      </c>
      <c r="H2099">
        <v>0.27315158450280402</v>
      </c>
      <c r="I2099">
        <v>3.2285759741147002</v>
      </c>
      <c r="J2099">
        <v>1.2440820818359101E-3</v>
      </c>
      <c r="K2099">
        <v>7.9368762067006399E-3</v>
      </c>
      <c r="L2099" t="s">
        <v>26</v>
      </c>
      <c r="M2099" t="s">
        <v>27</v>
      </c>
      <c r="N2099">
        <v>2771.8741296756002</v>
      </c>
      <c r="O2099">
        <v>1745.7131940565</v>
      </c>
      <c r="P2099">
        <v>3541.4948313899099</v>
      </c>
      <c r="Q2099">
        <v>2457.68229806927</v>
      </c>
      <c r="R2099">
        <v>1281.8816165645001</v>
      </c>
      <c r="S2099">
        <v>1497.57566753574</v>
      </c>
      <c r="T2099">
        <v>4624.2013080214901</v>
      </c>
      <c r="U2099">
        <v>1653.05020782363</v>
      </c>
      <c r="V2099">
        <v>3762.13263254395</v>
      </c>
      <c r="W2099">
        <v>4126.5951771705904</v>
      </c>
    </row>
    <row r="2100" spans="1:23" x14ac:dyDescent="0.2">
      <c r="A2100" t="s">
        <v>4207</v>
      </c>
      <c r="B2100" s="3" t="str">
        <f>HYPERLINK("http://www.ncbi.nlm.nih.gov/gene/19179","Psmc1")</f>
        <v>Psmc1</v>
      </c>
      <c r="C2100">
        <v>19179</v>
      </c>
      <c r="D2100" t="s">
        <v>4208</v>
      </c>
      <c r="E2100" s="3" t="str">
        <f>HYPERLINK("http://genome.ucsc.edu/cgi-bin/hgTracks?db=mm10&amp;lastVirtModeType=default&amp;lastVirtModeExtraState=&amp;virtModeType=default&amp;virtMode=0&amp;nonVirtPosition=&amp;position=chr12:100112330-100123364","chr12:100112330-100123364")</f>
        <v>chr12:100112330-100123364</v>
      </c>
      <c r="F2100" t="s">
        <v>30</v>
      </c>
      <c r="G2100">
        <v>-0.50582834023720102</v>
      </c>
      <c r="H2100">
        <v>0.15671975291193899</v>
      </c>
      <c r="I2100">
        <v>-3.22759786713948</v>
      </c>
      <c r="J2100">
        <v>1.24834330175379E-3</v>
      </c>
      <c r="K2100">
        <v>7.9552944428726204E-3</v>
      </c>
      <c r="L2100" t="s">
        <v>26</v>
      </c>
      <c r="M2100" t="s">
        <v>27</v>
      </c>
      <c r="N2100">
        <v>405.73765239667603</v>
      </c>
      <c r="O2100">
        <v>495.25882721147298</v>
      </c>
      <c r="P2100">
        <v>338.596771285579</v>
      </c>
      <c r="Q2100">
        <v>398.10667039409299</v>
      </c>
      <c r="R2100">
        <v>568.12386438272995</v>
      </c>
      <c r="S2100">
        <v>519.54594685759503</v>
      </c>
      <c r="T2100">
        <v>288.72614708162001</v>
      </c>
      <c r="U2100">
        <v>321.18851188283003</v>
      </c>
      <c r="V2100">
        <v>385.48249891533698</v>
      </c>
      <c r="W2100">
        <v>358.989927262528</v>
      </c>
    </row>
    <row r="2101" spans="1:23" x14ac:dyDescent="0.2">
      <c r="A2101" t="s">
        <v>4209</v>
      </c>
      <c r="B2101" s="3" t="str">
        <f>HYPERLINK("http://www.ncbi.nlm.nih.gov/gene/72349","Dusp3")</f>
        <v>Dusp3</v>
      </c>
      <c r="C2101">
        <v>72349</v>
      </c>
      <c r="D2101" t="s">
        <v>4210</v>
      </c>
      <c r="E2101" s="3" t="str">
        <f>HYPERLINK("http://genome.ucsc.edu/cgi-bin/hgTracks?db=mm10&amp;lastVirtModeType=default&amp;lastVirtModeExtraState=&amp;virtModeType=default&amp;virtMode=0&amp;nonVirtPosition=&amp;position=chr11:101971143-101984791","chr11:101971143-101984791")</f>
        <v>chr11:101971143-101984791</v>
      </c>
      <c r="F2101" t="s">
        <v>25</v>
      </c>
      <c r="G2101">
        <v>-0.39588938907029803</v>
      </c>
      <c r="H2101">
        <v>0.12265995440107701</v>
      </c>
      <c r="I2101">
        <v>-3.2275357593547498</v>
      </c>
      <c r="J2101">
        <v>1.2486143350018701E-3</v>
      </c>
      <c r="K2101">
        <v>7.9552944428726204E-3</v>
      </c>
      <c r="L2101" t="s">
        <v>26</v>
      </c>
      <c r="M2101" t="s">
        <v>27</v>
      </c>
      <c r="N2101">
        <v>380.23777266538201</v>
      </c>
      <c r="O2101">
        <v>444.08105827558501</v>
      </c>
      <c r="P2101">
        <v>332.35530845773002</v>
      </c>
      <c r="Q2101">
        <v>440.422903890528</v>
      </c>
      <c r="R2101">
        <v>456.62291903658701</v>
      </c>
      <c r="S2101">
        <v>435.19735189963899</v>
      </c>
      <c r="T2101">
        <v>311.64092065952599</v>
      </c>
      <c r="U2101">
        <v>349.024849579342</v>
      </c>
      <c r="V2101">
        <v>372.97638730930498</v>
      </c>
      <c r="W2101">
        <v>295.77907628274698</v>
      </c>
    </row>
    <row r="2102" spans="1:23" x14ac:dyDescent="0.2">
      <c r="A2102" t="s">
        <v>4211</v>
      </c>
      <c r="B2102" s="3" t="str">
        <f>HYPERLINK("http://www.ncbi.nlm.nih.gov/gene/22334","Vdac2")</f>
        <v>Vdac2</v>
      </c>
      <c r="C2102">
        <v>22334</v>
      </c>
      <c r="D2102" t="s">
        <v>4212</v>
      </c>
      <c r="E2102" s="3" t="str">
        <f>HYPERLINK("http://genome.ucsc.edu/cgi-bin/hgTracks?db=mm10&amp;lastVirtModeType=default&amp;lastVirtModeExtraState=&amp;virtModeType=default&amp;virtMode=0&amp;nonVirtPosition=&amp;position=chr14:21831560-21845879","chr14:21831560-21845879")</f>
        <v>chr14:21831560-21845879</v>
      </c>
      <c r="F2102" t="s">
        <v>30</v>
      </c>
      <c r="G2102">
        <v>-0.49111615497387401</v>
      </c>
      <c r="H2102">
        <v>0.152165914616397</v>
      </c>
      <c r="I2102">
        <v>-3.2275043738405702</v>
      </c>
      <c r="J2102">
        <v>1.24875131946219E-3</v>
      </c>
      <c r="K2102">
        <v>7.9552944428726204E-3</v>
      </c>
      <c r="L2102" t="s">
        <v>26</v>
      </c>
      <c r="M2102" t="s">
        <v>27</v>
      </c>
      <c r="N2102">
        <v>491.23685669729599</v>
      </c>
      <c r="O2102">
        <v>590.31967915687096</v>
      </c>
      <c r="P2102">
        <v>416.92473985261398</v>
      </c>
      <c r="Q2102">
        <v>459.91064300072901</v>
      </c>
      <c r="R2102">
        <v>680.76257447730404</v>
      </c>
      <c r="S2102">
        <v>630.28581999257995</v>
      </c>
      <c r="T2102">
        <v>453.71251684254503</v>
      </c>
      <c r="U2102">
        <v>385.42621425939598</v>
      </c>
      <c r="V2102">
        <v>407.55210763186398</v>
      </c>
      <c r="W2102">
        <v>421.00812067665299</v>
      </c>
    </row>
    <row r="2103" spans="1:23" x14ac:dyDescent="0.2">
      <c r="A2103" t="s">
        <v>4213</v>
      </c>
      <c r="B2103" s="3" t="str">
        <f>HYPERLINK("http://www.ncbi.nlm.nih.gov/gene/19889","Rp2")</f>
        <v>Rp2</v>
      </c>
      <c r="C2103">
        <v>19889</v>
      </c>
      <c r="D2103" t="s">
        <v>4214</v>
      </c>
      <c r="E2103" s="3" t="str">
        <f>HYPERLINK("http://genome.ucsc.edu/cgi-bin/hgTracks?db=mm10&amp;lastVirtModeType=default&amp;lastVirtModeExtraState=&amp;virtModeType=default&amp;virtMode=0&amp;nonVirtPosition=&amp;position=chrX:20364480-20400858","chrX:20364480-20400858")</f>
        <v>chrX:20364480-20400858</v>
      </c>
      <c r="F2103" t="s">
        <v>30</v>
      </c>
      <c r="G2103">
        <v>-0.61160245579046801</v>
      </c>
      <c r="H2103">
        <v>0.189530471348409</v>
      </c>
      <c r="I2103">
        <v>-3.2269347057454101</v>
      </c>
      <c r="J2103">
        <v>1.2512400921629099E-3</v>
      </c>
      <c r="K2103">
        <v>7.9621141572008992E-3</v>
      </c>
      <c r="L2103" t="s">
        <v>26</v>
      </c>
      <c r="M2103" t="s">
        <v>27</v>
      </c>
      <c r="N2103">
        <v>210.34623834877499</v>
      </c>
      <c r="O2103">
        <v>264.19309852215503</v>
      </c>
      <c r="P2103">
        <v>169.96109321874101</v>
      </c>
      <c r="Q2103">
        <v>347.43854870757201</v>
      </c>
      <c r="R2103">
        <v>216.93381203399301</v>
      </c>
      <c r="S2103">
        <v>228.2069348249</v>
      </c>
      <c r="T2103">
        <v>192.48409805441301</v>
      </c>
      <c r="U2103">
        <v>162.735512687301</v>
      </c>
      <c r="V2103">
        <v>174.349908860563</v>
      </c>
      <c r="W2103">
        <v>150.27485327268599</v>
      </c>
    </row>
    <row r="2104" spans="1:23" x14ac:dyDescent="0.2">
      <c r="A2104" t="s">
        <v>4215</v>
      </c>
      <c r="B2104" s="3" t="str">
        <f>HYPERLINK("http://www.ncbi.nlm.nih.gov/gene/70796","Zdhhc1")</f>
        <v>Zdhhc1</v>
      </c>
      <c r="C2104">
        <v>70796</v>
      </c>
      <c r="D2104" t="s">
        <v>4216</v>
      </c>
      <c r="E2104" s="3" t="str">
        <f>HYPERLINK("http://genome.ucsc.edu/cgi-bin/hgTracks?db=mm10&amp;lastVirtModeType=default&amp;lastVirtModeExtraState=&amp;virtModeType=default&amp;virtMode=0&amp;nonVirtPosition=&amp;position=chr8:105472424-105496870","chr8:105472424-105496870")</f>
        <v>chr8:105472424-105496870</v>
      </c>
      <c r="F2104" t="s">
        <v>25</v>
      </c>
      <c r="G2104">
        <v>0.65334874273302002</v>
      </c>
      <c r="H2104">
        <v>0.20247195416911101</v>
      </c>
      <c r="I2104">
        <v>3.2268604578554299</v>
      </c>
      <c r="J2104">
        <v>1.25156480437421E-3</v>
      </c>
      <c r="K2104">
        <v>7.9621141572008992E-3</v>
      </c>
      <c r="L2104" t="s">
        <v>26</v>
      </c>
      <c r="M2104" t="s">
        <v>27</v>
      </c>
      <c r="N2104">
        <v>65.230311292802497</v>
      </c>
      <c r="O2104">
        <v>48.527550259516502</v>
      </c>
      <c r="P2104">
        <v>77.757382067766997</v>
      </c>
      <c r="Q2104">
        <v>55.122462054566803</v>
      </c>
      <c r="R2104">
        <v>48.544629266348103</v>
      </c>
      <c r="S2104">
        <v>41.9155594576347</v>
      </c>
      <c r="T2104">
        <v>73.327275449300203</v>
      </c>
      <c r="U2104">
        <v>74.943986105993702</v>
      </c>
      <c r="V2104">
        <v>81.657552251149596</v>
      </c>
      <c r="W2104">
        <v>81.100714464624303</v>
      </c>
    </row>
    <row r="2105" spans="1:23" x14ac:dyDescent="0.2">
      <c r="A2105" t="s">
        <v>4217</v>
      </c>
      <c r="B2105" s="3" t="str">
        <f>HYPERLINK("http://www.ncbi.nlm.nih.gov/gene/18212","Ntrk2")</f>
        <v>Ntrk2</v>
      </c>
      <c r="C2105">
        <v>18212</v>
      </c>
      <c r="D2105" t="s">
        <v>4218</v>
      </c>
      <c r="E2105" s="3" t="str">
        <f>HYPERLINK("http://genome.ucsc.edu/cgi-bin/hgTracks?db=mm10&amp;lastVirtModeType=default&amp;lastVirtModeExtraState=&amp;virtModeType=default&amp;virtMode=0&amp;nonVirtPosition=&amp;position=chr13:58806568-59133970","chr13:58806568-59133970")</f>
        <v>chr13:58806568-59133970</v>
      </c>
      <c r="F2105" t="s">
        <v>30</v>
      </c>
      <c r="G2105">
        <v>-0.59039388668861803</v>
      </c>
      <c r="H2105">
        <v>0.18296379078672201</v>
      </c>
      <c r="I2105">
        <v>-3.2268345783064398</v>
      </c>
      <c r="J2105">
        <v>1.25167800305554E-3</v>
      </c>
      <c r="K2105">
        <v>7.9621141572008992E-3</v>
      </c>
      <c r="L2105" t="s">
        <v>26</v>
      </c>
      <c r="M2105" t="s">
        <v>27</v>
      </c>
      <c r="N2105">
        <v>1900.71434518054</v>
      </c>
      <c r="O2105">
        <v>2380.0969033382598</v>
      </c>
      <c r="P2105">
        <v>1541.17742656225</v>
      </c>
      <c r="Q2105">
        <v>3255.5660164954702</v>
      </c>
      <c r="R2105">
        <v>1844.31665720508</v>
      </c>
      <c r="S2105">
        <v>2040.40803631424</v>
      </c>
      <c r="T2105">
        <v>1425.29891654577</v>
      </c>
      <c r="U2105">
        <v>1582.38873520941</v>
      </c>
      <c r="V2105">
        <v>1602.9892464437401</v>
      </c>
      <c r="W2105">
        <v>1554.0328080500799</v>
      </c>
    </row>
    <row r="2106" spans="1:23" x14ac:dyDescent="0.2">
      <c r="A2106" t="s">
        <v>4219</v>
      </c>
      <c r="B2106" s="3" t="str">
        <f>HYPERLINK("http://www.ncbi.nlm.nih.gov/gene/26413","Mapk1")</f>
        <v>Mapk1</v>
      </c>
      <c r="C2106">
        <v>26413</v>
      </c>
      <c r="D2106" t="s">
        <v>4220</v>
      </c>
      <c r="E2106" s="3" t="str">
        <f>HYPERLINK("http://genome.ucsc.edu/cgi-bin/hgTracks?db=mm10&amp;lastVirtModeType=default&amp;lastVirtModeExtraState=&amp;virtModeType=default&amp;virtMode=0&amp;nonVirtPosition=&amp;position=chr16:16983381-17047453","chr16:16983381-17047453")</f>
        <v>chr16:16983381-17047453</v>
      </c>
      <c r="F2106" t="s">
        <v>30</v>
      </c>
      <c r="G2106">
        <v>-0.38492563749433101</v>
      </c>
      <c r="H2106">
        <v>0.119293511801233</v>
      </c>
      <c r="I2106">
        <v>-3.22671058704094</v>
      </c>
      <c r="J2106">
        <v>1.25222047935986E-3</v>
      </c>
      <c r="K2106">
        <v>7.9621141572008992E-3</v>
      </c>
      <c r="L2106" t="s">
        <v>26</v>
      </c>
      <c r="M2106" t="s">
        <v>27</v>
      </c>
      <c r="N2106">
        <v>1006.6457376363001</v>
      </c>
      <c r="O2106">
        <v>1172.65718642755</v>
      </c>
      <c r="P2106">
        <v>882.13715104285905</v>
      </c>
      <c r="Q2106">
        <v>1116.3690547414801</v>
      </c>
      <c r="R2106">
        <v>1213.9949865748499</v>
      </c>
      <c r="S2106">
        <v>1187.6075179663201</v>
      </c>
      <c r="T2106">
        <v>742.43866392416498</v>
      </c>
      <c r="U2106">
        <v>865.06772533775597</v>
      </c>
      <c r="V2106">
        <v>1002.69588935421</v>
      </c>
      <c r="W2106">
        <v>918.34632555530504</v>
      </c>
    </row>
    <row r="2107" spans="1:23" x14ac:dyDescent="0.2">
      <c r="A2107" t="s">
        <v>4221</v>
      </c>
      <c r="B2107" s="3" t="str">
        <f>HYPERLINK("http://www.ncbi.nlm.nih.gov/gene/237716","Gpr75")</f>
        <v>Gpr75</v>
      </c>
      <c r="C2107">
        <v>237716</v>
      </c>
      <c r="D2107" t="s">
        <v>4222</v>
      </c>
      <c r="E2107" s="3" t="str">
        <f>HYPERLINK("http://genome.ucsc.edu/cgi-bin/hgTracks?db=mm10&amp;lastVirtModeType=default&amp;lastVirtModeExtraState=&amp;virtModeType=default&amp;virtMode=0&amp;nonVirtPosition=&amp;position=chr11:30885357-30893725","chr11:30885357-30893725")</f>
        <v>chr11:30885357-30893725</v>
      </c>
      <c r="F2107" t="s">
        <v>30</v>
      </c>
      <c r="G2107">
        <v>-1.01471523319726</v>
      </c>
      <c r="H2107">
        <v>0.314486368691829</v>
      </c>
      <c r="I2107">
        <v>-3.2265793821785702</v>
      </c>
      <c r="J2107">
        <v>1.2527947523875999E-3</v>
      </c>
      <c r="K2107">
        <v>7.9621141572008992E-3</v>
      </c>
      <c r="L2107" t="s">
        <v>26</v>
      </c>
      <c r="M2107" t="s">
        <v>27</v>
      </c>
      <c r="N2107">
        <v>27.835429154700702</v>
      </c>
      <c r="O2107">
        <v>40.591449820898802</v>
      </c>
      <c r="P2107">
        <v>18.2684136550522</v>
      </c>
      <c r="Q2107">
        <v>54.008876962555298</v>
      </c>
      <c r="R2107">
        <v>39.821766195051197</v>
      </c>
      <c r="S2107">
        <v>27.943706305089801</v>
      </c>
      <c r="T2107">
        <v>22.914773577906299</v>
      </c>
      <c r="U2107">
        <v>21.412567458855399</v>
      </c>
      <c r="V2107">
        <v>13.241765229916099</v>
      </c>
      <c r="W2107">
        <v>15.504548353531099</v>
      </c>
    </row>
    <row r="2108" spans="1:23" x14ac:dyDescent="0.2">
      <c r="A2108" t="s">
        <v>4223</v>
      </c>
      <c r="B2108" s="3" t="str">
        <f>HYPERLINK("http://www.ncbi.nlm.nih.gov/gene/71951","Gpc2")</f>
        <v>Gpc2</v>
      </c>
      <c r="C2108">
        <v>71951</v>
      </c>
      <c r="D2108" t="s">
        <v>4224</v>
      </c>
      <c r="E2108" s="3" t="str">
        <f>HYPERLINK("http://genome.ucsc.edu/cgi-bin/hgTracks?db=mm10&amp;lastVirtModeType=default&amp;lastVirtModeExtraState=&amp;virtModeType=default&amp;virtMode=0&amp;nonVirtPosition=&amp;position=chr5:138273659-138279937","chr5:138273659-138279937")</f>
        <v>chr5:138273659-138279937</v>
      </c>
      <c r="F2108" t="s">
        <v>25</v>
      </c>
      <c r="G2108">
        <v>0.58304663548341096</v>
      </c>
      <c r="H2108">
        <v>0.18075545977932</v>
      </c>
      <c r="I2108">
        <v>3.22561009330086</v>
      </c>
      <c r="J2108">
        <v>1.2570447910251201E-3</v>
      </c>
      <c r="K2108">
        <v>7.9853352925129996E-3</v>
      </c>
      <c r="L2108" t="s">
        <v>26</v>
      </c>
      <c r="M2108" t="s">
        <v>27</v>
      </c>
      <c r="N2108">
        <v>103.031337877418</v>
      </c>
      <c r="O2108">
        <v>77.262322943104706</v>
      </c>
      <c r="P2108">
        <v>122.358099078153</v>
      </c>
      <c r="Q2108">
        <v>75.723786256778595</v>
      </c>
      <c r="R2108">
        <v>70.162159486518803</v>
      </c>
      <c r="S2108">
        <v>85.901023086016707</v>
      </c>
      <c r="T2108">
        <v>151.237505614182</v>
      </c>
      <c r="U2108">
        <v>111.345350786048</v>
      </c>
      <c r="V2108">
        <v>105.198468215445</v>
      </c>
      <c r="W2108">
        <v>121.651071696936</v>
      </c>
    </row>
    <row r="2109" spans="1:23" x14ac:dyDescent="0.2">
      <c r="A2109" t="s">
        <v>4225</v>
      </c>
      <c r="B2109" s="3" t="str">
        <f>HYPERLINK("http://www.ncbi.nlm.nih.gov/gene/22284","Usp9x")</f>
        <v>Usp9x</v>
      </c>
      <c r="C2109">
        <v>22284</v>
      </c>
      <c r="D2109" t="s">
        <v>4226</v>
      </c>
      <c r="E2109" s="3" t="str">
        <f>HYPERLINK("http://genome.ucsc.edu/cgi-bin/hgTracks?db=mm10&amp;lastVirtModeType=default&amp;lastVirtModeExtraState=&amp;virtModeType=default&amp;virtMode=0&amp;nonVirtPosition=&amp;position=chrX:13071497-13173327","chrX:13071497-13173327")</f>
        <v>chrX:13071497-13173327</v>
      </c>
      <c r="F2109" t="s">
        <v>30</v>
      </c>
      <c r="G2109">
        <v>-0.40313561011071303</v>
      </c>
      <c r="H2109">
        <v>0.12499084320951399</v>
      </c>
      <c r="I2109">
        <v>-3.2253211496058398</v>
      </c>
      <c r="J2109">
        <v>1.2583142950399399E-3</v>
      </c>
      <c r="K2109">
        <v>7.9896096372118596E-3</v>
      </c>
      <c r="L2109" t="s">
        <v>26</v>
      </c>
      <c r="M2109" t="s">
        <v>27</v>
      </c>
      <c r="N2109">
        <v>1776.63841380249</v>
      </c>
      <c r="O2109">
        <v>2075.9695054639101</v>
      </c>
      <c r="P2109">
        <v>1552.14009505643</v>
      </c>
      <c r="Q2109">
        <v>2251.6690560471502</v>
      </c>
      <c r="R2109">
        <v>1975.1596032745399</v>
      </c>
      <c r="S2109">
        <v>2001.0798570700399</v>
      </c>
      <c r="T2109">
        <v>1471.1284637015899</v>
      </c>
      <c r="U2109">
        <v>1346.850493162</v>
      </c>
      <c r="V2109">
        <v>1753.0625857161201</v>
      </c>
      <c r="W2109">
        <v>1637.5188376460201</v>
      </c>
    </row>
    <row r="2110" spans="1:23" x14ac:dyDescent="0.2">
      <c r="A2110" t="s">
        <v>4227</v>
      </c>
      <c r="B2110" s="3" t="str">
        <f>HYPERLINK("http://www.ncbi.nlm.nih.gov/gene/104771","Jkamp")</f>
        <v>Jkamp</v>
      </c>
      <c r="C2110">
        <v>104771</v>
      </c>
      <c r="D2110" t="s">
        <v>4228</v>
      </c>
      <c r="E2110" s="3" t="str">
        <f>HYPERLINK("http://genome.ucsc.edu/cgi-bin/hgTracks?db=mm10&amp;lastVirtModeType=default&amp;lastVirtModeExtraState=&amp;virtModeType=default&amp;virtMode=0&amp;nonVirtPosition=&amp;position=chr12:72085838-72101527","chr12:72085838-72101527")</f>
        <v>chr12:72085838-72101527</v>
      </c>
      <c r="F2110" t="s">
        <v>30</v>
      </c>
      <c r="G2110">
        <v>-0.51607110314066096</v>
      </c>
      <c r="H2110">
        <v>0.160023753763226</v>
      </c>
      <c r="I2110">
        <v>-3.2249656129442501</v>
      </c>
      <c r="J2110">
        <v>1.25987800652517E-3</v>
      </c>
      <c r="K2110">
        <v>7.9904874471375901E-3</v>
      </c>
      <c r="L2110" t="s">
        <v>26</v>
      </c>
      <c r="M2110" t="s">
        <v>27</v>
      </c>
      <c r="N2110">
        <v>139.67071914647499</v>
      </c>
      <c r="O2110">
        <v>170.01360235422399</v>
      </c>
      <c r="P2110">
        <v>116.913556740663</v>
      </c>
      <c r="Q2110">
        <v>174.276066899792</v>
      </c>
      <c r="R2110">
        <v>186.21416382638199</v>
      </c>
      <c r="S2110">
        <v>149.55057633649901</v>
      </c>
      <c r="T2110">
        <v>109.99091317395001</v>
      </c>
      <c r="U2110">
        <v>124.192891261361</v>
      </c>
      <c r="V2110">
        <v>111.819350830403</v>
      </c>
      <c r="W2110">
        <v>121.651071696936</v>
      </c>
    </row>
    <row r="2111" spans="1:23" x14ac:dyDescent="0.2">
      <c r="A2111" t="s">
        <v>4229</v>
      </c>
      <c r="B2111" s="3" t="str">
        <f>HYPERLINK("http://www.ncbi.nlm.nih.gov/gene/279766","Rhbdd3")</f>
        <v>Rhbdd3</v>
      </c>
      <c r="C2111">
        <v>279766</v>
      </c>
      <c r="D2111" t="s">
        <v>4230</v>
      </c>
      <c r="E2111" s="3" t="str">
        <f>HYPERLINK("http://genome.ucsc.edu/cgi-bin/hgTracks?db=mm10&amp;lastVirtModeType=default&amp;lastVirtModeExtraState=&amp;virtModeType=default&amp;virtMode=0&amp;nonVirtPosition=&amp;position=chr11:5099272-5106100","chr11:5099272-5106100")</f>
        <v>chr11:5099272-5106100</v>
      </c>
      <c r="F2111" t="s">
        <v>30</v>
      </c>
      <c r="G2111">
        <v>0.70562097837511195</v>
      </c>
      <c r="H2111">
        <v>0.21880068639931499</v>
      </c>
      <c r="I2111">
        <v>3.2249486506972902</v>
      </c>
      <c r="J2111">
        <v>1.2599526542303599E-3</v>
      </c>
      <c r="K2111">
        <v>7.9904874471375901E-3</v>
      </c>
      <c r="L2111" t="s">
        <v>26</v>
      </c>
      <c r="M2111" t="s">
        <v>27</v>
      </c>
      <c r="N2111">
        <v>68.740276835807805</v>
      </c>
      <c r="O2111">
        <v>48.147236469238699</v>
      </c>
      <c r="P2111">
        <v>84.185057110734604</v>
      </c>
      <c r="Q2111">
        <v>50.111329140515302</v>
      </c>
      <c r="R2111">
        <v>37.925491614334497</v>
      </c>
      <c r="S2111">
        <v>56.404888652866397</v>
      </c>
      <c r="T2111">
        <v>96.242049027206505</v>
      </c>
      <c r="U2111">
        <v>92.074040073077995</v>
      </c>
      <c r="V2111">
        <v>72.094055140654604</v>
      </c>
      <c r="W2111">
        <v>76.330084201999398</v>
      </c>
    </row>
    <row r="2112" spans="1:23" x14ac:dyDescent="0.2">
      <c r="A2112" t="s">
        <v>4231</v>
      </c>
      <c r="B2112" s="3" t="str">
        <f>HYPERLINK("http://www.ncbi.nlm.nih.gov/gene/223870","Senp1")</f>
        <v>Senp1</v>
      </c>
      <c r="C2112">
        <v>223870</v>
      </c>
      <c r="D2112" t="s">
        <v>4232</v>
      </c>
      <c r="E2112" s="3" t="str">
        <f>HYPERLINK("http://genome.ucsc.edu/cgi-bin/hgTracks?db=mm10&amp;lastVirtModeType=default&amp;lastVirtModeExtraState=&amp;virtModeType=default&amp;virtMode=0&amp;nonVirtPosition=&amp;position=chr15:98038743-98093569","chr15:98038743-98093569")</f>
        <v>chr15:98038743-98093569</v>
      </c>
      <c r="F2112" t="s">
        <v>25</v>
      </c>
      <c r="G2112">
        <v>0.48423442649967902</v>
      </c>
      <c r="H2112">
        <v>0.15015566841153299</v>
      </c>
      <c r="I2112">
        <v>3.2248827608194799</v>
      </c>
      <c r="J2112">
        <v>1.2602426621129599E-3</v>
      </c>
      <c r="K2112">
        <v>7.9904874471375901E-3</v>
      </c>
      <c r="L2112" t="s">
        <v>26</v>
      </c>
      <c r="M2112" t="s">
        <v>27</v>
      </c>
      <c r="N2112">
        <v>332.40187513937798</v>
      </c>
      <c r="O2112">
        <v>266.41547511927899</v>
      </c>
      <c r="P2112">
        <v>381.891675154452</v>
      </c>
      <c r="Q2112">
        <v>219.93305567226099</v>
      </c>
      <c r="R2112">
        <v>260.54812739047799</v>
      </c>
      <c r="S2112">
        <v>318.76524229509801</v>
      </c>
      <c r="T2112">
        <v>426.21478854905803</v>
      </c>
      <c r="U2112">
        <v>383.28495751351102</v>
      </c>
      <c r="V2112">
        <v>353.11373946443001</v>
      </c>
      <c r="W2112">
        <v>364.95321509080901</v>
      </c>
    </row>
    <row r="2113" spans="1:23" x14ac:dyDescent="0.2">
      <c r="A2113" t="s">
        <v>4233</v>
      </c>
      <c r="B2113" s="3" t="str">
        <f>HYPERLINK("http://www.ncbi.nlm.nih.gov/gene/24070","Mpdu1")</f>
        <v>Mpdu1</v>
      </c>
      <c r="C2113">
        <v>24070</v>
      </c>
      <c r="D2113" t="s">
        <v>4234</v>
      </c>
      <c r="E2113" s="3" t="str">
        <f>HYPERLINK("http://genome.ucsc.edu/cgi-bin/hgTracks?db=mm10&amp;lastVirtModeType=default&amp;lastVirtModeExtraState=&amp;virtModeType=default&amp;virtMode=0&amp;nonVirtPosition=&amp;position=chr11:69656698-69662649","chr11:69656698-69662649")</f>
        <v>chr11:69656698-69662649</v>
      </c>
      <c r="F2113" t="s">
        <v>25</v>
      </c>
      <c r="G2113">
        <v>-0.58662419118182396</v>
      </c>
      <c r="H2113">
        <v>0.18195266756805401</v>
      </c>
      <c r="I2113">
        <v>-3.22404831444647</v>
      </c>
      <c r="J2113">
        <v>1.26392073299139E-3</v>
      </c>
      <c r="K2113">
        <v>8.0077263417327998E-3</v>
      </c>
      <c r="L2113" t="s">
        <v>26</v>
      </c>
      <c r="M2113" t="s">
        <v>27</v>
      </c>
      <c r="N2113">
        <v>191.59708056350701</v>
      </c>
      <c r="O2113">
        <v>239.288996652739</v>
      </c>
      <c r="P2113">
        <v>155.82814349658301</v>
      </c>
      <c r="Q2113">
        <v>181.514369997866</v>
      </c>
      <c r="R2113">
        <v>277.61459861692799</v>
      </c>
      <c r="S2113">
        <v>258.73802134342401</v>
      </c>
      <c r="T2113">
        <v>146.65455089860001</v>
      </c>
      <c r="U2113">
        <v>179.86556665438499</v>
      </c>
      <c r="V2113">
        <v>159.63683638287799</v>
      </c>
      <c r="W2113">
        <v>137.155620050468</v>
      </c>
    </row>
    <row r="2114" spans="1:23" x14ac:dyDescent="0.2">
      <c r="A2114" t="s">
        <v>4235</v>
      </c>
      <c r="B2114" s="3" t="str">
        <f>HYPERLINK("http://www.ncbi.nlm.nih.gov/gene/70650","Zcchc8")</f>
        <v>Zcchc8</v>
      </c>
      <c r="C2114">
        <v>70650</v>
      </c>
      <c r="D2114" t="s">
        <v>4236</v>
      </c>
      <c r="E2114" s="3" t="str">
        <f>HYPERLINK("http://genome.ucsc.edu/cgi-bin/hgTracks?db=mm10&amp;lastVirtModeType=default&amp;lastVirtModeExtraState=&amp;virtModeType=default&amp;virtMode=0&amp;nonVirtPosition=&amp;position=chr5:123698301-123721044","chr5:123698301-123721044")</f>
        <v>chr5:123698301-123721044</v>
      </c>
      <c r="F2114" t="s">
        <v>25</v>
      </c>
      <c r="G2114">
        <v>0.45070037147091502</v>
      </c>
      <c r="H2114">
        <v>0.13979563173912099</v>
      </c>
      <c r="I2114">
        <v>3.22399466896066</v>
      </c>
      <c r="J2114">
        <v>1.26415753016378E-3</v>
      </c>
      <c r="K2114">
        <v>8.0077263417327998E-3</v>
      </c>
      <c r="L2114" t="s">
        <v>26</v>
      </c>
      <c r="M2114" t="s">
        <v>27</v>
      </c>
      <c r="N2114">
        <v>250.59698546121101</v>
      </c>
      <c r="O2114">
        <v>202.99075498813201</v>
      </c>
      <c r="P2114">
        <v>286.30165831602</v>
      </c>
      <c r="Q2114">
        <v>182.07116254387199</v>
      </c>
      <c r="R2114">
        <v>200.246595723686</v>
      </c>
      <c r="S2114">
        <v>226.65450669683901</v>
      </c>
      <c r="T2114">
        <v>339.13864895301401</v>
      </c>
      <c r="U2114">
        <v>267.657093235692</v>
      </c>
      <c r="V2114">
        <v>264.09965097443899</v>
      </c>
      <c r="W2114">
        <v>274.31124010093498</v>
      </c>
    </row>
    <row r="2115" spans="1:23" x14ac:dyDescent="0.2">
      <c r="A2115" t="s">
        <v>4237</v>
      </c>
      <c r="B2115" s="3" t="str">
        <f>HYPERLINK("http://www.ncbi.nlm.nih.gov/gene/56700","Glmp")</f>
        <v>Glmp</v>
      </c>
      <c r="C2115">
        <v>56700</v>
      </c>
      <c r="D2115" t="s">
        <v>4238</v>
      </c>
      <c r="E2115" s="3" t="str">
        <f>HYPERLINK("http://genome.ucsc.edu/cgi-bin/hgTracks?db=mm10&amp;lastVirtModeType=default&amp;lastVirtModeExtraState=&amp;virtModeType=default&amp;virtMode=0&amp;nonVirtPosition=&amp;position=chr3:88325022-88328631","chr3:88325022-88328631")</f>
        <v>chr3:88325022-88328631</v>
      </c>
      <c r="F2115" t="s">
        <v>30</v>
      </c>
      <c r="G2115">
        <v>-0.56375477491412695</v>
      </c>
      <c r="H2115">
        <v>0.17487800201232401</v>
      </c>
      <c r="I2115">
        <v>-3.2237032012430999</v>
      </c>
      <c r="J2115">
        <v>1.2654448172322299E-3</v>
      </c>
      <c r="K2115">
        <v>8.0112426446849998E-3</v>
      </c>
      <c r="L2115" t="s">
        <v>26</v>
      </c>
      <c r="M2115" t="s">
        <v>27</v>
      </c>
      <c r="N2115">
        <v>173.34067353804801</v>
      </c>
      <c r="O2115">
        <v>217.910256459533</v>
      </c>
      <c r="P2115">
        <v>139.91348634693401</v>
      </c>
      <c r="Q2115">
        <v>237.75041714444501</v>
      </c>
      <c r="R2115">
        <v>174.83651634208201</v>
      </c>
      <c r="S2115">
        <v>241.143835892071</v>
      </c>
      <c r="T2115">
        <v>109.99091317395001</v>
      </c>
      <c r="U2115">
        <v>141.32294522844501</v>
      </c>
      <c r="V2115">
        <v>154.48726101568801</v>
      </c>
      <c r="W2115">
        <v>153.85282596965499</v>
      </c>
    </row>
    <row r="2116" spans="1:23" x14ac:dyDescent="0.2">
      <c r="A2116" t="s">
        <v>4239</v>
      </c>
      <c r="B2116" s="3" t="str">
        <f>HYPERLINK("http://www.ncbi.nlm.nih.gov/gene/94229","Slc4a10")</f>
        <v>Slc4a10</v>
      </c>
      <c r="C2116">
        <v>94229</v>
      </c>
      <c r="D2116" t="s">
        <v>4240</v>
      </c>
      <c r="E2116" s="3" t="str">
        <f>HYPERLINK("http://genome.ucsc.edu/cgi-bin/hgTracks?db=mm10&amp;lastVirtModeType=default&amp;lastVirtModeExtraState=&amp;virtModeType=default&amp;virtMode=0&amp;nonVirtPosition=&amp;position=chr2:62046514-62326743","chr2:62046514-62326743")</f>
        <v>chr2:62046514-62326743</v>
      </c>
      <c r="F2116" t="s">
        <v>30</v>
      </c>
      <c r="G2116">
        <v>-0.80807896503658405</v>
      </c>
      <c r="H2116">
        <v>0.25068090564581802</v>
      </c>
      <c r="I2116">
        <v>-3.22353616425139</v>
      </c>
      <c r="J2116">
        <v>1.2661830929106999E-3</v>
      </c>
      <c r="K2116">
        <v>8.0112426446849998E-3</v>
      </c>
      <c r="L2116" t="s">
        <v>26</v>
      </c>
      <c r="M2116" t="s">
        <v>27</v>
      </c>
      <c r="N2116">
        <v>242.28851204631701</v>
      </c>
      <c r="O2116">
        <v>329.56368917516897</v>
      </c>
      <c r="P2116">
        <v>176.83212919967701</v>
      </c>
      <c r="Q2116">
        <v>422.60554241834501</v>
      </c>
      <c r="R2116">
        <v>400.493191447372</v>
      </c>
      <c r="S2116">
        <v>165.592333659791</v>
      </c>
      <c r="T2116">
        <v>206.23296220115699</v>
      </c>
      <c r="U2116">
        <v>147.74671546610199</v>
      </c>
      <c r="V2116">
        <v>178.02817697998401</v>
      </c>
      <c r="W2116">
        <v>175.32066215146699</v>
      </c>
    </row>
    <row r="2117" spans="1:23" x14ac:dyDescent="0.2">
      <c r="A2117" t="s">
        <v>4241</v>
      </c>
      <c r="B2117" s="3" t="str">
        <f>HYPERLINK("http://www.ncbi.nlm.nih.gov/gene/69217","Plekha4")</f>
        <v>Plekha4</v>
      </c>
      <c r="C2117">
        <v>69217</v>
      </c>
      <c r="D2117" t="s">
        <v>4242</v>
      </c>
      <c r="E2117" s="3" t="str">
        <f>HYPERLINK("http://genome.ucsc.edu/cgi-bin/hgTracks?db=mm10&amp;lastVirtModeType=default&amp;lastVirtModeExtraState=&amp;virtModeType=default&amp;virtMode=0&amp;nonVirtPosition=&amp;position=chr7:45526329-45554229","chr7:45526329-45554229")</f>
        <v>chr7:45526329-45554229</v>
      </c>
      <c r="F2117" t="s">
        <v>30</v>
      </c>
      <c r="G2117">
        <v>0.74059891280999302</v>
      </c>
      <c r="H2117">
        <v>0.22976062746569301</v>
      </c>
      <c r="I2117">
        <v>3.22334997505427</v>
      </c>
      <c r="J2117">
        <v>1.2670064867883E-3</v>
      </c>
      <c r="K2117">
        <v>8.0112426446849998E-3</v>
      </c>
      <c r="L2117" t="s">
        <v>26</v>
      </c>
      <c r="M2117" t="s">
        <v>27</v>
      </c>
      <c r="N2117">
        <v>85.849698894429693</v>
      </c>
      <c r="O2117">
        <v>61.617400390179903</v>
      </c>
      <c r="P2117">
        <v>104.023922772617</v>
      </c>
      <c r="Q2117">
        <v>64.031142790658393</v>
      </c>
      <c r="R2117">
        <v>44.752080104914697</v>
      </c>
      <c r="S2117">
        <v>76.068978274966597</v>
      </c>
      <c r="T2117">
        <v>77.910230164881497</v>
      </c>
      <c r="U2117">
        <v>94.215296818963594</v>
      </c>
      <c r="V2117">
        <v>129.47503780362501</v>
      </c>
      <c r="W2117">
        <v>114.495126302999</v>
      </c>
    </row>
    <row r="2118" spans="1:23" x14ac:dyDescent="0.2">
      <c r="A2118" t="s">
        <v>4243</v>
      </c>
      <c r="B2118" s="3" t="str">
        <f>HYPERLINK("http://www.ncbi.nlm.nih.gov/gene/20317","Serpinf1")</f>
        <v>Serpinf1</v>
      </c>
      <c r="C2118">
        <v>20317</v>
      </c>
      <c r="D2118" t="s">
        <v>4244</v>
      </c>
      <c r="E2118" s="3" t="str">
        <f>HYPERLINK("http://genome.ucsc.edu/cgi-bin/hgTracks?db=mm10&amp;lastVirtModeType=default&amp;lastVirtModeExtraState=&amp;virtModeType=default&amp;virtMode=0&amp;nonVirtPosition=&amp;position=chr11:75410028-75422623","chr11:75410028-75422623")</f>
        <v>chr11:75410028-75422623</v>
      </c>
      <c r="F2118" t="s">
        <v>25</v>
      </c>
      <c r="G2118">
        <v>-1.11983237144084</v>
      </c>
      <c r="H2118">
        <v>0.34741500879330001</v>
      </c>
      <c r="I2118">
        <v>-3.2233275566603301</v>
      </c>
      <c r="J2118">
        <v>1.2671056621195501E-3</v>
      </c>
      <c r="K2118">
        <v>8.0112426446849998E-3</v>
      </c>
      <c r="L2118" t="s">
        <v>26</v>
      </c>
      <c r="M2118" t="s">
        <v>27</v>
      </c>
      <c r="N2118">
        <v>18.043223880427501</v>
      </c>
      <c r="O2118">
        <v>29.1460888335167</v>
      </c>
      <c r="P2118">
        <v>9.7160751656106292</v>
      </c>
      <c r="Q2118">
        <v>39.532270766406498</v>
      </c>
      <c r="R2118">
        <v>20.479765471740599</v>
      </c>
      <c r="S2118">
        <v>27.4262302624029</v>
      </c>
      <c r="T2118">
        <v>9.1659094311625307</v>
      </c>
      <c r="U2118">
        <v>8.5650269835421398</v>
      </c>
      <c r="V2118">
        <v>13.977418853800399</v>
      </c>
      <c r="W2118">
        <v>7.15594539393744</v>
      </c>
    </row>
    <row r="2119" spans="1:23" x14ac:dyDescent="0.2">
      <c r="A2119" t="s">
        <v>4245</v>
      </c>
      <c r="B2119" s="3" t="str">
        <f>HYPERLINK("http://www.ncbi.nlm.nih.gov/gene/78317","Ccdc88b")</f>
        <v>Ccdc88b</v>
      </c>
      <c r="C2119">
        <v>78317</v>
      </c>
      <c r="D2119" t="s">
        <v>4246</v>
      </c>
      <c r="E2119" s="3" t="str">
        <f>HYPERLINK("http://genome.ucsc.edu/cgi-bin/hgTracks?db=mm10&amp;lastVirtModeType=default&amp;lastVirtModeExtraState=&amp;virtModeType=default&amp;virtMode=0&amp;nonVirtPosition=&amp;position=chr19:6844622-6858211","chr19:6844622-6858211")</f>
        <v>chr19:6844622-6858211</v>
      </c>
      <c r="F2119" t="s">
        <v>25</v>
      </c>
      <c r="G2119">
        <v>0.98913220148424696</v>
      </c>
      <c r="H2119">
        <v>0.306996752187495</v>
      </c>
      <c r="I2119">
        <v>3.2219630808346298</v>
      </c>
      <c r="J2119">
        <v>1.2731553917000101E-3</v>
      </c>
      <c r="K2119">
        <v>8.0456931808658792E-3</v>
      </c>
      <c r="L2119" t="s">
        <v>26</v>
      </c>
      <c r="M2119" t="s">
        <v>27</v>
      </c>
      <c r="N2119">
        <v>50.950719845665802</v>
      </c>
      <c r="O2119">
        <v>28.7696830830706</v>
      </c>
      <c r="P2119">
        <v>67.586497417612094</v>
      </c>
      <c r="Q2119">
        <v>36.191515490372097</v>
      </c>
      <c r="R2119">
        <v>14.411686813447099</v>
      </c>
      <c r="S2119">
        <v>35.705846945392501</v>
      </c>
      <c r="T2119">
        <v>96.242049027206505</v>
      </c>
      <c r="U2119">
        <v>38.5426214259396</v>
      </c>
      <c r="V2119">
        <v>64.001865277928005</v>
      </c>
      <c r="W2119">
        <v>71.559453939374393</v>
      </c>
    </row>
    <row r="2120" spans="1:23" x14ac:dyDescent="0.2">
      <c r="A2120" t="s">
        <v>4247</v>
      </c>
      <c r="B2120" s="3" t="str">
        <f>HYPERLINK("http://www.ncbi.nlm.nih.gov/gene/22288","Utrn")</f>
        <v>Utrn</v>
      </c>
      <c r="C2120">
        <v>22288</v>
      </c>
      <c r="D2120" t="s">
        <v>4248</v>
      </c>
      <c r="E2120" s="3" t="str">
        <f>HYPERLINK("http://genome.ucsc.edu/cgi-bin/hgTracks?db=mm10&amp;lastVirtModeType=default&amp;lastVirtModeExtraState=&amp;virtModeType=default&amp;virtMode=0&amp;nonVirtPosition=&amp;position=chr10:12382187-12861735","chr10:12382187-12861735")</f>
        <v>chr10:12382187-12861735</v>
      </c>
      <c r="F2120" t="s">
        <v>25</v>
      </c>
      <c r="G2120">
        <v>0.416422642543338</v>
      </c>
      <c r="H2120">
        <v>0.12925292876505801</v>
      </c>
      <c r="I2120">
        <v>3.2217656228143698</v>
      </c>
      <c r="J2120">
        <v>1.27403307427549E-3</v>
      </c>
      <c r="K2120">
        <v>8.0474419328410898E-3</v>
      </c>
      <c r="L2120" t="s">
        <v>26</v>
      </c>
      <c r="M2120" t="s">
        <v>27</v>
      </c>
      <c r="N2120">
        <v>705.41815841720199</v>
      </c>
      <c r="O2120">
        <v>589.97098361350004</v>
      </c>
      <c r="P2120">
        <v>792.00353951997897</v>
      </c>
      <c r="Q2120">
        <v>591.31368385808003</v>
      </c>
      <c r="R2120">
        <v>524.50954902624596</v>
      </c>
      <c r="S2120">
        <v>654.08971795617504</v>
      </c>
      <c r="T2120">
        <v>815.76593937346502</v>
      </c>
      <c r="U2120">
        <v>674.49587495394405</v>
      </c>
      <c r="V2120">
        <v>810.69029352042196</v>
      </c>
      <c r="W2120">
        <v>867.06205023208599</v>
      </c>
    </row>
    <row r="2121" spans="1:23" x14ac:dyDescent="0.2">
      <c r="A2121" t="s">
        <v>4249</v>
      </c>
      <c r="B2121" s="3" t="str">
        <f>HYPERLINK("http://www.ncbi.nlm.nih.gov/gene/20005","Rpl9")</f>
        <v>Rpl9</v>
      </c>
      <c r="C2121">
        <v>20005</v>
      </c>
      <c r="D2121" t="s">
        <v>4250</v>
      </c>
      <c r="E2121" s="3" t="str">
        <f>HYPERLINK("http://genome.ucsc.edu/cgi-bin/hgTracks?db=mm10&amp;lastVirtModeType=default&amp;lastVirtModeExtraState=&amp;virtModeType=default&amp;virtMode=0&amp;nonVirtPosition=&amp;position=chr5:65388363-65391431","chr5:65388363-65391431")</f>
        <v>chr5:65388363-65391431</v>
      </c>
      <c r="F2121" t="s">
        <v>25</v>
      </c>
      <c r="G2121">
        <v>0.80827375971730497</v>
      </c>
      <c r="H2121">
        <v>0.25092710557040998</v>
      </c>
      <c r="I2121">
        <v>3.2211496557134698</v>
      </c>
      <c r="J2121">
        <v>1.2767745810564001E-3</v>
      </c>
      <c r="K2121">
        <v>8.0598108569074206E-3</v>
      </c>
      <c r="L2121" t="s">
        <v>26</v>
      </c>
      <c r="M2121" t="s">
        <v>27</v>
      </c>
      <c r="N2121">
        <v>36.979731715736001</v>
      </c>
      <c r="O2121">
        <v>24.297356702427201</v>
      </c>
      <c r="P2121">
        <v>46.491512975717498</v>
      </c>
      <c r="Q2121">
        <v>21.158116748217498</v>
      </c>
      <c r="R2121">
        <v>22.755294968600701</v>
      </c>
      <c r="S2121">
        <v>28.978658390463501</v>
      </c>
      <c r="T2121">
        <v>50.4125018713939</v>
      </c>
      <c r="U2121">
        <v>47.107648409481797</v>
      </c>
      <c r="V2121">
        <v>41.932256561401097</v>
      </c>
      <c r="W2121">
        <v>46.513645060593397</v>
      </c>
    </row>
    <row r="2122" spans="1:23" x14ac:dyDescent="0.2">
      <c r="A2122" t="s">
        <v>4251</v>
      </c>
      <c r="B2122" s="3" t="str">
        <f>HYPERLINK("http://www.ncbi.nlm.nih.gov/gene/24117","Wif1")</f>
        <v>Wif1</v>
      </c>
      <c r="C2122">
        <v>24117</v>
      </c>
      <c r="D2122" t="s">
        <v>4252</v>
      </c>
      <c r="E2122" s="3" t="str">
        <f>HYPERLINK("http://genome.ucsc.edu/cgi-bin/hgTracks?db=mm10&amp;lastVirtModeType=default&amp;lastVirtModeExtraState=&amp;virtModeType=default&amp;virtMode=0&amp;nonVirtPosition=&amp;position=chr10:121034003-121100642","chr10:121034003-121100642")</f>
        <v>chr10:121034003-121100642</v>
      </c>
      <c r="F2122" t="s">
        <v>30</v>
      </c>
      <c r="G2122">
        <v>1.28701091773244</v>
      </c>
      <c r="H2122">
        <v>0.39956550660143197</v>
      </c>
      <c r="I2122">
        <v>3.2210260807528499</v>
      </c>
      <c r="J2122">
        <v>1.2773252359829599E-3</v>
      </c>
      <c r="K2122">
        <v>8.0598108569074206E-3</v>
      </c>
      <c r="L2122" t="s">
        <v>26</v>
      </c>
      <c r="M2122" t="s">
        <v>27</v>
      </c>
      <c r="N2122">
        <v>12.348170794127901</v>
      </c>
      <c r="O2122">
        <v>2.94262057730118</v>
      </c>
      <c r="P2122">
        <v>19.4023334567479</v>
      </c>
      <c r="Q2122">
        <v>3.8975478220400701</v>
      </c>
      <c r="R2122">
        <v>4.9303139098634796</v>
      </c>
      <c r="S2122">
        <v>0</v>
      </c>
      <c r="T2122">
        <v>41.246592440231403</v>
      </c>
      <c r="U2122">
        <v>6.4237702376566101</v>
      </c>
      <c r="V2122">
        <v>13.241765229916099</v>
      </c>
      <c r="W2122">
        <v>16.6972059191874</v>
      </c>
    </row>
    <row r="2123" spans="1:23" x14ac:dyDescent="0.2">
      <c r="A2123" t="s">
        <v>4253</v>
      </c>
      <c r="B2123" s="3" t="str">
        <f>HYPERLINK("http://www.ncbi.nlm.nih.gov/gene/67846","Tmem39a")</f>
        <v>Tmem39a</v>
      </c>
      <c r="C2123">
        <v>67846</v>
      </c>
      <c r="D2123" t="s">
        <v>4254</v>
      </c>
      <c r="E2123" s="3" t="str">
        <f>HYPERLINK("http://genome.ucsc.edu/cgi-bin/hgTracks?db=mm10&amp;lastVirtModeType=default&amp;lastVirtModeExtraState=&amp;virtModeType=default&amp;virtMode=0&amp;nonVirtPosition=&amp;position=chr16:38562813-38592162","chr16:38562813-38592162")</f>
        <v>chr16:38562813-38592162</v>
      </c>
      <c r="F2123" t="s">
        <v>30</v>
      </c>
      <c r="G2123">
        <v>0.63064890034079402</v>
      </c>
      <c r="H2123">
        <v>0.19579773719687099</v>
      </c>
      <c r="I2123">
        <v>3.2209202688930501</v>
      </c>
      <c r="J2123">
        <v>1.2777969120464801E-3</v>
      </c>
      <c r="K2123">
        <v>8.0598108569074206E-3</v>
      </c>
      <c r="L2123" t="s">
        <v>26</v>
      </c>
      <c r="M2123" t="s">
        <v>27</v>
      </c>
      <c r="N2123">
        <v>94.316292450684102</v>
      </c>
      <c r="O2123">
        <v>69.664129571517407</v>
      </c>
      <c r="P2123">
        <v>112.805414610059</v>
      </c>
      <c r="Q2123">
        <v>68.485483158704199</v>
      </c>
      <c r="R2123">
        <v>65.990355408941994</v>
      </c>
      <c r="S2123">
        <v>74.516550146906098</v>
      </c>
      <c r="T2123">
        <v>142.07159618301901</v>
      </c>
      <c r="U2123">
        <v>74.943986105993702</v>
      </c>
      <c r="V2123">
        <v>112.555004454287</v>
      </c>
      <c r="W2123">
        <v>121.651071696936</v>
      </c>
    </row>
    <row r="2124" spans="1:23" x14ac:dyDescent="0.2">
      <c r="A2124" t="s">
        <v>4255</v>
      </c>
      <c r="B2124" s="3" t="str">
        <f>HYPERLINK("http://www.ncbi.nlm.nih.gov/gene/74843","Mss51")</f>
        <v>Mss51</v>
      </c>
      <c r="C2124">
        <v>74843</v>
      </c>
      <c r="D2124" t="s">
        <v>4256</v>
      </c>
      <c r="E2124" s="3" t="str">
        <f>HYPERLINK("http://genome.ucsc.edu/cgi-bin/hgTracks?db=mm10&amp;lastVirtModeType=default&amp;lastVirtModeExtraState=&amp;virtModeType=default&amp;virtMode=0&amp;nonVirtPosition=&amp;position=chr14:20482863-20496901","chr14:20482863-20496901")</f>
        <v>chr14:20482863-20496901</v>
      </c>
      <c r="F2124" t="s">
        <v>25</v>
      </c>
      <c r="G2124">
        <v>1.0626558615408599</v>
      </c>
      <c r="H2124">
        <v>0.32995568864214297</v>
      </c>
      <c r="I2124">
        <v>3.22060172962611</v>
      </c>
      <c r="J2124">
        <v>1.27921783088865E-3</v>
      </c>
      <c r="K2124">
        <v>8.0649745637617499E-3</v>
      </c>
      <c r="L2124" t="s">
        <v>26</v>
      </c>
      <c r="M2124" t="s">
        <v>27</v>
      </c>
      <c r="N2124">
        <v>16.444384498925299</v>
      </c>
      <c r="O2124">
        <v>8.2117248718015201</v>
      </c>
      <c r="P2124">
        <v>22.618879219268099</v>
      </c>
      <c r="Q2124">
        <v>8.9086807360916005</v>
      </c>
      <c r="R2124">
        <v>7.9643532390102401</v>
      </c>
      <c r="S2124">
        <v>7.7621406403027198</v>
      </c>
      <c r="T2124">
        <v>32.0806830090688</v>
      </c>
      <c r="U2124">
        <v>19.2713107129698</v>
      </c>
      <c r="V2124">
        <v>17.655686973221499</v>
      </c>
      <c r="W2124">
        <v>21.467836181812299</v>
      </c>
    </row>
    <row r="2125" spans="1:23" x14ac:dyDescent="0.2">
      <c r="A2125" t="s">
        <v>4257</v>
      </c>
      <c r="B2125" s="3" t="str">
        <f>HYPERLINK("http://www.ncbi.nlm.nih.gov/gene/71489","Bcas3os1")</f>
        <v>Bcas3os1</v>
      </c>
      <c r="C2125">
        <v>71489</v>
      </c>
      <c r="D2125" t="s">
        <v>4258</v>
      </c>
      <c r="E2125" s="3" t="str">
        <f>HYPERLINK("http://genome.ucsc.edu/cgi-bin/hgTracks?db=mm10&amp;lastVirtModeType=default&amp;lastVirtModeExtraState=&amp;virtModeType=default&amp;virtMode=0&amp;nonVirtPosition=&amp;position=chr11:85702199-85719744","chr11:85702199-85719744")</f>
        <v>chr11:85702199-85719744</v>
      </c>
      <c r="F2125" t="s">
        <v>25</v>
      </c>
      <c r="G2125">
        <v>1.0693936070735901</v>
      </c>
      <c r="H2125">
        <v>0.33212871005449202</v>
      </c>
      <c r="I2125">
        <v>3.2198168201060899</v>
      </c>
      <c r="J2125">
        <v>1.2827253306008E-3</v>
      </c>
      <c r="K2125">
        <v>8.0832823068589504E-3</v>
      </c>
      <c r="L2125" t="s">
        <v>26</v>
      </c>
      <c r="M2125" t="s">
        <v>27</v>
      </c>
      <c r="N2125">
        <v>17.001955974828199</v>
      </c>
      <c r="O2125">
        <v>8.6539019335885197</v>
      </c>
      <c r="P2125">
        <v>23.262996505758</v>
      </c>
      <c r="Q2125">
        <v>10.579058374108801</v>
      </c>
      <c r="R2125">
        <v>6.0680786582935102</v>
      </c>
      <c r="S2125">
        <v>9.3145687683632605</v>
      </c>
      <c r="T2125">
        <v>27.497728293487601</v>
      </c>
      <c r="U2125">
        <v>25.695080950626402</v>
      </c>
      <c r="V2125">
        <v>18.391340597105799</v>
      </c>
      <c r="W2125">
        <v>21.467836181812299</v>
      </c>
    </row>
    <row r="2126" spans="1:23" x14ac:dyDescent="0.2">
      <c r="A2126" t="s">
        <v>4259</v>
      </c>
      <c r="B2126" s="3" t="str">
        <f>HYPERLINK("http://www.ncbi.nlm.nih.gov/gene/71517","9030624J02Rik")</f>
        <v>9030624J02Rik</v>
      </c>
      <c r="C2126">
        <v>71517</v>
      </c>
      <c r="D2126" t="s">
        <v>4260</v>
      </c>
      <c r="E2126" s="3" t="str">
        <f>HYPERLINK("http://genome.ucsc.edu/cgi-bin/hgTracks?db=mm10&amp;lastVirtModeType=default&amp;lastVirtModeExtraState=&amp;virtModeType=default&amp;virtMode=0&amp;nonVirtPosition=&amp;position=chr7:118740270-118841491","chr7:118740270-118841491")</f>
        <v>chr7:118740270-118841491</v>
      </c>
      <c r="F2126" t="s">
        <v>30</v>
      </c>
      <c r="G2126">
        <v>-0.39014435791927299</v>
      </c>
      <c r="H2126">
        <v>0.12118424892987401</v>
      </c>
      <c r="I2126">
        <v>-3.2194312492297401</v>
      </c>
      <c r="J2126">
        <v>1.28445156825654E-3</v>
      </c>
      <c r="K2126">
        <v>8.0903532222593496E-3</v>
      </c>
      <c r="L2126" t="s">
        <v>26</v>
      </c>
      <c r="M2126" t="s">
        <v>27</v>
      </c>
      <c r="N2126">
        <v>467.45423650497401</v>
      </c>
      <c r="O2126">
        <v>542.88633840404202</v>
      </c>
      <c r="P2126">
        <v>410.88016008067302</v>
      </c>
      <c r="Q2126">
        <v>615.25576333632603</v>
      </c>
      <c r="R2126">
        <v>496.444685231638</v>
      </c>
      <c r="S2126">
        <v>516.95856664416101</v>
      </c>
      <c r="T2126">
        <v>407.882969686732</v>
      </c>
      <c r="U2126">
        <v>415.40380870179399</v>
      </c>
      <c r="V2126">
        <v>417.11560474235898</v>
      </c>
      <c r="W2126">
        <v>403.11825719180899</v>
      </c>
    </row>
    <row r="2127" spans="1:23" x14ac:dyDescent="0.2">
      <c r="A2127" t="s">
        <v>4261</v>
      </c>
      <c r="B2127" s="3" t="str">
        <f>HYPERLINK("http://www.ncbi.nlm.nih.gov/gene/13350","Dgat1")</f>
        <v>Dgat1</v>
      </c>
      <c r="C2127">
        <v>13350</v>
      </c>
      <c r="D2127" t="s">
        <v>4262</v>
      </c>
      <c r="E2127" s="3" t="str">
        <f>HYPERLINK("http://genome.ucsc.edu/cgi-bin/hgTracks?db=mm10&amp;lastVirtModeType=default&amp;lastVirtModeExtraState=&amp;virtModeType=default&amp;virtMode=0&amp;nonVirtPosition=&amp;position=chr15:76502014-76511818","chr15:76502014-76511818")</f>
        <v>chr15:76502014-76511818</v>
      </c>
      <c r="F2127" t="s">
        <v>25</v>
      </c>
      <c r="G2127">
        <v>0.55542670657201598</v>
      </c>
      <c r="H2127">
        <v>0.17256814330158801</v>
      </c>
      <c r="I2127">
        <v>3.2185935129482601</v>
      </c>
      <c r="J2127">
        <v>1.2882095871081501E-3</v>
      </c>
      <c r="K2127">
        <v>8.1102090178491702E-3</v>
      </c>
      <c r="L2127" t="s">
        <v>26</v>
      </c>
      <c r="M2127" t="s">
        <v>27</v>
      </c>
      <c r="N2127">
        <v>104.745454574733</v>
      </c>
      <c r="O2127">
        <v>82.563986535394903</v>
      </c>
      <c r="P2127">
        <v>121.38155560423699</v>
      </c>
      <c r="Q2127">
        <v>84.075674446864497</v>
      </c>
      <c r="R2127">
        <v>73.575453731808807</v>
      </c>
      <c r="S2127">
        <v>90.040831427511506</v>
      </c>
      <c r="T2127">
        <v>100.825003742788</v>
      </c>
      <c r="U2127">
        <v>139.18168848255999</v>
      </c>
      <c r="V2127">
        <v>125.06111606031899</v>
      </c>
      <c r="W2127">
        <v>120.45841413127999</v>
      </c>
    </row>
    <row r="2128" spans="1:23" x14ac:dyDescent="0.2">
      <c r="A2128" t="s">
        <v>4263</v>
      </c>
      <c r="B2128" s="3" t="str">
        <f>HYPERLINK("http://www.ncbi.nlm.nih.gov/gene/13649","Egfr")</f>
        <v>Egfr</v>
      </c>
      <c r="C2128">
        <v>13649</v>
      </c>
      <c r="D2128" t="s">
        <v>4264</v>
      </c>
      <c r="E2128" s="3" t="str">
        <f>HYPERLINK("http://genome.ucsc.edu/cgi-bin/hgTracks?db=mm10&amp;lastVirtModeType=default&amp;lastVirtModeExtraState=&amp;virtModeType=default&amp;virtMode=0&amp;nonVirtPosition=&amp;position=chr11:16752202-16913907","chr11:16752202-16913907")</f>
        <v>chr11:16752202-16913907</v>
      </c>
      <c r="F2128" t="s">
        <v>30</v>
      </c>
      <c r="G2128">
        <v>-0.66943780313970402</v>
      </c>
      <c r="H2128">
        <v>0.20803942310083201</v>
      </c>
      <c r="I2128">
        <v>-3.2178410858947699</v>
      </c>
      <c r="J2128">
        <v>1.2915935640504101E-3</v>
      </c>
      <c r="K2128">
        <v>8.1250865174693696E-3</v>
      </c>
      <c r="L2128" t="s">
        <v>26</v>
      </c>
      <c r="M2128" t="s">
        <v>27</v>
      </c>
      <c r="N2128">
        <v>58.410179697416602</v>
      </c>
      <c r="O2128">
        <v>74.8412515524643</v>
      </c>
      <c r="P2128">
        <v>46.086875806130898</v>
      </c>
      <c r="Q2128">
        <v>74.053408618761395</v>
      </c>
      <c r="R2128">
        <v>76.988747977098996</v>
      </c>
      <c r="S2128">
        <v>73.481598061532395</v>
      </c>
      <c r="T2128">
        <v>50.4125018713939</v>
      </c>
      <c r="U2128">
        <v>42.825134917710699</v>
      </c>
      <c r="V2128">
        <v>43.403563809169597</v>
      </c>
      <c r="W2128">
        <v>47.706302626249602</v>
      </c>
    </row>
    <row r="2129" spans="1:23" x14ac:dyDescent="0.2">
      <c r="A2129" t="s">
        <v>4265</v>
      </c>
      <c r="B2129" s="3" t="str">
        <f>HYPERLINK("http://www.ncbi.nlm.nih.gov/gene/103406","Zfr2")</f>
        <v>Zfr2</v>
      </c>
      <c r="C2129">
        <v>103406</v>
      </c>
      <c r="D2129" t="s">
        <v>4266</v>
      </c>
      <c r="E2129" s="3" t="str">
        <f>HYPERLINK("http://genome.ucsc.edu/cgi-bin/hgTracks?db=mm10&amp;lastVirtModeType=default&amp;lastVirtModeExtraState=&amp;virtModeType=default&amp;virtMode=0&amp;nonVirtPosition=&amp;position=chr10:81233162-81252123","chr10:81233162-81252123")</f>
        <v>chr10:81233162-81252123</v>
      </c>
      <c r="F2129" t="s">
        <v>30</v>
      </c>
      <c r="G2129">
        <v>0.70146753529095696</v>
      </c>
      <c r="H2129">
        <v>0.21799611685585801</v>
      </c>
      <c r="I2129">
        <v>3.2177983048880501</v>
      </c>
      <c r="J2129">
        <v>1.2917862143000699E-3</v>
      </c>
      <c r="K2129">
        <v>8.1250865174693696E-3</v>
      </c>
      <c r="L2129" t="s">
        <v>26</v>
      </c>
      <c r="M2129" t="s">
        <v>27</v>
      </c>
      <c r="N2129">
        <v>51.329425897212602</v>
      </c>
      <c r="O2129">
        <v>37.2037270660243</v>
      </c>
      <c r="P2129">
        <v>61.923700020603903</v>
      </c>
      <c r="Q2129">
        <v>39.532270766406498</v>
      </c>
      <c r="R2129">
        <v>37.925491614334497</v>
      </c>
      <c r="S2129">
        <v>34.153418817331897</v>
      </c>
      <c r="T2129">
        <v>50.4125018713939</v>
      </c>
      <c r="U2129">
        <v>68.520215868337104</v>
      </c>
      <c r="V2129">
        <v>59.587943534622603</v>
      </c>
      <c r="W2129">
        <v>69.174138808061898</v>
      </c>
    </row>
    <row r="2130" spans="1:23" x14ac:dyDescent="0.2">
      <c r="A2130" t="s">
        <v>4267</v>
      </c>
      <c r="B2130" s="3" t="str">
        <f>HYPERLINK("http://www.ncbi.nlm.nih.gov/gene/66661","Srp72")</f>
        <v>Srp72</v>
      </c>
      <c r="C2130">
        <v>66661</v>
      </c>
      <c r="D2130" t="s">
        <v>4268</v>
      </c>
      <c r="E2130" s="3" t="str">
        <f>HYPERLINK("http://genome.ucsc.edu/cgi-bin/hgTracks?db=mm10&amp;lastVirtModeType=default&amp;lastVirtModeExtraState=&amp;virtModeType=default&amp;virtMode=0&amp;nonVirtPosition=&amp;position=chr5:76974700-76999935","chr5:76974700-76999935")</f>
        <v>chr5:76974700-76999935</v>
      </c>
      <c r="F2130" t="s">
        <v>30</v>
      </c>
      <c r="G2130">
        <v>-0.39015807168608002</v>
      </c>
      <c r="H2130">
        <v>0.121284790110081</v>
      </c>
      <c r="I2130">
        <v>-3.2168755153219499</v>
      </c>
      <c r="J2130">
        <v>1.29594815634072E-3</v>
      </c>
      <c r="K2130">
        <v>8.1474374467411202E-3</v>
      </c>
      <c r="L2130" t="s">
        <v>26</v>
      </c>
      <c r="M2130" t="s">
        <v>27</v>
      </c>
      <c r="N2130">
        <v>454.84793212436</v>
      </c>
      <c r="O2130">
        <v>532.581030488848</v>
      </c>
      <c r="P2130">
        <v>396.54810835099499</v>
      </c>
      <c r="Q2130">
        <v>500.55649885914698</v>
      </c>
      <c r="R2130">
        <v>576.08821762174</v>
      </c>
      <c r="S2130">
        <v>521.09837498565605</v>
      </c>
      <c r="T2130">
        <v>334.55569423743202</v>
      </c>
      <c r="U2130">
        <v>402.556268226481</v>
      </c>
      <c r="V2130">
        <v>434.035638091696</v>
      </c>
      <c r="W2130">
        <v>415.04483284837102</v>
      </c>
    </row>
    <row r="2131" spans="1:23" x14ac:dyDescent="0.2">
      <c r="A2131" t="s">
        <v>4269</v>
      </c>
      <c r="B2131" s="3" t="str">
        <f>HYPERLINK("http://www.ncbi.nlm.nih.gov/gene/13823","Epb41l3")</f>
        <v>Epb41l3</v>
      </c>
      <c r="C2131">
        <v>13823</v>
      </c>
      <c r="D2131" t="s">
        <v>4270</v>
      </c>
      <c r="E2131" s="3" t="str">
        <f>HYPERLINK("http://genome.ucsc.edu/cgi-bin/hgTracks?db=mm10&amp;lastVirtModeType=default&amp;lastVirtModeExtraState=&amp;virtModeType=default&amp;virtMode=0&amp;nonVirtPosition=&amp;position=chr17:69156809-69289987","chr17:69156809-69289987")</f>
        <v>chr17:69156809-69289987</v>
      </c>
      <c r="F2131" t="s">
        <v>30</v>
      </c>
      <c r="G2131">
        <v>-0.51096041712533302</v>
      </c>
      <c r="H2131">
        <v>0.15884933233798801</v>
      </c>
      <c r="I2131">
        <v>-3.2166355980530499</v>
      </c>
      <c r="J2131">
        <v>1.2970322503948E-3</v>
      </c>
      <c r="K2131">
        <v>8.1504264969670601E-3</v>
      </c>
      <c r="L2131" t="s">
        <v>26</v>
      </c>
      <c r="M2131" t="s">
        <v>27</v>
      </c>
      <c r="N2131">
        <v>584.80638387932004</v>
      </c>
      <c r="O2131">
        <v>704.90573315598294</v>
      </c>
      <c r="P2131">
        <v>494.73187192182297</v>
      </c>
      <c r="Q2131">
        <v>692.64992723112198</v>
      </c>
      <c r="R2131">
        <v>790.74650015887403</v>
      </c>
      <c r="S2131">
        <v>631.32077207795396</v>
      </c>
      <c r="T2131">
        <v>572.86933944765804</v>
      </c>
      <c r="U2131">
        <v>546.02047020081102</v>
      </c>
      <c r="V2131">
        <v>372.24073368542003</v>
      </c>
      <c r="W2131">
        <v>487.79694435340201</v>
      </c>
    </row>
    <row r="2132" spans="1:23" x14ac:dyDescent="0.2">
      <c r="A2132" t="s">
        <v>4271</v>
      </c>
      <c r="B2132" s="3" t="str">
        <f>HYPERLINK("http://www.ncbi.nlm.nih.gov/gene/72925","March1")</f>
        <v>March1</v>
      </c>
      <c r="C2132">
        <v>72925</v>
      </c>
      <c r="D2132" t="s">
        <v>4272</v>
      </c>
      <c r="E2132" s="3" t="str">
        <f>HYPERLINK("http://genome.ucsc.edu/cgi-bin/hgTracks?db=mm10&amp;lastVirtModeType=default&amp;lastVirtModeExtraState=&amp;virtModeType=default&amp;virtMode=0&amp;nonVirtPosition=&amp;position=chr8:65618524-66471637","chr8:65618524-66471637")</f>
        <v>chr8:65618524-66471637</v>
      </c>
      <c r="F2132" t="s">
        <v>30</v>
      </c>
      <c r="G2132">
        <v>-0.832116123721654</v>
      </c>
      <c r="H2132">
        <v>0.25874838539179201</v>
      </c>
      <c r="I2132">
        <v>-3.2159277920195701</v>
      </c>
      <c r="J2132">
        <v>1.30023543326898E-3</v>
      </c>
      <c r="K2132">
        <v>8.1667226486420892E-3</v>
      </c>
      <c r="L2132" t="s">
        <v>26</v>
      </c>
      <c r="M2132" t="s">
        <v>27</v>
      </c>
      <c r="N2132">
        <v>231.79711892018901</v>
      </c>
      <c r="O2132">
        <v>316.49359447570401</v>
      </c>
      <c r="P2132">
        <v>168.27476225355201</v>
      </c>
      <c r="Q2132">
        <v>496.65895103710699</v>
      </c>
      <c r="R2132">
        <v>237.03432258959</v>
      </c>
      <c r="S2132">
        <v>215.78750980041499</v>
      </c>
      <c r="T2132">
        <v>229.147735779063</v>
      </c>
      <c r="U2132">
        <v>173.44179641672801</v>
      </c>
      <c r="V2132">
        <v>140.509842161888</v>
      </c>
      <c r="W2132">
        <v>129.99967465653</v>
      </c>
    </row>
    <row r="2133" spans="1:23" x14ac:dyDescent="0.2">
      <c r="A2133" t="s">
        <v>4273</v>
      </c>
      <c r="B2133" s="3" t="str">
        <f>HYPERLINK("http://www.ncbi.nlm.nih.gov/gene/66895","Pxdc1")</f>
        <v>Pxdc1</v>
      </c>
      <c r="C2133">
        <v>66895</v>
      </c>
      <c r="D2133" t="s">
        <v>4274</v>
      </c>
      <c r="E2133" s="3" t="str">
        <f>HYPERLINK("http://genome.ucsc.edu/cgi-bin/hgTracks?db=mm10&amp;lastVirtModeType=default&amp;lastVirtModeExtraState=&amp;virtModeType=default&amp;virtMode=0&amp;nonVirtPosition=&amp;position=chr13:34627840-34652681","chr13:34627840-34652681")</f>
        <v>chr13:34627840-34652681</v>
      </c>
      <c r="F2133" t="s">
        <v>25</v>
      </c>
      <c r="G2133">
        <v>-0.55318825740046595</v>
      </c>
      <c r="H2133">
        <v>0.17210346134125401</v>
      </c>
      <c r="I2133">
        <v>-3.2142773485745302</v>
      </c>
      <c r="J2133">
        <v>1.3077329114665E-3</v>
      </c>
      <c r="K2133">
        <v>8.2099631586722305E-3</v>
      </c>
      <c r="L2133" t="s">
        <v>26</v>
      </c>
      <c r="M2133" t="s">
        <v>27</v>
      </c>
      <c r="N2133">
        <v>669.17666793628496</v>
      </c>
      <c r="O2133">
        <v>826.02766177372098</v>
      </c>
      <c r="P2133">
        <v>551.53842255820803</v>
      </c>
      <c r="Q2133">
        <v>1080.1775392511099</v>
      </c>
      <c r="R2133">
        <v>639.80304353382201</v>
      </c>
      <c r="S2133">
        <v>758.10240253623203</v>
      </c>
      <c r="T2133">
        <v>540.78865643858899</v>
      </c>
      <c r="U2133">
        <v>586.70434837263701</v>
      </c>
      <c r="V2133">
        <v>569.39590488639396</v>
      </c>
      <c r="W2133">
        <v>509.26478053521402</v>
      </c>
    </row>
    <row r="2134" spans="1:23" x14ac:dyDescent="0.2">
      <c r="A2134" t="s">
        <v>4275</v>
      </c>
      <c r="B2134" s="3" t="str">
        <f>HYPERLINK("http://www.ncbi.nlm.nih.gov/gene/237615","Ankrd52")</f>
        <v>Ankrd52</v>
      </c>
      <c r="C2134">
        <v>237615</v>
      </c>
      <c r="D2134" t="s">
        <v>4276</v>
      </c>
      <c r="E2134" s="3" t="str">
        <f>HYPERLINK("http://genome.ucsc.edu/cgi-bin/hgTracks?db=mm10&amp;lastVirtModeType=default&amp;lastVirtModeExtraState=&amp;virtModeType=default&amp;virtMode=0&amp;nonVirtPosition=&amp;position=chr10:128377123-128394006","chr10:128377123-128394006")</f>
        <v>chr10:128377123-128394006</v>
      </c>
      <c r="F2134" t="s">
        <v>30</v>
      </c>
      <c r="G2134">
        <v>0.74071967632108404</v>
      </c>
      <c r="H2134">
        <v>0.23052005953568799</v>
      </c>
      <c r="I2134">
        <v>3.2132547502071498</v>
      </c>
      <c r="J2134">
        <v>1.3123982715973999E-3</v>
      </c>
      <c r="K2134">
        <v>8.23539140344926E-3</v>
      </c>
      <c r="L2134" t="s">
        <v>26</v>
      </c>
      <c r="M2134" t="s">
        <v>27</v>
      </c>
      <c r="N2134">
        <v>485.05015154452099</v>
      </c>
      <c r="O2134">
        <v>339.27532439178998</v>
      </c>
      <c r="P2134">
        <v>594.38127190907005</v>
      </c>
      <c r="Q2134">
        <v>229.39852895435899</v>
      </c>
      <c r="R2134">
        <v>285.95820677208201</v>
      </c>
      <c r="S2134">
        <v>502.46923744892899</v>
      </c>
      <c r="T2134">
        <v>453.71251684254503</v>
      </c>
      <c r="U2134">
        <v>747.298604314052</v>
      </c>
      <c r="V2134">
        <v>632.66211654043798</v>
      </c>
      <c r="W2134">
        <v>543.85184993924497</v>
      </c>
    </row>
    <row r="2135" spans="1:23" x14ac:dyDescent="0.2">
      <c r="A2135" t="s">
        <v>4277</v>
      </c>
      <c r="B2135" s="3" t="str">
        <f>HYPERLINK("http://www.ncbi.nlm.nih.gov/gene/217331","Unk")</f>
        <v>Unk</v>
      </c>
      <c r="C2135">
        <v>217331</v>
      </c>
      <c r="D2135" t="s">
        <v>4278</v>
      </c>
      <c r="E2135" s="3" t="str">
        <f>HYPERLINK("http://genome.ucsc.edu/cgi-bin/hgTracks?db=mm10&amp;lastVirtModeType=default&amp;lastVirtModeExtraState=&amp;virtModeType=default&amp;virtMode=0&amp;nonVirtPosition=&amp;position=chr11:116030315-116061214","chr11:116030315-116061214")</f>
        <v>chr11:116030315-116061214</v>
      </c>
      <c r="F2135" t="s">
        <v>30</v>
      </c>
      <c r="G2135">
        <v>0.564618496703435</v>
      </c>
      <c r="H2135">
        <v>0.17582961873215899</v>
      </c>
      <c r="I2135">
        <v>3.2111682933437802</v>
      </c>
      <c r="J2135">
        <v>1.3219649066829101E-3</v>
      </c>
      <c r="K2135">
        <v>8.2915372671620094E-3</v>
      </c>
      <c r="L2135" t="s">
        <v>26</v>
      </c>
      <c r="M2135" t="s">
        <v>27</v>
      </c>
      <c r="N2135">
        <v>276.22752805058298</v>
      </c>
      <c r="O2135">
        <v>214.80708315591801</v>
      </c>
      <c r="P2135">
        <v>322.29286172158203</v>
      </c>
      <c r="Q2135">
        <v>160.91304579565499</v>
      </c>
      <c r="R2135">
        <v>208.21094896269599</v>
      </c>
      <c r="S2135">
        <v>275.29725470940298</v>
      </c>
      <c r="T2135">
        <v>297.89205651278201</v>
      </c>
      <c r="U2135">
        <v>316.90599839105897</v>
      </c>
      <c r="V2135">
        <v>342.81458873005101</v>
      </c>
      <c r="W2135">
        <v>331.55880325243498</v>
      </c>
    </row>
    <row r="2136" spans="1:23" x14ac:dyDescent="0.2">
      <c r="A2136" t="s">
        <v>4279</v>
      </c>
      <c r="B2136" s="3" t="str">
        <f>HYPERLINK("http://www.ncbi.nlm.nih.gov/gene/16525","Kcnk1")</f>
        <v>Kcnk1</v>
      </c>
      <c r="C2136">
        <v>16525</v>
      </c>
      <c r="D2136" t="s">
        <v>4280</v>
      </c>
      <c r="E2136" s="3" t="str">
        <f>HYPERLINK("http://genome.ucsc.edu/cgi-bin/hgTracks?db=mm10&amp;lastVirtModeType=default&amp;lastVirtModeExtraState=&amp;virtModeType=default&amp;virtMode=0&amp;nonVirtPosition=&amp;position=chr8:125995101-126030688","chr8:125995101-126030688")</f>
        <v>chr8:125995101-126030688</v>
      </c>
      <c r="F2136" t="s">
        <v>30</v>
      </c>
      <c r="G2136">
        <v>-0.61414356662527703</v>
      </c>
      <c r="H2136">
        <v>0.191260519778153</v>
      </c>
      <c r="I2136">
        <v>-3.2110315675061099</v>
      </c>
      <c r="J2136">
        <v>1.32259405076002E-3</v>
      </c>
      <c r="K2136">
        <v>8.2915996880746409E-3</v>
      </c>
      <c r="L2136" t="s">
        <v>26</v>
      </c>
      <c r="M2136" t="s">
        <v>27</v>
      </c>
      <c r="N2136">
        <v>139.85873440689201</v>
      </c>
      <c r="O2136">
        <v>175.62558062972099</v>
      </c>
      <c r="P2136">
        <v>113.03359973977</v>
      </c>
      <c r="Q2136">
        <v>179.84399235984901</v>
      </c>
      <c r="R2136">
        <v>207.831694046553</v>
      </c>
      <c r="S2136">
        <v>139.201055482762</v>
      </c>
      <c r="T2136">
        <v>109.99091317395001</v>
      </c>
      <c r="U2136">
        <v>137.04043173667401</v>
      </c>
      <c r="V2136">
        <v>103.727160967676</v>
      </c>
      <c r="W2136">
        <v>101.37589308078</v>
      </c>
    </row>
    <row r="2137" spans="1:23" x14ac:dyDescent="0.2">
      <c r="A2137" t="s">
        <v>4281</v>
      </c>
      <c r="B2137" s="3" t="str">
        <f>HYPERLINK("http://www.ncbi.nlm.nih.gov/gene/66323","1700001K19Rik")</f>
        <v>1700001K19Rik</v>
      </c>
      <c r="C2137">
        <v>66323</v>
      </c>
      <c r="D2137" t="s">
        <v>4282</v>
      </c>
      <c r="E2137" s="3" t="str">
        <f>HYPERLINK("http://genome.ucsc.edu/cgi-bin/hgTracks?db=mm10&amp;lastVirtModeType=default&amp;lastVirtModeExtraState=&amp;virtModeType=default&amp;virtMode=0&amp;nonVirtPosition=&amp;position=chr12:110667688-110682619","chr12:110667688-110682619")</f>
        <v>chr12:110667688-110682619</v>
      </c>
      <c r="F2137" t="s">
        <v>25</v>
      </c>
      <c r="G2137">
        <v>1.0936876265455799</v>
      </c>
      <c r="H2137">
        <v>0.34063967202875101</v>
      </c>
      <c r="I2137">
        <v>3.2106877629135102</v>
      </c>
      <c r="J2137">
        <v>1.32417728896985E-3</v>
      </c>
      <c r="K2137">
        <v>8.2971033649638596E-3</v>
      </c>
      <c r="L2137" t="s">
        <v>26</v>
      </c>
      <c r="M2137" t="s">
        <v>27</v>
      </c>
      <c r="N2137">
        <v>14.7839497396492</v>
      </c>
      <c r="O2137">
        <v>7.2706317940190202</v>
      </c>
      <c r="P2137">
        <v>20.4189381988718</v>
      </c>
      <c r="Q2137">
        <v>5.5679254600572499</v>
      </c>
      <c r="R2137">
        <v>7.9643532390102401</v>
      </c>
      <c r="S2137">
        <v>8.2796166829895608</v>
      </c>
      <c r="T2137">
        <v>27.497728293487601</v>
      </c>
      <c r="U2137">
        <v>12.847540475313201</v>
      </c>
      <c r="V2137">
        <v>19.8626478448742</v>
      </c>
      <c r="W2137">
        <v>21.467836181812299</v>
      </c>
    </row>
    <row r="2138" spans="1:23" x14ac:dyDescent="0.2">
      <c r="A2138" t="s">
        <v>4283</v>
      </c>
      <c r="B2138" s="3" t="str">
        <f>HYPERLINK("http://www.ncbi.nlm.nih.gov/gene/238317","Elmsan1")</f>
        <v>Elmsan1</v>
      </c>
      <c r="C2138">
        <v>238317</v>
      </c>
      <c r="D2138" t="s">
        <v>4284</v>
      </c>
      <c r="E2138" s="3" t="str">
        <f>HYPERLINK("http://genome.ucsc.edu/cgi-bin/hgTracks?db=mm10&amp;lastVirtModeType=default&amp;lastVirtModeExtraState=&amp;virtModeType=default&amp;virtMode=0&amp;nonVirtPosition=&amp;position=chr12:84149173-84218881","chr12:84149173-84218881")</f>
        <v>chr12:84149173-84218881</v>
      </c>
      <c r="F2138" t="s">
        <v>25</v>
      </c>
      <c r="G2138">
        <v>0.59865961553756597</v>
      </c>
      <c r="H2138">
        <v>0.18646510048453099</v>
      </c>
      <c r="I2138">
        <v>3.2105719192596598</v>
      </c>
      <c r="J2138">
        <v>1.32471114885316E-3</v>
      </c>
      <c r="K2138">
        <v>8.2971033649638596E-3</v>
      </c>
      <c r="L2138" t="s">
        <v>26</v>
      </c>
      <c r="M2138" t="s">
        <v>27</v>
      </c>
      <c r="N2138">
        <v>157.19056926232301</v>
      </c>
      <c r="O2138">
        <v>121.338151398427</v>
      </c>
      <c r="P2138">
        <v>184.079882660245</v>
      </c>
      <c r="Q2138">
        <v>94.654732820973294</v>
      </c>
      <c r="R2138">
        <v>121.36157316587</v>
      </c>
      <c r="S2138">
        <v>147.99814820843801</v>
      </c>
      <c r="T2138">
        <v>137.48864146743799</v>
      </c>
      <c r="U2138">
        <v>196.99562062146899</v>
      </c>
      <c r="V2138">
        <v>197.89082482485799</v>
      </c>
      <c r="W2138">
        <v>203.94444372721699</v>
      </c>
    </row>
    <row r="2139" spans="1:23" x14ac:dyDescent="0.2">
      <c r="A2139" t="s">
        <v>4285</v>
      </c>
      <c r="B2139" s="3" t="str">
        <f>HYPERLINK("http://www.ncbi.nlm.nih.gov/gene/241062","Pgap1")</f>
        <v>Pgap1</v>
      </c>
      <c r="C2139">
        <v>241062</v>
      </c>
      <c r="D2139" t="s">
        <v>4286</v>
      </c>
      <c r="E2139" s="3" t="str">
        <f>HYPERLINK("http://genome.ucsc.edu/cgi-bin/hgTracks?db=mm10&amp;lastVirtModeType=default&amp;lastVirtModeExtraState=&amp;virtModeType=default&amp;virtMode=0&amp;nonVirtPosition=&amp;position=chr1:54472999-54557684","chr1:54472999-54557684")</f>
        <v>chr1:54472999-54557684</v>
      </c>
      <c r="F2139" t="s">
        <v>25</v>
      </c>
      <c r="G2139">
        <v>-0.32636056471840802</v>
      </c>
      <c r="H2139">
        <v>0.101702287185855</v>
      </c>
      <c r="I2139">
        <v>-3.2089795986790501</v>
      </c>
      <c r="J2139">
        <v>1.3320694356579899E-3</v>
      </c>
      <c r="K2139">
        <v>8.3392902351080694E-3</v>
      </c>
      <c r="L2139" t="s">
        <v>26</v>
      </c>
      <c r="M2139" t="s">
        <v>27</v>
      </c>
      <c r="N2139">
        <v>630.20693418301698</v>
      </c>
      <c r="O2139">
        <v>716.47429676837703</v>
      </c>
      <c r="P2139">
        <v>565.50641224399703</v>
      </c>
      <c r="Q2139">
        <v>701.55860796721299</v>
      </c>
      <c r="R2139">
        <v>688.72692771631398</v>
      </c>
      <c r="S2139">
        <v>759.13735462160503</v>
      </c>
      <c r="T2139">
        <v>536.20570172300802</v>
      </c>
      <c r="U2139">
        <v>561.00926742201</v>
      </c>
      <c r="V2139">
        <v>570.86721213416297</v>
      </c>
      <c r="W2139">
        <v>593.94346769680703</v>
      </c>
    </row>
    <row r="2140" spans="1:23" x14ac:dyDescent="0.2">
      <c r="A2140" t="s">
        <v>4287</v>
      </c>
      <c r="B2140" s="3" t="str">
        <f>HYPERLINK("http://www.ncbi.nlm.nih.gov/gene/20357","Sema5b")</f>
        <v>Sema5b</v>
      </c>
      <c r="C2140">
        <v>20357</v>
      </c>
      <c r="D2140" t="s">
        <v>4288</v>
      </c>
      <c r="E2140" s="3" t="str">
        <f>HYPERLINK("http://genome.ucsc.edu/cgi-bin/hgTracks?db=mm10&amp;lastVirtModeType=default&amp;lastVirtModeExtraState=&amp;virtModeType=default&amp;virtMode=0&amp;nonVirtPosition=&amp;position=chr16:35541361-35664258","chr16:35541361-35664258")</f>
        <v>chr16:35541361-35664258</v>
      </c>
      <c r="F2140" t="s">
        <v>30</v>
      </c>
      <c r="G2140">
        <v>0.576982636569215</v>
      </c>
      <c r="H2140">
        <v>0.17982123390725199</v>
      </c>
      <c r="I2140">
        <v>3.2086457423977501</v>
      </c>
      <c r="J2140">
        <v>1.3336169963096001E-3</v>
      </c>
      <c r="K2140">
        <v>8.34507719513174E-3</v>
      </c>
      <c r="L2140" t="s">
        <v>26</v>
      </c>
      <c r="M2140" t="s">
        <v>27</v>
      </c>
      <c r="N2140">
        <v>435.13299060411498</v>
      </c>
      <c r="O2140">
        <v>335.81290255592</v>
      </c>
      <c r="P2140">
        <v>509.62305664026098</v>
      </c>
      <c r="Q2140">
        <v>304.00873011912603</v>
      </c>
      <c r="R2140">
        <v>274.95981420392502</v>
      </c>
      <c r="S2140">
        <v>428.47016334470999</v>
      </c>
      <c r="T2140">
        <v>417.04887911789501</v>
      </c>
      <c r="U2140">
        <v>638.09451027389002</v>
      </c>
      <c r="V2140">
        <v>494.35923525020303</v>
      </c>
      <c r="W2140">
        <v>488.98960191905798</v>
      </c>
    </row>
    <row r="2141" spans="1:23" x14ac:dyDescent="0.2">
      <c r="A2141" t="s">
        <v>4289</v>
      </c>
      <c r="B2141" s="3" t="str">
        <f>HYPERLINK("http://www.ncbi.nlm.nih.gov/gene/109674","Ampd2")</f>
        <v>Ampd2</v>
      </c>
      <c r="C2141">
        <v>109674</v>
      </c>
      <c r="D2141" t="s">
        <v>4290</v>
      </c>
      <c r="E2141" s="3" t="str">
        <f>HYPERLINK("http://genome.ucsc.edu/cgi-bin/hgTracks?db=mm10&amp;lastVirtModeType=default&amp;lastVirtModeExtraState=&amp;virtModeType=default&amp;virtMode=0&amp;nonVirtPosition=&amp;position=chr3:108074061-108086666","chr3:108074061-108086666")</f>
        <v>chr3:108074061-108086666</v>
      </c>
      <c r="F2141" t="s">
        <v>25</v>
      </c>
      <c r="G2141">
        <v>0.43035963672084998</v>
      </c>
      <c r="H2141">
        <v>0.13414475980384899</v>
      </c>
      <c r="I2141">
        <v>3.2081732998749799</v>
      </c>
      <c r="J2141">
        <v>1.3358097957279101E-3</v>
      </c>
      <c r="K2141">
        <v>8.3548944299824401E-3</v>
      </c>
      <c r="L2141" t="s">
        <v>26</v>
      </c>
      <c r="M2141" t="s">
        <v>27</v>
      </c>
      <c r="N2141">
        <v>268.14447142687499</v>
      </c>
      <c r="O2141">
        <v>220.73754333915099</v>
      </c>
      <c r="P2141">
        <v>303.69966749266803</v>
      </c>
      <c r="Q2141">
        <v>231.06890659237601</v>
      </c>
      <c r="R2141">
        <v>201.38436047211599</v>
      </c>
      <c r="S2141">
        <v>229.75936295296</v>
      </c>
      <c r="T2141">
        <v>325.38978480626997</v>
      </c>
      <c r="U2141">
        <v>308.34097140751697</v>
      </c>
      <c r="V2141">
        <v>262.62834372666998</v>
      </c>
      <c r="W2141">
        <v>318.43957003021598</v>
      </c>
    </row>
    <row r="2142" spans="1:23" x14ac:dyDescent="0.2">
      <c r="A2142" t="s">
        <v>4291</v>
      </c>
      <c r="B2142" s="3" t="str">
        <f>HYPERLINK("http://www.ncbi.nlm.nih.gov/gene/225049","Ttc7")</f>
        <v>Ttc7</v>
      </c>
      <c r="C2142">
        <v>225049</v>
      </c>
      <c r="D2142" t="s">
        <v>4292</v>
      </c>
      <c r="E2142" s="3" t="str">
        <f>HYPERLINK("http://genome.ucsc.edu/cgi-bin/hgTracks?db=mm10&amp;lastVirtModeType=default&amp;lastVirtModeExtraState=&amp;virtModeType=default&amp;virtMode=0&amp;nonVirtPosition=&amp;position=chr17:87282885-87381770","chr17:87282885-87381770")</f>
        <v>chr17:87282885-87381770</v>
      </c>
      <c r="F2142" t="s">
        <v>30</v>
      </c>
      <c r="G2142">
        <v>0.65385858613323</v>
      </c>
      <c r="H2142">
        <v>0.20391978272563499</v>
      </c>
      <c r="I2142">
        <v>3.2064499941771998</v>
      </c>
      <c r="J2142">
        <v>1.3438365916792899E-3</v>
      </c>
      <c r="K2142">
        <v>8.4011745094198492E-3</v>
      </c>
      <c r="L2142" t="s">
        <v>26</v>
      </c>
      <c r="M2142" t="s">
        <v>27</v>
      </c>
      <c r="N2142">
        <v>74.657963657475904</v>
      </c>
      <c r="O2142">
        <v>54.999372793884497</v>
      </c>
      <c r="P2142">
        <v>89.401906805169304</v>
      </c>
      <c r="Q2142">
        <v>66.258312974681303</v>
      </c>
      <c r="R2142">
        <v>48.544629266348103</v>
      </c>
      <c r="S2142">
        <v>50.195176140624199</v>
      </c>
      <c r="T2142">
        <v>82.493184880462707</v>
      </c>
      <c r="U2142">
        <v>104.92158054839101</v>
      </c>
      <c r="V2142">
        <v>83.128859498918004</v>
      </c>
      <c r="W2142">
        <v>87.064002292905499</v>
      </c>
    </row>
    <row r="2143" spans="1:23" x14ac:dyDescent="0.2">
      <c r="A2143" t="s">
        <v>4293</v>
      </c>
      <c r="B2143" s="3" t="str">
        <f>HYPERLINK("http://www.ncbi.nlm.nih.gov/gene/73124","Golim4")</f>
        <v>Golim4</v>
      </c>
      <c r="C2143">
        <v>73124</v>
      </c>
      <c r="D2143" t="s">
        <v>4294</v>
      </c>
      <c r="E2143" s="3" t="str">
        <f>HYPERLINK("http://genome.ucsc.edu/cgi-bin/hgTracks?db=mm10&amp;lastVirtModeType=default&amp;lastVirtModeExtraState=&amp;virtModeType=default&amp;virtMode=0&amp;nonVirtPosition=&amp;position=chr3:75876182-75956949","chr3:75876182-75956949")</f>
        <v>chr3:75876182-75956949</v>
      </c>
      <c r="F2143" t="s">
        <v>25</v>
      </c>
      <c r="G2143">
        <v>-0.38992270261728201</v>
      </c>
      <c r="H2143">
        <v>0.121622680964904</v>
      </c>
      <c r="I2143">
        <v>-3.2060031856212698</v>
      </c>
      <c r="J2143">
        <v>1.3459249838383401E-3</v>
      </c>
      <c r="K2143">
        <v>8.4103039937373694E-3</v>
      </c>
      <c r="L2143" t="s">
        <v>26</v>
      </c>
      <c r="M2143" t="s">
        <v>27</v>
      </c>
      <c r="N2143">
        <v>531.31892424435898</v>
      </c>
      <c r="O2143">
        <v>615.79928274758299</v>
      </c>
      <c r="P2143">
        <v>467.95865536693998</v>
      </c>
      <c r="Q2143">
        <v>667.59426266086405</v>
      </c>
      <c r="R2143">
        <v>644.73335744368603</v>
      </c>
      <c r="S2143">
        <v>535.07022813820004</v>
      </c>
      <c r="T2143">
        <v>467.46138098928901</v>
      </c>
      <c r="U2143">
        <v>481.78276782424501</v>
      </c>
      <c r="V2143">
        <v>444.334788826075</v>
      </c>
      <c r="W2143">
        <v>478.25568382815197</v>
      </c>
    </row>
    <row r="2144" spans="1:23" x14ac:dyDescent="0.2">
      <c r="A2144" t="s">
        <v>4295</v>
      </c>
      <c r="B2144" s="3" t="str">
        <f>HYPERLINK("http://www.ncbi.nlm.nih.gov/gene/67194","2700038G22Rik")</f>
        <v>2700038G22Rik</v>
      </c>
      <c r="C2144">
        <v>67194</v>
      </c>
      <c r="D2144" t="s">
        <v>4296</v>
      </c>
      <c r="E2144" s="3" t="str">
        <f>HYPERLINK("http://genome.ucsc.edu/cgi-bin/hgTracks?db=mm10&amp;lastVirtModeType=default&amp;lastVirtModeExtraState=&amp;virtModeType=default&amp;virtMode=0&amp;nonVirtPosition=&amp;position=chr5:23850596-23855033","chr5:23850596-23855033")</f>
        <v>chr5:23850596-23855033</v>
      </c>
      <c r="F2144" t="s">
        <v>30</v>
      </c>
      <c r="G2144">
        <v>0.998614094821483</v>
      </c>
      <c r="H2144">
        <v>0.31154344849406201</v>
      </c>
      <c r="I2144">
        <v>3.2053766485817001</v>
      </c>
      <c r="J2144">
        <v>1.34885847363391E-3</v>
      </c>
      <c r="K2144">
        <v>8.4247032744550598E-3</v>
      </c>
      <c r="L2144" t="s">
        <v>26</v>
      </c>
      <c r="M2144" t="s">
        <v>27</v>
      </c>
      <c r="N2144">
        <v>20.944399928316301</v>
      </c>
      <c r="O2144">
        <v>11.4866328864059</v>
      </c>
      <c r="P2144">
        <v>28.037725209749102</v>
      </c>
      <c r="Q2144">
        <v>8.3518881900858695</v>
      </c>
      <c r="R2144">
        <v>12.136157316586999</v>
      </c>
      <c r="S2144">
        <v>13.971853152544901</v>
      </c>
      <c r="T2144">
        <v>32.0806830090688</v>
      </c>
      <c r="U2144">
        <v>32.118851188283003</v>
      </c>
      <c r="V2144">
        <v>26.483530459832298</v>
      </c>
      <c r="W2144">
        <v>21.467836181812299</v>
      </c>
    </row>
    <row r="2145" spans="1:23" x14ac:dyDescent="0.2">
      <c r="A2145" t="s">
        <v>4297</v>
      </c>
      <c r="B2145" s="3" t="str">
        <f>HYPERLINK("http://www.ncbi.nlm.nih.gov/gene/21803","Tgfb1")</f>
        <v>Tgfb1</v>
      </c>
      <c r="C2145">
        <v>21803</v>
      </c>
      <c r="D2145" t="s">
        <v>4298</v>
      </c>
      <c r="E2145" s="3" t="str">
        <f>HYPERLINK("http://genome.ucsc.edu/cgi-bin/hgTracks?db=mm10&amp;lastVirtModeType=default&amp;lastVirtModeExtraState=&amp;virtModeType=default&amp;virtMode=0&amp;nonVirtPosition=&amp;position=chr7:25687001-25705077","chr7:25687001-25705077")</f>
        <v>chr7:25687001-25705077</v>
      </c>
      <c r="F2145" t="s">
        <v>30</v>
      </c>
      <c r="G2145">
        <v>0.808177067611627</v>
      </c>
      <c r="H2145">
        <v>0.252168608612304</v>
      </c>
      <c r="I2145">
        <v>3.2049075103323301</v>
      </c>
      <c r="J2145">
        <v>1.3510588718634901E-3</v>
      </c>
      <c r="K2145">
        <v>8.4345125189389004E-3</v>
      </c>
      <c r="L2145" t="s">
        <v>26</v>
      </c>
      <c r="M2145" t="s">
        <v>27</v>
      </c>
      <c r="N2145">
        <v>65.111389384454696</v>
      </c>
      <c r="O2145">
        <v>42.842469453055898</v>
      </c>
      <c r="P2145">
        <v>81.813079333003898</v>
      </c>
      <c r="Q2145">
        <v>56.236047146578201</v>
      </c>
      <c r="R2145">
        <v>28.823373626894199</v>
      </c>
      <c r="S2145">
        <v>43.467987585695198</v>
      </c>
      <c r="T2145">
        <v>96.242049027206505</v>
      </c>
      <c r="U2145">
        <v>87.791526581306996</v>
      </c>
      <c r="V2145">
        <v>82.3932058750338</v>
      </c>
      <c r="W2145">
        <v>60.825535848468199</v>
      </c>
    </row>
    <row r="2146" spans="1:23" x14ac:dyDescent="0.2">
      <c r="A2146" t="s">
        <v>4299</v>
      </c>
      <c r="B2146" s="3" t="str">
        <f>HYPERLINK("http://www.ncbi.nlm.nih.gov/gene/21749","Terf1")</f>
        <v>Terf1</v>
      </c>
      <c r="C2146">
        <v>21749</v>
      </c>
      <c r="D2146" t="s">
        <v>4300</v>
      </c>
      <c r="E2146" s="3" t="str">
        <f>HYPERLINK("http://genome.ucsc.edu/cgi-bin/hgTracks?db=mm10&amp;lastVirtModeType=default&amp;lastVirtModeExtraState=&amp;virtModeType=default&amp;virtMode=0&amp;nonVirtPosition=&amp;position=chr1:15805645-15844052","chr1:15805645-15844052")</f>
        <v>chr1:15805645-15844052</v>
      </c>
      <c r="F2146" t="s">
        <v>30</v>
      </c>
      <c r="G2146">
        <v>0.72838487954195696</v>
      </c>
      <c r="H2146">
        <v>0.22735933626280999</v>
      </c>
      <c r="I2146">
        <v>3.2036726158454401</v>
      </c>
      <c r="J2146">
        <v>1.3568667345882899E-3</v>
      </c>
      <c r="K2146">
        <v>8.4548143520126393E-3</v>
      </c>
      <c r="L2146" t="s">
        <v>26</v>
      </c>
      <c r="M2146" t="s">
        <v>27</v>
      </c>
      <c r="N2146">
        <v>79.677349206164294</v>
      </c>
      <c r="O2146">
        <v>55.444013767767103</v>
      </c>
      <c r="P2146">
        <v>97.852350784962098</v>
      </c>
      <c r="Q2146">
        <v>37.861893128389298</v>
      </c>
      <c r="R2146">
        <v>60.680786582935099</v>
      </c>
      <c r="S2146">
        <v>67.789361591976999</v>
      </c>
      <c r="T2146">
        <v>100.825003742788</v>
      </c>
      <c r="U2146">
        <v>102.780323802506</v>
      </c>
      <c r="V2146">
        <v>81.657552251149596</v>
      </c>
      <c r="W2146">
        <v>106.14652334340499</v>
      </c>
    </row>
    <row r="2147" spans="1:23" x14ac:dyDescent="0.2">
      <c r="A2147" t="s">
        <v>4301</v>
      </c>
      <c r="B2147" s="3" t="str">
        <f>HYPERLINK("http://www.ncbi.nlm.nih.gov/gene/382045","Adgrg5")</f>
        <v>Adgrg5</v>
      </c>
      <c r="C2147">
        <v>382045</v>
      </c>
      <c r="D2147" t="s">
        <v>4302</v>
      </c>
      <c r="E2147" s="3" t="str">
        <f>HYPERLINK("http://genome.ucsc.edu/cgi-bin/hgTracks?db=mm10&amp;lastVirtModeType=default&amp;lastVirtModeExtraState=&amp;virtModeType=default&amp;virtMode=0&amp;nonVirtPosition=&amp;position=chr8:94923693-94943290","chr8:94923693-94943290")</f>
        <v>chr8:94923693-94943290</v>
      </c>
      <c r="F2147" t="s">
        <v>30</v>
      </c>
      <c r="G2147">
        <v>1.2731864462982601</v>
      </c>
      <c r="H2147">
        <v>0.39742541080758698</v>
      </c>
      <c r="I2147">
        <v>3.2035859098971202</v>
      </c>
      <c r="J2147">
        <v>1.35727538750924E-3</v>
      </c>
      <c r="K2147">
        <v>8.4548143520126393E-3</v>
      </c>
      <c r="L2147" t="s">
        <v>26</v>
      </c>
      <c r="M2147" t="s">
        <v>27</v>
      </c>
      <c r="N2147">
        <v>11.9049186354948</v>
      </c>
      <c r="O2147">
        <v>3.4110086413007701</v>
      </c>
      <c r="P2147">
        <v>18.275351131140301</v>
      </c>
      <c r="Q2147">
        <v>6.6815105520687004</v>
      </c>
      <c r="R2147">
        <v>3.03403932914676</v>
      </c>
      <c r="S2147">
        <v>0.51747604268684799</v>
      </c>
      <c r="T2147">
        <v>32.0806830090688</v>
      </c>
      <c r="U2147">
        <v>4.2825134917710699</v>
      </c>
      <c r="V2147">
        <v>17.655686973221499</v>
      </c>
      <c r="W2147">
        <v>19.0825210504998</v>
      </c>
    </row>
    <row r="2148" spans="1:23" x14ac:dyDescent="0.2">
      <c r="A2148" t="s">
        <v>4303</v>
      </c>
      <c r="B2148" s="3" t="str">
        <f>HYPERLINK("http://www.ncbi.nlm.nih.gov/gene/212728","Tarbp1")</f>
        <v>Tarbp1</v>
      </c>
      <c r="C2148">
        <v>212728</v>
      </c>
      <c r="D2148" t="s">
        <v>4304</v>
      </c>
      <c r="E2148" s="3" t="str">
        <f>HYPERLINK("http://genome.ucsc.edu/cgi-bin/hgTracks?db=mm10&amp;lastVirtModeType=default&amp;lastVirtModeExtraState=&amp;virtModeType=default&amp;virtMode=0&amp;nonVirtPosition=&amp;position=chr8:126426651-126475065","chr8:126426651-126475065")</f>
        <v>chr8:126426651-126475065</v>
      </c>
      <c r="F2148" t="s">
        <v>25</v>
      </c>
      <c r="G2148">
        <v>0.53679811395731902</v>
      </c>
      <c r="H2148">
        <v>0.167565065951299</v>
      </c>
      <c r="I2148">
        <v>3.20352044090941</v>
      </c>
      <c r="J2148">
        <v>1.3575840239492399E-3</v>
      </c>
      <c r="K2148">
        <v>8.4548143520126393E-3</v>
      </c>
      <c r="L2148" t="s">
        <v>26</v>
      </c>
      <c r="M2148" t="s">
        <v>27</v>
      </c>
      <c r="N2148">
        <v>109.942789475037</v>
      </c>
      <c r="O2148">
        <v>85.468847547516503</v>
      </c>
      <c r="P2148">
        <v>128.298245920678</v>
      </c>
      <c r="Q2148">
        <v>75.723786256778595</v>
      </c>
      <c r="R2148">
        <v>90.641924958259395</v>
      </c>
      <c r="S2148">
        <v>90.040831427511506</v>
      </c>
      <c r="T2148">
        <v>132.90568675185699</v>
      </c>
      <c r="U2148">
        <v>139.18168848255999</v>
      </c>
      <c r="V2148">
        <v>120.647194317014</v>
      </c>
      <c r="W2148">
        <v>120.45841413127999</v>
      </c>
    </row>
    <row r="2149" spans="1:23" x14ac:dyDescent="0.2">
      <c r="A2149" t="s">
        <v>4305</v>
      </c>
      <c r="B2149" s="3" t="str">
        <f>HYPERLINK("http://www.ncbi.nlm.nih.gov/gene/66618","Snrnp27")</f>
        <v>Snrnp27</v>
      </c>
      <c r="C2149">
        <v>66618</v>
      </c>
      <c r="D2149" t="s">
        <v>4306</v>
      </c>
      <c r="E2149" s="3" t="str">
        <f>HYPERLINK("http://genome.ucsc.edu/cgi-bin/hgTracks?db=mm10&amp;lastVirtModeType=default&amp;lastVirtModeExtraState=&amp;virtModeType=default&amp;virtMode=0&amp;nonVirtPosition=&amp;position=chr6:86675168-86684491","chr6:86675168-86684491")</f>
        <v>chr6:86675168-86684491</v>
      </c>
      <c r="F2149" t="s">
        <v>25</v>
      </c>
      <c r="G2149">
        <v>-0.53790613378887098</v>
      </c>
      <c r="H2149">
        <v>0.16791336271868701</v>
      </c>
      <c r="I2149">
        <v>-3.2034742505279401</v>
      </c>
      <c r="J2149">
        <v>1.35780181538501E-3</v>
      </c>
      <c r="K2149">
        <v>8.4548143520126393E-3</v>
      </c>
      <c r="L2149" t="s">
        <v>26</v>
      </c>
      <c r="M2149" t="s">
        <v>27</v>
      </c>
      <c r="N2149">
        <v>127.68986025273099</v>
      </c>
      <c r="O2149">
        <v>158.45338207681399</v>
      </c>
      <c r="P2149">
        <v>104.61721888466801</v>
      </c>
      <c r="Q2149">
        <v>164.253801071689</v>
      </c>
      <c r="R2149">
        <v>172.940241761365</v>
      </c>
      <c r="S2149">
        <v>138.16610339738801</v>
      </c>
      <c r="T2149">
        <v>91.659094311625296</v>
      </c>
      <c r="U2149">
        <v>102.780323802506</v>
      </c>
      <c r="V2149">
        <v>115.497618949824</v>
      </c>
      <c r="W2149">
        <v>108.531838474718</v>
      </c>
    </row>
    <row r="2150" spans="1:23" x14ac:dyDescent="0.2">
      <c r="A2150" t="s">
        <v>4307</v>
      </c>
      <c r="B2150" s="3" t="str">
        <f>HYPERLINK("http://www.ncbi.nlm.nih.gov/gene/11991","Hnrnpd")</f>
        <v>Hnrnpd</v>
      </c>
      <c r="C2150">
        <v>11991</v>
      </c>
      <c r="D2150" t="s">
        <v>4308</v>
      </c>
      <c r="E2150" s="3" t="str">
        <f>HYPERLINK("http://genome.ucsc.edu/cgi-bin/hgTracks?db=mm10&amp;lastVirtModeType=default&amp;lastVirtModeExtraState=&amp;virtModeType=default&amp;virtMode=0&amp;nonVirtPosition=&amp;position=chr5:99955934-99978938","chr5:99955934-99978938")</f>
        <v>chr5:99955934-99978938</v>
      </c>
      <c r="F2150" t="s">
        <v>25</v>
      </c>
      <c r="G2150">
        <v>0.60632904655794495</v>
      </c>
      <c r="H2150">
        <v>0.18927597823131301</v>
      </c>
      <c r="I2150">
        <v>3.2034125630932002</v>
      </c>
      <c r="J2150">
        <v>1.35809272696052E-3</v>
      </c>
      <c r="K2150">
        <v>8.4548143520126393E-3</v>
      </c>
      <c r="L2150" t="s">
        <v>26</v>
      </c>
      <c r="M2150" t="s">
        <v>27</v>
      </c>
      <c r="N2150">
        <v>784.58911456140004</v>
      </c>
      <c r="O2150">
        <v>591.77013114889905</v>
      </c>
      <c r="P2150">
        <v>929.203352120776</v>
      </c>
      <c r="Q2150">
        <v>393.65233002604799</v>
      </c>
      <c r="R2150">
        <v>637.52751403696197</v>
      </c>
      <c r="S2150">
        <v>744.13054938368703</v>
      </c>
      <c r="T2150">
        <v>1054.0795845836899</v>
      </c>
      <c r="U2150">
        <v>950.717995173178</v>
      </c>
      <c r="V2150">
        <v>868.80692980727599</v>
      </c>
      <c r="W2150">
        <v>843.20889891896195</v>
      </c>
    </row>
    <row r="2151" spans="1:23" x14ac:dyDescent="0.2">
      <c r="A2151" t="s">
        <v>4309</v>
      </c>
      <c r="B2151" s="3" t="str">
        <f>HYPERLINK("http://www.ncbi.nlm.nih.gov/gene/102278","Cpne7")</f>
        <v>Cpne7</v>
      </c>
      <c r="C2151">
        <v>102278</v>
      </c>
      <c r="D2151" t="s">
        <v>4310</v>
      </c>
      <c r="E2151" s="3" t="str">
        <f>HYPERLINK("http://genome.ucsc.edu/cgi-bin/hgTracks?db=mm10&amp;lastVirtModeType=default&amp;lastVirtModeExtraState=&amp;virtModeType=default&amp;virtMode=0&amp;nonVirtPosition=&amp;position=chr8:123117373-123135185","chr8:123117373-123135185")</f>
        <v>chr8:123117373-123135185</v>
      </c>
      <c r="F2151" t="s">
        <v>30</v>
      </c>
      <c r="G2151">
        <v>1.18742710028765</v>
      </c>
      <c r="H2151">
        <v>0.370675828178962</v>
      </c>
      <c r="I2151">
        <v>3.2034112019690699</v>
      </c>
      <c r="J2151">
        <v>1.3580991465297E-3</v>
      </c>
      <c r="K2151">
        <v>8.4548143520126393E-3</v>
      </c>
      <c r="L2151" t="s">
        <v>26</v>
      </c>
      <c r="M2151" t="s">
        <v>27</v>
      </c>
      <c r="N2151">
        <v>18.199471521377699</v>
      </c>
      <c r="O2151">
        <v>7.8828606142893403</v>
      </c>
      <c r="P2151">
        <v>25.936929701693899</v>
      </c>
      <c r="Q2151">
        <v>6.6815105520687004</v>
      </c>
      <c r="R2151">
        <v>10.2398827358703</v>
      </c>
      <c r="S2151">
        <v>6.72718855492902</v>
      </c>
      <c r="T2151">
        <v>18.3318188623251</v>
      </c>
      <c r="U2151">
        <v>23.553824204740899</v>
      </c>
      <c r="V2151">
        <v>11.7704579821477</v>
      </c>
      <c r="W2151">
        <v>50.091617757562098</v>
      </c>
    </row>
    <row r="2152" spans="1:23" x14ac:dyDescent="0.2">
      <c r="A2152" t="s">
        <v>4311</v>
      </c>
      <c r="B2152" s="3" t="str">
        <f>HYPERLINK("http://www.ncbi.nlm.nih.gov/gene/30947","Adat1")</f>
        <v>Adat1</v>
      </c>
      <c r="C2152">
        <v>30947</v>
      </c>
      <c r="D2152" t="s">
        <v>4312</v>
      </c>
      <c r="E2152" s="3" t="str">
        <f>HYPERLINK("http://genome.ucsc.edu/cgi-bin/hgTracks?db=mm10&amp;lastVirtModeType=default&amp;lastVirtModeExtraState=&amp;virtModeType=default&amp;virtMode=0&amp;nonVirtPosition=&amp;position=chr8:111966907-111992302","chr8:111966907-111992302")</f>
        <v>chr8:111966907-111992302</v>
      </c>
      <c r="F2152" t="s">
        <v>25</v>
      </c>
      <c r="G2152">
        <v>0.73907964131152004</v>
      </c>
      <c r="H2152">
        <v>0.230741626656737</v>
      </c>
      <c r="I2152">
        <v>3.2030615889304301</v>
      </c>
      <c r="J2152">
        <v>1.3597489792991401E-3</v>
      </c>
      <c r="K2152">
        <v>8.4611517573395904E-3</v>
      </c>
      <c r="L2152" t="s">
        <v>26</v>
      </c>
      <c r="M2152" t="s">
        <v>27</v>
      </c>
      <c r="N2152">
        <v>50.643031026239797</v>
      </c>
      <c r="O2152">
        <v>35.978949669585198</v>
      </c>
      <c r="P2152">
        <v>61.641092043730801</v>
      </c>
      <c r="Q2152">
        <v>29.5100049383034</v>
      </c>
      <c r="R2152">
        <v>37.546236698191102</v>
      </c>
      <c r="S2152">
        <v>40.880607372260997</v>
      </c>
      <c r="T2152">
        <v>50.4125018713939</v>
      </c>
      <c r="U2152">
        <v>59.955188884795</v>
      </c>
      <c r="V2152">
        <v>61.059250782391103</v>
      </c>
      <c r="W2152">
        <v>75.137426636343093</v>
      </c>
    </row>
    <row r="2153" spans="1:23" x14ac:dyDescent="0.2">
      <c r="A2153" t="s">
        <v>4313</v>
      </c>
      <c r="B2153" s="3" t="str">
        <f>HYPERLINK("http://www.ncbi.nlm.nih.gov/gene/102443350","Xndc1")</f>
        <v>Xndc1</v>
      </c>
      <c r="C2153">
        <v>102443350</v>
      </c>
      <c r="D2153" t="s">
        <v>4314</v>
      </c>
      <c r="E2153" s="3" t="str">
        <f>HYPERLINK("http://genome.ucsc.edu/cgi-bin/hgTracks?db=mm10&amp;lastVirtModeType=default&amp;lastVirtModeExtraState=&amp;virtModeType=default&amp;virtMode=0&amp;nonVirtPosition=&amp;position=chr7:102065490-102083762","chr7:102065490-102083762")</f>
        <v>chr7:102065490-102083762</v>
      </c>
      <c r="F2153" t="s">
        <v>30</v>
      </c>
      <c r="G2153">
        <v>0.77399072155390602</v>
      </c>
      <c r="H2153">
        <v>0.241689038408024</v>
      </c>
      <c r="I2153">
        <v>3.2024237700314702</v>
      </c>
      <c r="J2153">
        <v>1.36276362663779E-3</v>
      </c>
      <c r="K2153">
        <v>8.4759720038581898E-3</v>
      </c>
      <c r="L2153" t="s">
        <v>26</v>
      </c>
      <c r="M2153" t="s">
        <v>27</v>
      </c>
      <c r="N2153">
        <v>55.937402960135799</v>
      </c>
      <c r="O2153">
        <v>37.058672783862797</v>
      </c>
      <c r="P2153">
        <v>70.096450592340602</v>
      </c>
      <c r="Q2153">
        <v>28.953212392297701</v>
      </c>
      <c r="R2153">
        <v>35.649962117474402</v>
      </c>
      <c r="S2153">
        <v>46.572843841816301</v>
      </c>
      <c r="T2153">
        <v>96.242049027206505</v>
      </c>
      <c r="U2153">
        <v>53.531418647138402</v>
      </c>
      <c r="V2153">
        <v>66.208826149580702</v>
      </c>
      <c r="W2153">
        <v>64.403508545436907</v>
      </c>
    </row>
    <row r="2154" spans="1:23" x14ac:dyDescent="0.2">
      <c r="A2154" t="s">
        <v>4315</v>
      </c>
      <c r="B2154" s="3" t="str">
        <f>HYPERLINK("http://www.ncbi.nlm.nih.gov/gene/21452","Tcn2")</f>
        <v>Tcn2</v>
      </c>
      <c r="C2154">
        <v>21452</v>
      </c>
      <c r="D2154" t="s">
        <v>4316</v>
      </c>
      <c r="E2154" s="3" t="str">
        <f>HYPERLINK("http://genome.ucsc.edu/cgi-bin/hgTracks?db=mm10&amp;lastVirtModeType=default&amp;lastVirtModeExtraState=&amp;virtModeType=default&amp;virtMode=0&amp;nonVirtPosition=&amp;position=chr11:3917079-3932078","chr11:3917079-3932078")</f>
        <v>chr11:3917079-3932078</v>
      </c>
      <c r="F2154" t="s">
        <v>25</v>
      </c>
      <c r="G2154">
        <v>-0.83798870133374503</v>
      </c>
      <c r="H2154">
        <v>0.26183543849906499</v>
      </c>
      <c r="I2154">
        <v>-3.2004403458042101</v>
      </c>
      <c r="J2154">
        <v>1.37217770804494E-3</v>
      </c>
      <c r="K2154">
        <v>8.5305625294474392E-3</v>
      </c>
      <c r="L2154" t="s">
        <v>26</v>
      </c>
      <c r="M2154" t="s">
        <v>27</v>
      </c>
      <c r="N2154">
        <v>129.360561533771</v>
      </c>
      <c r="O2154">
        <v>181.95878361179001</v>
      </c>
      <c r="P2154">
        <v>89.911894975256502</v>
      </c>
      <c r="Q2154">
        <v>264.47645935271902</v>
      </c>
      <c r="R2154">
        <v>120.982318249727</v>
      </c>
      <c r="S2154">
        <v>160.41757323292299</v>
      </c>
      <c r="T2154">
        <v>50.4125018713939</v>
      </c>
      <c r="U2154">
        <v>87.791526581306996</v>
      </c>
      <c r="V2154">
        <v>108.141082710982</v>
      </c>
      <c r="W2154">
        <v>113.30246873734301</v>
      </c>
    </row>
    <row r="2155" spans="1:23" x14ac:dyDescent="0.2">
      <c r="A2155" t="s">
        <v>4317</v>
      </c>
      <c r="B2155" s="3" t="str">
        <f>HYPERLINK("http://www.ncbi.nlm.nih.gov/gene/11596","Ager")</f>
        <v>Ager</v>
      </c>
      <c r="C2155">
        <v>11596</v>
      </c>
      <c r="D2155" t="s">
        <v>4318</v>
      </c>
      <c r="E2155" s="3" t="str">
        <f>HYPERLINK("http://genome.ucsc.edu/cgi-bin/hgTracks?db=mm10&amp;lastVirtModeType=default&amp;lastVirtModeExtraState=&amp;virtModeType=default&amp;virtMode=0&amp;nonVirtPosition=&amp;position=chr17:34597849-34600937","chr17:34597849-34600937")</f>
        <v>chr17:34597849-34600937</v>
      </c>
      <c r="F2155" t="s">
        <v>30</v>
      </c>
      <c r="G2155">
        <v>1.15410558031531</v>
      </c>
      <c r="H2155">
        <v>0.36063289498360102</v>
      </c>
      <c r="I2155">
        <v>3.2002227094890898</v>
      </c>
      <c r="J2155">
        <v>1.3732143360188E-3</v>
      </c>
      <c r="K2155">
        <v>8.5330455562077495E-3</v>
      </c>
      <c r="L2155" t="s">
        <v>26</v>
      </c>
      <c r="M2155" t="s">
        <v>27</v>
      </c>
      <c r="N2155">
        <v>13.126259689190601</v>
      </c>
      <c r="O2155">
        <v>5.9882976234681404</v>
      </c>
      <c r="P2155">
        <v>18.479731238482401</v>
      </c>
      <c r="Q2155">
        <v>3.3407552760343502</v>
      </c>
      <c r="R2155">
        <v>5.3095688260068199</v>
      </c>
      <c r="S2155">
        <v>9.3145687683632605</v>
      </c>
      <c r="T2155">
        <v>18.3318188623251</v>
      </c>
      <c r="U2155">
        <v>21.412567458855399</v>
      </c>
      <c r="V2155">
        <v>19.8626478448742</v>
      </c>
      <c r="W2155">
        <v>14.3118907878749</v>
      </c>
    </row>
    <row r="2156" spans="1:23" x14ac:dyDescent="0.2">
      <c r="A2156" t="s">
        <v>4319</v>
      </c>
      <c r="B2156" s="3" t="str">
        <f>HYPERLINK("http://www.ncbi.nlm.nih.gov/gene/19347","Dennd5a")</f>
        <v>Dennd5a</v>
      </c>
      <c r="C2156">
        <v>19347</v>
      </c>
      <c r="D2156" t="s">
        <v>4320</v>
      </c>
      <c r="E2156" s="3" t="str">
        <f>HYPERLINK("http://genome.ucsc.edu/cgi-bin/hgTracks?db=mm10&amp;lastVirtModeType=default&amp;lastVirtModeExtraState=&amp;virtModeType=default&amp;virtMode=0&amp;nonVirtPosition=&amp;position=chr7:109893780-109960470","chr7:109893780-109960470")</f>
        <v>chr7:109893780-109960470</v>
      </c>
      <c r="F2156" t="s">
        <v>25</v>
      </c>
      <c r="G2156">
        <v>-0.55160189304215101</v>
      </c>
      <c r="H2156">
        <v>0.172398891938155</v>
      </c>
      <c r="I2156">
        <v>-3.1995675078934198</v>
      </c>
      <c r="J2156">
        <v>1.3763395020983599E-3</v>
      </c>
      <c r="K2156">
        <v>8.5484982711498993E-3</v>
      </c>
      <c r="L2156" t="s">
        <v>26</v>
      </c>
      <c r="M2156" t="s">
        <v>27</v>
      </c>
      <c r="N2156">
        <v>2390.2388603392201</v>
      </c>
      <c r="O2156">
        <v>2949.0956528121201</v>
      </c>
      <c r="P2156">
        <v>1971.09626598455</v>
      </c>
      <c r="Q2156">
        <v>3891.4231040340101</v>
      </c>
      <c r="R2156">
        <v>2422.3011494075399</v>
      </c>
      <c r="S2156">
        <v>2533.5627049948098</v>
      </c>
      <c r="T2156">
        <v>1934.0068899752901</v>
      </c>
      <c r="U2156">
        <v>1828.63326098625</v>
      </c>
      <c r="V2156">
        <v>2175.3277658256702</v>
      </c>
      <c r="W2156">
        <v>1946.4171471509801</v>
      </c>
    </row>
    <row r="2157" spans="1:23" x14ac:dyDescent="0.2">
      <c r="A2157" t="s">
        <v>4321</v>
      </c>
      <c r="B2157" s="3" t="str">
        <f>HYPERLINK("http://www.ncbi.nlm.nih.gov/gene/192198","Lrrc4")</f>
        <v>Lrrc4</v>
      </c>
      <c r="C2157">
        <v>192198</v>
      </c>
      <c r="D2157" t="s">
        <v>4322</v>
      </c>
      <c r="E2157" s="3" t="str">
        <f>HYPERLINK("http://genome.ucsc.edu/cgi-bin/hgTracks?db=mm10&amp;lastVirtModeType=default&amp;lastVirtModeExtraState=&amp;virtModeType=default&amp;virtMode=0&amp;nonVirtPosition=&amp;position=chr6:28828125-28831747","chr6:28828125-28831747")</f>
        <v>chr6:28828125-28831747</v>
      </c>
      <c r="F2157" t="s">
        <v>25</v>
      </c>
      <c r="G2157">
        <v>-0.66726837362048397</v>
      </c>
      <c r="H2157">
        <v>0.20870682909996099</v>
      </c>
      <c r="I2157">
        <v>-3.1971563963577401</v>
      </c>
      <c r="J2157">
        <v>1.3878965381433101E-3</v>
      </c>
      <c r="K2157">
        <v>8.6162830515888293E-3</v>
      </c>
      <c r="L2157" t="s">
        <v>26</v>
      </c>
      <c r="M2157" t="s">
        <v>27</v>
      </c>
      <c r="N2157">
        <v>270.97982036043697</v>
      </c>
      <c r="O2157">
        <v>351.44641471997397</v>
      </c>
      <c r="P2157">
        <v>210.62987459078499</v>
      </c>
      <c r="Q2157">
        <v>491.647818123055</v>
      </c>
      <c r="R2157">
        <v>307.57573699225202</v>
      </c>
      <c r="S2157">
        <v>255.115689044616</v>
      </c>
      <c r="T2157">
        <v>169.56932447650701</v>
      </c>
      <c r="U2157">
        <v>231.255728555638</v>
      </c>
      <c r="V2157">
        <v>216.28216542196401</v>
      </c>
      <c r="W2157">
        <v>225.412279909029</v>
      </c>
    </row>
    <row r="2158" spans="1:23" x14ac:dyDescent="0.2">
      <c r="A2158" t="s">
        <v>4323</v>
      </c>
      <c r="B2158" s="3" t="str">
        <f>HYPERLINK("http://www.ncbi.nlm.nih.gov/gene/14248","Flii")</f>
        <v>Flii</v>
      </c>
      <c r="C2158">
        <v>14248</v>
      </c>
      <c r="D2158" t="s">
        <v>4324</v>
      </c>
      <c r="E2158" s="3" t="str">
        <f>HYPERLINK("http://genome.ucsc.edu/cgi-bin/hgTracks?db=mm10&amp;lastVirtModeType=default&amp;lastVirtModeExtraState=&amp;virtModeType=default&amp;virtMode=0&amp;nonVirtPosition=&amp;position=chr11:60714145-60727263","chr11:60714145-60727263")</f>
        <v>chr11:60714145-60727263</v>
      </c>
      <c r="F2158" t="s">
        <v>25</v>
      </c>
      <c r="G2158">
        <v>-0.407043309497715</v>
      </c>
      <c r="H2158">
        <v>0.12735172395302299</v>
      </c>
      <c r="I2158">
        <v>-3.1962135797067299</v>
      </c>
      <c r="J2158">
        <v>1.3924399732827401E-3</v>
      </c>
      <c r="K2158">
        <v>8.6404836340264607E-3</v>
      </c>
      <c r="L2158" t="s">
        <v>26</v>
      </c>
      <c r="M2158" t="s">
        <v>27</v>
      </c>
      <c r="N2158">
        <v>366.24743674354499</v>
      </c>
      <c r="O2158">
        <v>430.69102928591298</v>
      </c>
      <c r="P2158">
        <v>317.91474233676797</v>
      </c>
      <c r="Q2158">
        <v>469.93290882883201</v>
      </c>
      <c r="R2158">
        <v>387.977779214642</v>
      </c>
      <c r="S2158">
        <v>434.16239981426497</v>
      </c>
      <c r="T2158">
        <v>297.89205651278201</v>
      </c>
      <c r="U2158">
        <v>293.352174186318</v>
      </c>
      <c r="V2158">
        <v>336.92935973897698</v>
      </c>
      <c r="W2158">
        <v>343.48537890899701</v>
      </c>
    </row>
    <row r="2159" spans="1:23" x14ac:dyDescent="0.2">
      <c r="A2159" t="s">
        <v>4325</v>
      </c>
      <c r="B2159" s="3" t="str">
        <f>HYPERLINK("http://www.ncbi.nlm.nih.gov/gene/108689","Obfc1")</f>
        <v>Obfc1</v>
      </c>
      <c r="C2159">
        <v>108689</v>
      </c>
      <c r="D2159" t="s">
        <v>4326</v>
      </c>
      <c r="E2159" s="3" t="str">
        <f>HYPERLINK("http://genome.ucsc.edu/cgi-bin/hgTracks?db=mm10&amp;lastVirtModeType=default&amp;lastVirtModeExtraState=&amp;virtModeType=default&amp;virtMode=0&amp;nonVirtPosition=&amp;position=chr19:47501047-47537020","chr19:47501047-47537020")</f>
        <v>chr19:47501047-47537020</v>
      </c>
      <c r="F2159" t="s">
        <v>25</v>
      </c>
      <c r="G2159">
        <v>0.77846115072931199</v>
      </c>
      <c r="H2159">
        <v>0.24360048077191401</v>
      </c>
      <c r="I2159">
        <v>3.19564702114933</v>
      </c>
      <c r="J2159">
        <v>1.39517681328255E-3</v>
      </c>
      <c r="K2159">
        <v>8.6534565570479706E-3</v>
      </c>
      <c r="L2159" t="s">
        <v>26</v>
      </c>
      <c r="M2159" t="s">
        <v>27</v>
      </c>
      <c r="N2159">
        <v>42.0094784122033</v>
      </c>
      <c r="O2159">
        <v>29.405362893909398</v>
      </c>
      <c r="P2159">
        <v>51.4625650509237</v>
      </c>
      <c r="Q2159">
        <v>30.066797484309099</v>
      </c>
      <c r="R2159">
        <v>25.0308244654607</v>
      </c>
      <c r="S2159">
        <v>33.1184667319583</v>
      </c>
      <c r="T2159">
        <v>36.663637724650101</v>
      </c>
      <c r="U2159">
        <v>55.672675393023901</v>
      </c>
      <c r="V2159">
        <v>51.495753671896097</v>
      </c>
      <c r="W2159">
        <v>62.018193414124497</v>
      </c>
    </row>
    <row r="2160" spans="1:23" x14ac:dyDescent="0.2">
      <c r="A2160" t="s">
        <v>4327</v>
      </c>
      <c r="B2160" s="3" t="str">
        <f>HYPERLINK("http://www.ncbi.nlm.nih.gov/gene/27054","Sec23b")</f>
        <v>Sec23b</v>
      </c>
      <c r="C2160">
        <v>27054</v>
      </c>
      <c r="D2160" t="s">
        <v>4328</v>
      </c>
      <c r="E2160" s="3" t="str">
        <f>HYPERLINK("http://genome.ucsc.edu/cgi-bin/hgTracks?db=mm10&amp;lastVirtModeType=default&amp;lastVirtModeExtraState=&amp;virtModeType=default&amp;virtMode=0&amp;nonVirtPosition=&amp;position=chr2:144556228-144590753","chr2:144556228-144590753")</f>
        <v>chr2:144556228-144590753</v>
      </c>
      <c r="F2160" t="s">
        <v>30</v>
      </c>
      <c r="G2160">
        <v>-0.40643753509046798</v>
      </c>
      <c r="H2160">
        <v>0.12723377290396801</v>
      </c>
      <c r="I2160">
        <v>-3.1944154905886002</v>
      </c>
      <c r="J2160">
        <v>1.40114301143634E-3</v>
      </c>
      <c r="K2160">
        <v>8.6864379935852193E-3</v>
      </c>
      <c r="L2160" t="s">
        <v>26</v>
      </c>
      <c r="M2160" t="s">
        <v>27</v>
      </c>
      <c r="N2160">
        <v>336.98186804502802</v>
      </c>
      <c r="O2160">
        <v>395.62207344778898</v>
      </c>
      <c r="P2160">
        <v>293.001713992958</v>
      </c>
      <c r="Q2160">
        <v>354.676851805647</v>
      </c>
      <c r="R2160">
        <v>428.55805524197899</v>
      </c>
      <c r="S2160">
        <v>403.63131329574099</v>
      </c>
      <c r="T2160">
        <v>261.22841878813199</v>
      </c>
      <c r="U2160">
        <v>312.62348489928797</v>
      </c>
      <c r="V2160">
        <v>311.91713652691402</v>
      </c>
      <c r="W2160">
        <v>286.23781575749803</v>
      </c>
    </row>
    <row r="2161" spans="1:23" x14ac:dyDescent="0.2">
      <c r="A2161" t="s">
        <v>4329</v>
      </c>
      <c r="B2161" s="3" t="str">
        <f>HYPERLINK("http://www.ncbi.nlm.nih.gov/gene/230908","Tardbp")</f>
        <v>Tardbp</v>
      </c>
      <c r="C2161">
        <v>230908</v>
      </c>
      <c r="D2161" t="s">
        <v>4330</v>
      </c>
      <c r="E2161" s="3" t="str">
        <f>HYPERLINK("http://genome.ucsc.edu/cgi-bin/hgTracks?db=mm10&amp;lastVirtModeType=default&amp;lastVirtModeExtraState=&amp;virtModeType=default&amp;virtMode=0&amp;nonVirtPosition=&amp;position=chr4:148612381-148626996","chr4:148612381-148626996")</f>
        <v>chr4:148612381-148626996</v>
      </c>
      <c r="F2161" t="s">
        <v>25</v>
      </c>
      <c r="G2161">
        <v>0.29887652206287002</v>
      </c>
      <c r="H2161">
        <v>9.3580059627377393E-2</v>
      </c>
      <c r="I2161">
        <v>3.1938056382198701</v>
      </c>
      <c r="J2161">
        <v>1.40410616635178E-3</v>
      </c>
      <c r="K2161">
        <v>8.7007800433209805E-3</v>
      </c>
      <c r="L2161" t="s">
        <v>26</v>
      </c>
      <c r="M2161" t="s">
        <v>27</v>
      </c>
      <c r="N2161">
        <v>740.159913608544</v>
      </c>
      <c r="O2161">
        <v>653.56330974422804</v>
      </c>
      <c r="P2161">
        <v>805.10736650678098</v>
      </c>
      <c r="Q2161">
        <v>662.58312974681303</v>
      </c>
      <c r="R2161">
        <v>631.08018046252505</v>
      </c>
      <c r="S2161">
        <v>667.02661902334705</v>
      </c>
      <c r="T2161">
        <v>792.85116579555904</v>
      </c>
      <c r="U2161">
        <v>824.383847165931</v>
      </c>
      <c r="V2161">
        <v>823.19640512645401</v>
      </c>
      <c r="W2161">
        <v>779.99804793918099</v>
      </c>
    </row>
    <row r="2162" spans="1:23" x14ac:dyDescent="0.2">
      <c r="A2162" t="s">
        <v>4331</v>
      </c>
      <c r="B2162" s="3" t="str">
        <f>HYPERLINK("http://www.ncbi.nlm.nih.gov/gene/30853","Mlf2")</f>
        <v>Mlf2</v>
      </c>
      <c r="C2162">
        <v>30853</v>
      </c>
      <c r="D2162" t="s">
        <v>4332</v>
      </c>
      <c r="E2162" s="3" t="str">
        <f>HYPERLINK("http://genome.ucsc.edu/cgi-bin/hgTracks?db=mm10&amp;lastVirtModeType=default&amp;lastVirtModeExtraState=&amp;virtModeType=default&amp;virtMode=0&amp;nonVirtPosition=&amp;position=chr6:124931387-124936149","chr6:124931387-124936149")</f>
        <v>chr6:124931387-124936149</v>
      </c>
      <c r="F2162" t="s">
        <v>30</v>
      </c>
      <c r="G2162">
        <v>-0.51296653249743396</v>
      </c>
      <c r="H2162">
        <v>0.16063650991492701</v>
      </c>
      <c r="I2162">
        <v>-3.19333713592945</v>
      </c>
      <c r="J2162">
        <v>1.4063864517728901E-3</v>
      </c>
      <c r="K2162">
        <v>8.7108792672020204E-3</v>
      </c>
      <c r="L2162" t="s">
        <v>26</v>
      </c>
      <c r="M2162" t="s">
        <v>27</v>
      </c>
      <c r="N2162">
        <v>1208.1089748709401</v>
      </c>
      <c r="O2162">
        <v>1470.67263205327</v>
      </c>
      <c r="P2162">
        <v>1011.18623198419</v>
      </c>
      <c r="Q2162">
        <v>1525.61157605569</v>
      </c>
      <c r="R2162">
        <v>1505.26276217293</v>
      </c>
      <c r="S2162">
        <v>1381.1435579311999</v>
      </c>
      <c r="T2162">
        <v>806.60002994230194</v>
      </c>
      <c r="U2162">
        <v>1329.7204391949199</v>
      </c>
      <c r="V2162">
        <v>1021.08722995131</v>
      </c>
      <c r="W2162">
        <v>887.33722884824203</v>
      </c>
    </row>
    <row r="2163" spans="1:23" x14ac:dyDescent="0.2">
      <c r="A2163" t="s">
        <v>4333</v>
      </c>
      <c r="B2163" s="3" t="str">
        <f>HYPERLINK("http://www.ncbi.nlm.nih.gov/gene/72960","Top1mt")</f>
        <v>Top1mt</v>
      </c>
      <c r="C2163">
        <v>72960</v>
      </c>
      <c r="D2163" t="s">
        <v>4334</v>
      </c>
      <c r="E2163" s="3" t="str">
        <f>HYPERLINK("http://genome.ucsc.edu/cgi-bin/hgTracks?db=mm10&amp;lastVirtModeType=default&amp;lastVirtModeExtraState=&amp;virtModeType=default&amp;virtMode=0&amp;nonVirtPosition=&amp;position=chr15:75657032-75678790","chr15:75657032-75678790")</f>
        <v>chr15:75657032-75678790</v>
      </c>
      <c r="F2163" t="s">
        <v>25</v>
      </c>
      <c r="G2163">
        <v>0.94686918102580198</v>
      </c>
      <c r="H2163">
        <v>0.296622252596352</v>
      </c>
      <c r="I2163">
        <v>3.1921717697772198</v>
      </c>
      <c r="J2163">
        <v>1.4120733176268901E-3</v>
      </c>
      <c r="K2163">
        <v>8.7420590829133792E-3</v>
      </c>
      <c r="L2163" t="s">
        <v>26</v>
      </c>
      <c r="M2163" t="s">
        <v>27</v>
      </c>
      <c r="N2163">
        <v>35.866944147701702</v>
      </c>
      <c r="O2163">
        <v>20.2742843449983</v>
      </c>
      <c r="P2163">
        <v>47.561438999729198</v>
      </c>
      <c r="Q2163">
        <v>13.9198136501431</v>
      </c>
      <c r="R2163">
        <v>24.651569549317401</v>
      </c>
      <c r="S2163">
        <v>22.2514698355345</v>
      </c>
      <c r="T2163">
        <v>59.578411302556397</v>
      </c>
      <c r="U2163">
        <v>59.955188884795</v>
      </c>
      <c r="V2163">
        <v>30.1617985792534</v>
      </c>
      <c r="W2163">
        <v>40.550357232312201</v>
      </c>
    </row>
    <row r="2164" spans="1:23" x14ac:dyDescent="0.2">
      <c r="A2164" t="s">
        <v>4335</v>
      </c>
      <c r="B2164" s="3" t="str">
        <f>HYPERLINK("http://www.ncbi.nlm.nih.gov/gene/65107","Lrp10")</f>
        <v>Lrp10</v>
      </c>
      <c r="C2164">
        <v>65107</v>
      </c>
      <c r="D2164" t="s">
        <v>4336</v>
      </c>
      <c r="E2164" s="3" t="str">
        <f>HYPERLINK("http://genome.ucsc.edu/cgi-bin/hgTracks?db=mm10&amp;lastVirtModeType=default&amp;lastVirtModeExtraState=&amp;virtModeType=default&amp;virtMode=0&amp;nonVirtPosition=&amp;position=chr14:54464146-54470291","chr14:54464146-54470291")</f>
        <v>chr14:54464146-54470291</v>
      </c>
      <c r="F2164" t="s">
        <v>30</v>
      </c>
      <c r="G2164">
        <v>-0.427690367434722</v>
      </c>
      <c r="H2164">
        <v>0.13400008047252801</v>
      </c>
      <c r="I2164">
        <v>-3.1917172432027199</v>
      </c>
      <c r="J2164">
        <v>1.4142971016101501E-3</v>
      </c>
      <c r="K2164">
        <v>8.7517802623204907E-3</v>
      </c>
      <c r="L2164" t="s">
        <v>26</v>
      </c>
      <c r="M2164" t="s">
        <v>27</v>
      </c>
      <c r="N2164">
        <v>363.57553777251502</v>
      </c>
      <c r="O2164">
        <v>429.45407701867401</v>
      </c>
      <c r="P2164">
        <v>314.16663333789597</v>
      </c>
      <c r="Q2164">
        <v>409.24252131420798</v>
      </c>
      <c r="R2164">
        <v>407.69903485409498</v>
      </c>
      <c r="S2164">
        <v>471.42067488771801</v>
      </c>
      <c r="T2164">
        <v>265.81137350371301</v>
      </c>
      <c r="U2164">
        <v>376.86118727585398</v>
      </c>
      <c r="V2164">
        <v>297.93971767311302</v>
      </c>
      <c r="W2164">
        <v>316.05425489890399</v>
      </c>
    </row>
    <row r="2165" spans="1:23" x14ac:dyDescent="0.2">
      <c r="A2165" t="s">
        <v>4337</v>
      </c>
      <c r="B2165" s="3" t="str">
        <f>HYPERLINK("http://www.ncbi.nlm.nih.gov/gene/74194","Rnd3")</f>
        <v>Rnd3</v>
      </c>
      <c r="C2165">
        <v>74194</v>
      </c>
      <c r="D2165" t="s">
        <v>4338</v>
      </c>
      <c r="E2165" s="3" t="str">
        <f>HYPERLINK("http://genome.ucsc.edu/cgi-bin/hgTracks?db=mm10&amp;lastVirtModeType=default&amp;lastVirtModeExtraState=&amp;virtModeType=default&amp;virtMode=0&amp;nonVirtPosition=&amp;position=chr2:51130438-51149111","chr2:51130438-51149111")</f>
        <v>chr2:51130438-51149111</v>
      </c>
      <c r="F2165" t="s">
        <v>25</v>
      </c>
      <c r="G2165">
        <v>-0.58099050067211899</v>
      </c>
      <c r="H2165">
        <v>0.182047694901248</v>
      </c>
      <c r="I2165">
        <v>-3.1914191552234699</v>
      </c>
      <c r="J2165">
        <v>1.4157572580368899E-3</v>
      </c>
      <c r="K2165">
        <v>8.7560343295352196E-3</v>
      </c>
      <c r="L2165" t="s">
        <v>26</v>
      </c>
      <c r="M2165" t="s">
        <v>27</v>
      </c>
      <c r="N2165">
        <v>98.422422861440793</v>
      </c>
      <c r="O2165">
        <v>124.653730890033</v>
      </c>
      <c r="P2165">
        <v>78.748941839996306</v>
      </c>
      <c r="Q2165">
        <v>139.19813650143101</v>
      </c>
      <c r="R2165">
        <v>112.638710094573</v>
      </c>
      <c r="S2165">
        <v>122.124346074096</v>
      </c>
      <c r="T2165">
        <v>68.744320733718993</v>
      </c>
      <c r="U2165">
        <v>74.943986105993702</v>
      </c>
      <c r="V2165">
        <v>89.014088489991806</v>
      </c>
      <c r="W2165">
        <v>82.293372030280594</v>
      </c>
    </row>
    <row r="2166" spans="1:23" x14ac:dyDescent="0.2">
      <c r="A2166" t="s">
        <v>4339</v>
      </c>
      <c r="B2166" s="3" t="str">
        <f>HYPERLINK("http://www.ncbi.nlm.nih.gov/gene/21945","Dedd")</f>
        <v>Dedd</v>
      </c>
      <c r="C2166">
        <v>21945</v>
      </c>
      <c r="D2166" t="s">
        <v>4340</v>
      </c>
      <c r="E2166" s="3" t="str">
        <f>HYPERLINK("http://genome.ucsc.edu/cgi-bin/hgTracks?db=mm10&amp;lastVirtModeType=default&amp;lastVirtModeExtraState=&amp;virtModeType=default&amp;virtMode=0&amp;nonVirtPosition=&amp;position=chr1:171329144-171342501","chr1:171329144-171342501")</f>
        <v>chr1:171329144-171342501</v>
      </c>
      <c r="F2166" t="s">
        <v>30</v>
      </c>
      <c r="G2166">
        <v>0.80062282039126897</v>
      </c>
      <c r="H2166">
        <v>0.25087835268341602</v>
      </c>
      <c r="I2166">
        <v>3.1912790076455</v>
      </c>
      <c r="J2166">
        <v>1.41644423822247E-3</v>
      </c>
      <c r="K2166">
        <v>8.7560343295352196E-3</v>
      </c>
      <c r="L2166" t="s">
        <v>26</v>
      </c>
      <c r="M2166" t="s">
        <v>27</v>
      </c>
      <c r="N2166">
        <v>40.230313741741803</v>
      </c>
      <c r="O2166">
        <v>27.714393883406899</v>
      </c>
      <c r="P2166">
        <v>49.617253635493</v>
      </c>
      <c r="Q2166">
        <v>22.271701840228999</v>
      </c>
      <c r="R2166">
        <v>30.340393291467599</v>
      </c>
      <c r="S2166">
        <v>30.531086518523999</v>
      </c>
      <c r="T2166">
        <v>36.663637724650101</v>
      </c>
      <c r="U2166">
        <v>51.390161901252803</v>
      </c>
      <c r="V2166">
        <v>60.3235971585069</v>
      </c>
      <c r="W2166">
        <v>50.091617757562098</v>
      </c>
    </row>
    <row r="2167" spans="1:23" x14ac:dyDescent="0.2">
      <c r="A2167" t="s">
        <v>4341</v>
      </c>
      <c r="B2167" s="3" t="str">
        <f>HYPERLINK("http://www.ncbi.nlm.nih.gov/gene/66684","Tceal8")</f>
        <v>Tceal8</v>
      </c>
      <c r="C2167">
        <v>66684</v>
      </c>
      <c r="D2167" t="s">
        <v>4342</v>
      </c>
      <c r="E2167" s="3" t="str">
        <f>HYPERLINK("http://genome.ucsc.edu/cgi-bin/hgTracks?db=mm10&amp;lastVirtModeType=default&amp;lastVirtModeExtraState=&amp;virtModeType=default&amp;virtMode=0&amp;nonVirtPosition=&amp;position=chrX:136168983-136172251","chrX:136168983-136172251")</f>
        <v>chrX:136168983-136172251</v>
      </c>
      <c r="F2167" t="s">
        <v>25</v>
      </c>
      <c r="G2167">
        <v>-0.47565960536075302</v>
      </c>
      <c r="H2167">
        <v>0.149064086791658</v>
      </c>
      <c r="I2167">
        <v>-3.1909738663315199</v>
      </c>
      <c r="J2167">
        <v>1.41794105350849E-3</v>
      </c>
      <c r="K2167">
        <v>8.7560343295352196E-3</v>
      </c>
      <c r="L2167" t="s">
        <v>26</v>
      </c>
      <c r="M2167" t="s">
        <v>27</v>
      </c>
      <c r="N2167">
        <v>222.47343982416101</v>
      </c>
      <c r="O2167">
        <v>266.269484703655</v>
      </c>
      <c r="P2167">
        <v>189.62640616453999</v>
      </c>
      <c r="Q2167">
        <v>293.98646429102303</v>
      </c>
      <c r="R2167">
        <v>276.09757895235498</v>
      </c>
      <c r="S2167">
        <v>228.72441086758701</v>
      </c>
      <c r="T2167">
        <v>201.650007485576</v>
      </c>
      <c r="U2167">
        <v>179.86556665438499</v>
      </c>
      <c r="V2167">
        <v>205.2473610637</v>
      </c>
      <c r="W2167">
        <v>171.74268945449899</v>
      </c>
    </row>
    <row r="2168" spans="1:23" x14ac:dyDescent="0.2">
      <c r="A2168" t="s">
        <v>4343</v>
      </c>
      <c r="B2168" s="3" t="str">
        <f>HYPERLINK("http://www.ncbi.nlm.nih.gov/gene/52440","Tax1bp1")</f>
        <v>Tax1bp1</v>
      </c>
      <c r="C2168">
        <v>52440</v>
      </c>
      <c r="D2168" t="s">
        <v>4344</v>
      </c>
      <c r="E2168" s="3" t="str">
        <f>HYPERLINK("http://genome.ucsc.edu/cgi-bin/hgTracks?db=mm10&amp;lastVirtModeType=default&amp;lastVirtModeExtraState=&amp;virtModeType=default&amp;virtMode=0&amp;nonVirtPosition=&amp;position=chr6:52713728-52766779","chr6:52713728-52766779")</f>
        <v>chr6:52713728-52766779</v>
      </c>
      <c r="F2168" t="s">
        <v>30</v>
      </c>
      <c r="G2168">
        <v>-0.40560043136296597</v>
      </c>
      <c r="H2168">
        <v>0.127111205323231</v>
      </c>
      <c r="I2168">
        <v>-3.1909101194624401</v>
      </c>
      <c r="J2168">
        <v>1.4182539362827199E-3</v>
      </c>
      <c r="K2168">
        <v>8.7560343295352196E-3</v>
      </c>
      <c r="L2168" t="s">
        <v>26</v>
      </c>
      <c r="M2168" t="s">
        <v>27</v>
      </c>
      <c r="N2168">
        <v>678.25534233728797</v>
      </c>
      <c r="O2168">
        <v>791.39176420596596</v>
      </c>
      <c r="P2168">
        <v>593.40302593577997</v>
      </c>
      <c r="Q2168">
        <v>886.41373324111396</v>
      </c>
      <c r="R2168">
        <v>775.19704859699596</v>
      </c>
      <c r="S2168">
        <v>712.56451077978898</v>
      </c>
      <c r="T2168">
        <v>637.03070546579602</v>
      </c>
      <c r="U2168">
        <v>509.61910552075699</v>
      </c>
      <c r="V2168">
        <v>628.24819479713301</v>
      </c>
      <c r="W2168">
        <v>598.71409795943202</v>
      </c>
    </row>
    <row r="2169" spans="1:23" x14ac:dyDescent="0.2">
      <c r="A2169" t="s">
        <v>4345</v>
      </c>
      <c r="B2169" s="3" t="str">
        <f>HYPERLINK("http://www.ncbi.nlm.nih.gov/gene/108989","Tpr")</f>
        <v>Tpr</v>
      </c>
      <c r="C2169">
        <v>108989</v>
      </c>
      <c r="D2169" t="s">
        <v>4346</v>
      </c>
      <c r="E2169" s="3" t="str">
        <f>HYPERLINK("http://genome.ucsc.edu/cgi-bin/hgTracks?db=mm10&amp;lastVirtModeType=default&amp;lastVirtModeExtraState=&amp;virtModeType=default&amp;virtMode=0&amp;nonVirtPosition=&amp;position=chr1:150392837-150449935","chr1:150392837-150449935")</f>
        <v>chr1:150392837-150449935</v>
      </c>
      <c r="F2169" t="s">
        <v>30</v>
      </c>
      <c r="G2169">
        <v>-0.33606200800771902</v>
      </c>
      <c r="H2169">
        <v>0.105350913231178</v>
      </c>
      <c r="I2169">
        <v>-3.1899297092022101</v>
      </c>
      <c r="J2169">
        <v>1.4230740162422199E-3</v>
      </c>
      <c r="K2169">
        <v>8.7817438486173308E-3</v>
      </c>
      <c r="L2169" t="s">
        <v>26</v>
      </c>
      <c r="M2169" t="s">
        <v>27</v>
      </c>
      <c r="N2169">
        <v>1243.2934672471199</v>
      </c>
      <c r="O2169">
        <v>1411.84871708164</v>
      </c>
      <c r="P2169">
        <v>1116.87702987124</v>
      </c>
      <c r="Q2169">
        <v>1365.8121153520401</v>
      </c>
      <c r="R2169">
        <v>1521.1914686509599</v>
      </c>
      <c r="S2169">
        <v>1348.5425672419301</v>
      </c>
      <c r="T2169">
        <v>1186.9852713355499</v>
      </c>
      <c r="U2169">
        <v>1021.3794677874</v>
      </c>
      <c r="V2169">
        <v>1093.9169387158499</v>
      </c>
      <c r="W2169">
        <v>1165.2264416461501</v>
      </c>
    </row>
    <row r="2170" spans="1:23" x14ac:dyDescent="0.2">
      <c r="A2170" t="s">
        <v>4347</v>
      </c>
      <c r="B2170" s="3" t="str">
        <f>HYPERLINK("http://www.ncbi.nlm.nih.gov/gene/56275","Rbm14")</f>
        <v>Rbm14</v>
      </c>
      <c r="C2170">
        <v>56275</v>
      </c>
      <c r="D2170" t="s">
        <v>4348</v>
      </c>
      <c r="E2170" s="3" t="str">
        <f>HYPERLINK("http://genome.ucsc.edu/cgi-bin/hgTracks?db=mm10&amp;lastVirtModeType=default&amp;lastVirtModeExtraState=&amp;virtModeType=default&amp;virtMode=0&amp;nonVirtPosition=&amp;position=chr19:4800565-4811634","chr19:4800565-4811634")</f>
        <v>chr19:4800565-4811634</v>
      </c>
      <c r="F2170" t="s">
        <v>25</v>
      </c>
      <c r="G2170">
        <v>0.58318842706586405</v>
      </c>
      <c r="H2170">
        <v>0.18285553019305401</v>
      </c>
      <c r="I2170">
        <v>3.1893398381232898</v>
      </c>
      <c r="J2170">
        <v>1.4259813248855501E-3</v>
      </c>
      <c r="K2170">
        <v>8.7956314700794406E-3</v>
      </c>
      <c r="L2170" t="s">
        <v>26</v>
      </c>
      <c r="M2170" t="s">
        <v>27</v>
      </c>
      <c r="N2170">
        <v>231.96823085745501</v>
      </c>
      <c r="O2170">
        <v>178.53052584666699</v>
      </c>
      <c r="P2170">
        <v>272.04650961554501</v>
      </c>
      <c r="Q2170">
        <v>131.95983340335701</v>
      </c>
      <c r="R2170">
        <v>171.80247701293499</v>
      </c>
      <c r="S2170">
        <v>231.82926712370801</v>
      </c>
      <c r="T2170">
        <v>247.47955464138801</v>
      </c>
      <c r="U2170">
        <v>280.504633711005</v>
      </c>
      <c r="V2170">
        <v>284.69795244319698</v>
      </c>
      <c r="W2170">
        <v>275.503897666591</v>
      </c>
    </row>
    <row r="2171" spans="1:23" x14ac:dyDescent="0.2">
      <c r="A2171" t="s">
        <v>4349</v>
      </c>
      <c r="B2171" s="3" t="str">
        <f>HYPERLINK("http://www.ncbi.nlm.nih.gov/gene/24099","Tnfsf13b")</f>
        <v>Tnfsf13b</v>
      </c>
      <c r="C2171">
        <v>24099</v>
      </c>
      <c r="D2171" t="s">
        <v>4350</v>
      </c>
      <c r="E2171" s="3" t="str">
        <f>HYPERLINK("http://genome.ucsc.edu/cgi-bin/hgTracks?db=mm10&amp;lastVirtModeType=default&amp;lastVirtModeExtraState=&amp;virtModeType=default&amp;virtMode=0&amp;nonVirtPosition=&amp;position=chr8:10006632-10035999","chr8:10006632-10035999")</f>
        <v>chr8:10006632-10035999</v>
      </c>
      <c r="F2171" t="s">
        <v>30</v>
      </c>
      <c r="G2171">
        <v>1.0947159971368099</v>
      </c>
      <c r="H2171">
        <v>0.34354345065710001</v>
      </c>
      <c r="I2171">
        <v>3.1865430560324599</v>
      </c>
      <c r="J2171">
        <v>1.4398405499522701E-3</v>
      </c>
      <c r="K2171">
        <v>8.8770279946642702E-3</v>
      </c>
      <c r="L2171" t="s">
        <v>26</v>
      </c>
      <c r="M2171" t="s">
        <v>27</v>
      </c>
      <c r="N2171">
        <v>19.049377747998101</v>
      </c>
      <c r="O2171">
        <v>8.8451190786509795</v>
      </c>
      <c r="P2171">
        <v>26.702571750008399</v>
      </c>
      <c r="Q2171">
        <v>9.4654732820973209</v>
      </c>
      <c r="R2171">
        <v>11.377647484300301</v>
      </c>
      <c r="S2171">
        <v>5.6922364695553203</v>
      </c>
      <c r="T2171">
        <v>45.829547155812598</v>
      </c>
      <c r="U2171">
        <v>19.2713107129698</v>
      </c>
      <c r="V2171">
        <v>25.012223212063802</v>
      </c>
      <c r="W2171">
        <v>16.6972059191874</v>
      </c>
    </row>
    <row r="2172" spans="1:23" x14ac:dyDescent="0.2">
      <c r="A2172" t="s">
        <v>4351</v>
      </c>
      <c r="B2172" s="3" t="str">
        <f>HYPERLINK("http://www.ncbi.nlm.nih.gov/gene/15530","Hspg2")</f>
        <v>Hspg2</v>
      </c>
      <c r="C2172">
        <v>15530</v>
      </c>
      <c r="D2172" t="s">
        <v>4352</v>
      </c>
      <c r="E2172" s="3" t="str">
        <f>HYPERLINK("http://genome.ucsc.edu/cgi-bin/hgTracks?db=mm10&amp;lastVirtModeType=default&amp;lastVirtModeExtraState=&amp;virtModeType=default&amp;virtMode=0&amp;nonVirtPosition=&amp;position=chr4:137468802-137570630","chr4:137468802-137570630")</f>
        <v>chr4:137468802-137570630</v>
      </c>
      <c r="F2172" t="s">
        <v>30</v>
      </c>
      <c r="G2172">
        <v>0.766865426069537</v>
      </c>
      <c r="H2172">
        <v>0.24069549589282399</v>
      </c>
      <c r="I2172">
        <v>3.18603978535188</v>
      </c>
      <c r="J2172">
        <v>1.44234760905222E-3</v>
      </c>
      <c r="K2172">
        <v>8.8883924679329599E-3</v>
      </c>
      <c r="L2172" t="s">
        <v>26</v>
      </c>
      <c r="M2172" t="s">
        <v>27</v>
      </c>
      <c r="N2172">
        <v>2145.27936307963</v>
      </c>
      <c r="O2172">
        <v>1470.6615942860301</v>
      </c>
      <c r="P2172">
        <v>2651.2426896748302</v>
      </c>
      <c r="Q2172">
        <v>1395.3221202903501</v>
      </c>
      <c r="R2172">
        <v>946.24101577764498</v>
      </c>
      <c r="S2172">
        <v>2070.4216467900801</v>
      </c>
      <c r="T2172">
        <v>1819.4330220857601</v>
      </c>
      <c r="U2172">
        <v>2974.2056200350098</v>
      </c>
      <c r="V2172">
        <v>3420.0536974377901</v>
      </c>
      <c r="W2172">
        <v>2391.27841914076</v>
      </c>
    </row>
    <row r="2173" spans="1:23" x14ac:dyDescent="0.2">
      <c r="A2173" t="s">
        <v>4353</v>
      </c>
      <c r="B2173" s="3" t="str">
        <f>HYPERLINK("http://www.ncbi.nlm.nih.gov/gene/235086","Igsf9b")</f>
        <v>Igsf9b</v>
      </c>
      <c r="C2173">
        <v>235086</v>
      </c>
      <c r="D2173" t="s">
        <v>4354</v>
      </c>
      <c r="E2173" s="3" t="str">
        <f>HYPERLINK("http://genome.ucsc.edu/cgi-bin/hgTracks?db=mm10&amp;lastVirtModeType=default&amp;lastVirtModeExtraState=&amp;virtModeType=default&amp;virtMode=0&amp;nonVirtPosition=&amp;position=chr9:27352684-27357543","chr9:27352684-27357543")</f>
        <v>chr9:27352684-27357543</v>
      </c>
      <c r="F2173" t="s">
        <v>30</v>
      </c>
      <c r="G2173">
        <v>0.83378759475033704</v>
      </c>
      <c r="H2173">
        <v>0.26176115815484702</v>
      </c>
      <c r="I2173">
        <v>3.1852991506750001</v>
      </c>
      <c r="J2173">
        <v>1.4460444230491899E-3</v>
      </c>
      <c r="K2173">
        <v>8.9070749167671093E-3</v>
      </c>
      <c r="L2173" t="s">
        <v>26</v>
      </c>
      <c r="M2173" t="s">
        <v>27</v>
      </c>
      <c r="N2173">
        <v>3226.57910980111</v>
      </c>
      <c r="O2173">
        <v>2105.75819841157</v>
      </c>
      <c r="P2173">
        <v>4067.1947933432698</v>
      </c>
      <c r="Q2173">
        <v>3230.5103519252202</v>
      </c>
      <c r="R2173">
        <v>1002.37074336686</v>
      </c>
      <c r="S2173">
        <v>2084.3934999426201</v>
      </c>
      <c r="T2173">
        <v>4074.2467421517399</v>
      </c>
      <c r="U2173">
        <v>3623.0064140383301</v>
      </c>
      <c r="V2173">
        <v>4413.92174330538</v>
      </c>
      <c r="W2173">
        <v>4157.6042738776496</v>
      </c>
    </row>
    <row r="2174" spans="1:23" x14ac:dyDescent="0.2">
      <c r="A2174" t="s">
        <v>4355</v>
      </c>
      <c r="B2174" s="3" t="str">
        <f>HYPERLINK("http://www.ncbi.nlm.nih.gov/gene/21345","Tagln")</f>
        <v>Tagln</v>
      </c>
      <c r="C2174">
        <v>21345</v>
      </c>
      <c r="D2174" t="s">
        <v>4356</v>
      </c>
      <c r="E2174" s="3" t="str">
        <f>HYPERLINK("http://genome.ucsc.edu/cgi-bin/hgTracks?db=mm10&amp;lastVirtModeType=default&amp;lastVirtModeExtraState=&amp;virtModeType=default&amp;virtMode=0&amp;nonVirtPosition=&amp;position=chr9:45929627-45936058","chr9:45929627-45936058")</f>
        <v>chr9:45929627-45936058</v>
      </c>
      <c r="F2174" t="s">
        <v>25</v>
      </c>
      <c r="G2174">
        <v>-0.86428400196640498</v>
      </c>
      <c r="H2174">
        <v>0.27136991096841301</v>
      </c>
      <c r="I2174">
        <v>-3.1848925287336201</v>
      </c>
      <c r="J2174">
        <v>1.4480777530002701E-3</v>
      </c>
      <c r="K2174">
        <v>8.9154984783570597E-3</v>
      </c>
      <c r="L2174" t="s">
        <v>26</v>
      </c>
      <c r="M2174" t="s">
        <v>27</v>
      </c>
      <c r="N2174">
        <v>68.008877650916006</v>
      </c>
      <c r="O2174">
        <v>98.2421106494848</v>
      </c>
      <c r="P2174">
        <v>45.333952901989299</v>
      </c>
      <c r="Q2174">
        <v>97.438695551001899</v>
      </c>
      <c r="R2174">
        <v>72.058434067235495</v>
      </c>
      <c r="S2174">
        <v>125.22920233021701</v>
      </c>
      <c r="T2174">
        <v>22.914773577906299</v>
      </c>
      <c r="U2174">
        <v>38.5426214259396</v>
      </c>
      <c r="V2174">
        <v>66.208826149580702</v>
      </c>
      <c r="W2174">
        <v>53.669590454530798</v>
      </c>
    </row>
    <row r="2175" spans="1:23" x14ac:dyDescent="0.2">
      <c r="A2175" t="s">
        <v>4357</v>
      </c>
      <c r="B2175" s="3" t="str">
        <f>HYPERLINK("http://www.ncbi.nlm.nih.gov/gene/12151","Bmi1")</f>
        <v>Bmi1</v>
      </c>
      <c r="C2175">
        <v>12151</v>
      </c>
      <c r="D2175" t="s">
        <v>4358</v>
      </c>
      <c r="E2175" s="3" t="str">
        <f>HYPERLINK("http://genome.ucsc.edu/cgi-bin/hgTracks?db=mm10&amp;lastVirtModeType=default&amp;lastVirtModeExtraState=&amp;virtModeType=default&amp;virtMode=0&amp;nonVirtPosition=&amp;position=chr2:18677017-18686629","chr2:18677017-18686629")</f>
        <v>chr2:18677017-18686629</v>
      </c>
      <c r="F2175" t="s">
        <v>30</v>
      </c>
      <c r="G2175">
        <v>0.44573204707755398</v>
      </c>
      <c r="H2175">
        <v>0.13997599810796099</v>
      </c>
      <c r="I2175">
        <v>3.18434626723481</v>
      </c>
      <c r="J2175">
        <v>1.45081350459061E-3</v>
      </c>
      <c r="K2175">
        <v>8.9282369668992907E-3</v>
      </c>
      <c r="L2175" t="s">
        <v>26</v>
      </c>
      <c r="M2175" t="s">
        <v>27</v>
      </c>
      <c r="N2175">
        <v>551.60490034343297</v>
      </c>
      <c r="O2175">
        <v>451.06714608969099</v>
      </c>
      <c r="P2175">
        <v>627.00821603373902</v>
      </c>
      <c r="Q2175">
        <v>397.54987784808799</v>
      </c>
      <c r="R2175">
        <v>498.72021472849798</v>
      </c>
      <c r="S2175">
        <v>456.93134569248701</v>
      </c>
      <c r="T2175">
        <v>742.43866392416498</v>
      </c>
      <c r="U2175">
        <v>569.574294405552</v>
      </c>
      <c r="V2175">
        <v>656.93868612861797</v>
      </c>
      <c r="W2175">
        <v>539.08121967661998</v>
      </c>
    </row>
    <row r="2176" spans="1:23" x14ac:dyDescent="0.2">
      <c r="A2176" t="s">
        <v>4359</v>
      </c>
      <c r="B2176" s="3" t="str">
        <f>HYPERLINK("http://www.ncbi.nlm.nih.gov/gene/13026","Pcyt1a")</f>
        <v>Pcyt1a</v>
      </c>
      <c r="C2176">
        <v>13026</v>
      </c>
      <c r="D2176" t="s">
        <v>4360</v>
      </c>
      <c r="E2176" s="3" t="str">
        <f>HYPERLINK("http://genome.ucsc.edu/cgi-bin/hgTracks?db=mm10&amp;lastVirtModeType=default&amp;lastVirtModeExtraState=&amp;virtModeType=default&amp;virtMode=0&amp;nonVirtPosition=&amp;position=chr16:32430920-32475065","chr16:32430920-32475065")</f>
        <v>chr16:32430920-32475065</v>
      </c>
      <c r="F2176" t="s">
        <v>30</v>
      </c>
      <c r="G2176">
        <v>-0.38441761629899601</v>
      </c>
      <c r="H2176">
        <v>0.120785824360807</v>
      </c>
      <c r="I2176">
        <v>-3.1826385118727001</v>
      </c>
      <c r="J2176">
        <v>1.45939692938187E-3</v>
      </c>
      <c r="K2176">
        <v>8.9769335238183701E-3</v>
      </c>
      <c r="L2176" t="s">
        <v>26</v>
      </c>
      <c r="M2176" t="s">
        <v>27</v>
      </c>
      <c r="N2176">
        <v>502.99263058435201</v>
      </c>
      <c r="O2176">
        <v>586.29481653968901</v>
      </c>
      <c r="P2176">
        <v>440.51599111784998</v>
      </c>
      <c r="Q2176">
        <v>537.30480689552496</v>
      </c>
      <c r="R2176">
        <v>589.74139460290098</v>
      </c>
      <c r="S2176">
        <v>631.83824812064097</v>
      </c>
      <c r="T2176">
        <v>389.55115082440699</v>
      </c>
      <c r="U2176">
        <v>453.94643012773298</v>
      </c>
      <c r="V2176">
        <v>489.20965988301299</v>
      </c>
      <c r="W2176">
        <v>429.35672363624599</v>
      </c>
    </row>
    <row r="2177" spans="1:23" x14ac:dyDescent="0.2">
      <c r="A2177" t="s">
        <v>4361</v>
      </c>
      <c r="B2177" s="3" t="str">
        <f>HYPERLINK("http://www.ncbi.nlm.nih.gov/gene/65970","Lima1")</f>
        <v>Lima1</v>
      </c>
      <c r="C2177">
        <v>65970</v>
      </c>
      <c r="D2177" t="s">
        <v>4362</v>
      </c>
      <c r="E2177" s="3" t="str">
        <f>HYPERLINK("http://genome.ucsc.edu/cgi-bin/hgTracks?db=mm10&amp;lastVirtModeType=default&amp;lastVirtModeExtraState=&amp;virtModeType=default&amp;virtMode=0&amp;nonVirtPosition=&amp;position=chr15:99778467-99820149","chr15:99778467-99820149")</f>
        <v>chr15:99778467-99820149</v>
      </c>
      <c r="F2177" t="s">
        <v>25</v>
      </c>
      <c r="G2177">
        <v>-0.63712292225414502</v>
      </c>
      <c r="H2177">
        <v>0.200222124972916</v>
      </c>
      <c r="I2177">
        <v>-3.1820805135313099</v>
      </c>
      <c r="J2177">
        <v>1.4622116379321599E-3</v>
      </c>
      <c r="K2177">
        <v>8.9901175590218207E-3</v>
      </c>
      <c r="L2177" t="s">
        <v>26</v>
      </c>
      <c r="M2177" t="s">
        <v>27</v>
      </c>
      <c r="N2177">
        <v>938.69464954893101</v>
      </c>
      <c r="O2177">
        <v>1203.0317119741101</v>
      </c>
      <c r="P2177">
        <v>740.44185273004996</v>
      </c>
      <c r="Q2177">
        <v>1220.48926084455</v>
      </c>
      <c r="R2177">
        <v>1083.5312954215401</v>
      </c>
      <c r="S2177">
        <v>1305.0745796562301</v>
      </c>
      <c r="T2177">
        <v>417.04887911789501</v>
      </c>
      <c r="U2177">
        <v>790.12373923176301</v>
      </c>
      <c r="V2177">
        <v>873.22085155058096</v>
      </c>
      <c r="W2177">
        <v>881.37394101996097</v>
      </c>
    </row>
    <row r="2178" spans="1:23" x14ac:dyDescent="0.2">
      <c r="A2178" t="s">
        <v>4363</v>
      </c>
      <c r="B2178" s="3" t="str">
        <f>HYPERLINK("http://www.ncbi.nlm.nih.gov/gene/170459","Stard4")</f>
        <v>Stard4</v>
      </c>
      <c r="C2178">
        <v>170459</v>
      </c>
      <c r="D2178" t="s">
        <v>4364</v>
      </c>
      <c r="E2178" s="3" t="str">
        <f>HYPERLINK("http://genome.ucsc.edu/cgi-bin/hgTracks?db=mm10&amp;lastVirtModeType=default&amp;lastVirtModeExtraState=&amp;virtModeType=default&amp;virtMode=0&amp;nonVirtPosition=&amp;position=chr18:33201420-33213816","chr18:33201420-33213816")</f>
        <v>chr18:33201420-33213816</v>
      </c>
      <c r="F2178" t="s">
        <v>25</v>
      </c>
      <c r="G2178">
        <v>0.71631021167600595</v>
      </c>
      <c r="H2178">
        <v>0.225159204813038</v>
      </c>
      <c r="I2178">
        <v>3.1813498909396101</v>
      </c>
      <c r="J2178">
        <v>1.46590467832028E-3</v>
      </c>
      <c r="K2178">
        <v>9.0086872636011093E-3</v>
      </c>
      <c r="L2178" t="s">
        <v>26</v>
      </c>
      <c r="M2178" t="s">
        <v>27</v>
      </c>
      <c r="N2178">
        <v>199.210818096857</v>
      </c>
      <c r="O2178">
        <v>141.13031311890899</v>
      </c>
      <c r="P2178">
        <v>242.77119683031901</v>
      </c>
      <c r="Q2178">
        <v>82.962089354853006</v>
      </c>
      <c r="R2178">
        <v>174.83651634208201</v>
      </c>
      <c r="S2178">
        <v>165.592333659791</v>
      </c>
      <c r="T2178">
        <v>215.39887163231899</v>
      </c>
      <c r="U2178">
        <v>286.92840394866198</v>
      </c>
      <c r="V2178">
        <v>255.271807487828</v>
      </c>
      <c r="W2178">
        <v>213.485704252467</v>
      </c>
    </row>
    <row r="2179" spans="1:23" x14ac:dyDescent="0.2">
      <c r="A2179" t="s">
        <v>4365</v>
      </c>
      <c r="B2179" s="3" t="str">
        <f>HYPERLINK("http://www.ncbi.nlm.nih.gov/gene/107939","Pom121")</f>
        <v>Pom121</v>
      </c>
      <c r="C2179">
        <v>107939</v>
      </c>
      <c r="D2179" t="s">
        <v>4366</v>
      </c>
      <c r="E2179" s="3" t="str">
        <f>HYPERLINK("http://genome.ucsc.edu/cgi-bin/hgTracks?db=mm10&amp;lastVirtModeType=default&amp;lastVirtModeExtraState=&amp;virtModeType=default&amp;virtMode=0&amp;nonVirtPosition=&amp;position=chr5:135376139-135394546","chr5:135376139-135394546")</f>
        <v>chr5:135376139-135394546</v>
      </c>
      <c r="F2179" t="s">
        <v>25</v>
      </c>
      <c r="G2179">
        <v>0.75485570492738996</v>
      </c>
      <c r="H2179">
        <v>0.23735912946079901</v>
      </c>
      <c r="I2179">
        <v>3.1802261267227099</v>
      </c>
      <c r="J2179">
        <v>1.47160169236366E-3</v>
      </c>
      <c r="K2179">
        <v>9.0395496616705508E-3</v>
      </c>
      <c r="L2179" t="s">
        <v>26</v>
      </c>
      <c r="M2179" t="s">
        <v>27</v>
      </c>
      <c r="N2179">
        <v>224.06670715927399</v>
      </c>
      <c r="O2179">
        <v>154.771404415132</v>
      </c>
      <c r="P2179">
        <v>276.03818421737998</v>
      </c>
      <c r="Q2179">
        <v>96.881903004996104</v>
      </c>
      <c r="R2179">
        <v>131.98071081788399</v>
      </c>
      <c r="S2179">
        <v>235.45159942251601</v>
      </c>
      <c r="T2179">
        <v>252.062509356969</v>
      </c>
      <c r="U2179">
        <v>327.61228212048701</v>
      </c>
      <c r="V2179">
        <v>269.249226341628</v>
      </c>
      <c r="W2179">
        <v>255.22871905043499</v>
      </c>
    </row>
    <row r="2180" spans="1:23" x14ac:dyDescent="0.2">
      <c r="A2180" t="s">
        <v>4367</v>
      </c>
      <c r="B2180" s="3" t="str">
        <f>HYPERLINK("http://www.ncbi.nlm.nih.gov/gene/170718","Idh3b")</f>
        <v>Idh3b</v>
      </c>
      <c r="C2180">
        <v>170718</v>
      </c>
      <c r="D2180" t="s">
        <v>4368</v>
      </c>
      <c r="E2180" s="3" t="str">
        <f>HYPERLINK("http://genome.ucsc.edu/cgi-bin/hgTracks?db=mm10&amp;lastVirtModeType=default&amp;lastVirtModeExtraState=&amp;virtModeType=default&amp;virtMode=0&amp;nonVirtPosition=&amp;position=chr2:130279308-130284451","chr2:130279308-130284451")</f>
        <v>chr2:130279308-130284451</v>
      </c>
      <c r="F2180" t="s">
        <v>25</v>
      </c>
      <c r="G2180">
        <v>-0.41653163259076398</v>
      </c>
      <c r="H2180">
        <v>0.13098539584844701</v>
      </c>
      <c r="I2180">
        <v>-3.1799852944881102</v>
      </c>
      <c r="J2180">
        <v>1.47282526267932E-3</v>
      </c>
      <c r="K2180">
        <v>9.0429175114804007E-3</v>
      </c>
      <c r="L2180" t="s">
        <v>26</v>
      </c>
      <c r="M2180" t="s">
        <v>27</v>
      </c>
      <c r="N2180">
        <v>386.91224956473297</v>
      </c>
      <c r="O2180">
        <v>457.27000949077302</v>
      </c>
      <c r="P2180">
        <v>334.14392962020202</v>
      </c>
      <c r="Q2180">
        <v>428.17346787840302</v>
      </c>
      <c r="R2180">
        <v>514.64892120651905</v>
      </c>
      <c r="S2180">
        <v>428.987639387397</v>
      </c>
      <c r="T2180">
        <v>279.560237650457</v>
      </c>
      <c r="U2180">
        <v>349.024849579342</v>
      </c>
      <c r="V2180">
        <v>359.734622079389</v>
      </c>
      <c r="W2180">
        <v>348.256009171622</v>
      </c>
    </row>
    <row r="2181" spans="1:23" x14ac:dyDescent="0.2">
      <c r="A2181" t="s">
        <v>4369</v>
      </c>
      <c r="B2181" s="3" t="str">
        <f>HYPERLINK("http://www.ncbi.nlm.nih.gov/gene/23920","Insrr")</f>
        <v>Insrr</v>
      </c>
      <c r="C2181">
        <v>23920</v>
      </c>
      <c r="D2181" t="s">
        <v>4370</v>
      </c>
      <c r="E2181" s="3" t="str">
        <f>HYPERLINK("http://genome.ucsc.edu/cgi-bin/hgTracks?db=mm10&amp;lastVirtModeType=default&amp;lastVirtModeExtraState=&amp;virtModeType=default&amp;virtMode=0&amp;nonVirtPosition=&amp;position=chr3:87796950-87816101","chr3:87796950-87816101")</f>
        <v>chr3:87796950-87816101</v>
      </c>
      <c r="F2181" t="s">
        <v>30</v>
      </c>
      <c r="G2181">
        <v>1.2717643171552799</v>
      </c>
      <c r="H2181">
        <v>0.39998001816379097</v>
      </c>
      <c r="I2181">
        <v>3.17956962698696</v>
      </c>
      <c r="J2181">
        <v>1.47493930525607E-3</v>
      </c>
      <c r="K2181">
        <v>9.0517471295527303E-3</v>
      </c>
      <c r="L2181" t="s">
        <v>26</v>
      </c>
      <c r="M2181" t="s">
        <v>27</v>
      </c>
      <c r="N2181">
        <v>14.280352850128301</v>
      </c>
      <c r="O2181">
        <v>3.2583793337070701</v>
      </c>
      <c r="P2181">
        <v>22.546832987444301</v>
      </c>
      <c r="Q2181">
        <v>5.5679254600572499</v>
      </c>
      <c r="R2181">
        <v>2.6547844130034099</v>
      </c>
      <c r="S2181">
        <v>1.5524281280605401</v>
      </c>
      <c r="T2181">
        <v>59.578411302556397</v>
      </c>
      <c r="U2181">
        <v>2.1412567458855398</v>
      </c>
      <c r="V2181">
        <v>11.7704579821477</v>
      </c>
      <c r="W2181">
        <v>16.6972059191874</v>
      </c>
    </row>
    <row r="2182" spans="1:23" x14ac:dyDescent="0.2">
      <c r="A2182" t="s">
        <v>4371</v>
      </c>
      <c r="B2182" s="3" t="str">
        <f>HYPERLINK("http://www.ncbi.nlm.nih.gov/gene/22200","Uba3")</f>
        <v>Uba3</v>
      </c>
      <c r="C2182">
        <v>22200</v>
      </c>
      <c r="D2182" t="s">
        <v>4372</v>
      </c>
      <c r="E2182" s="3" t="str">
        <f>HYPERLINK("http://genome.ucsc.edu/cgi-bin/hgTracks?db=mm10&amp;lastVirtModeType=default&amp;lastVirtModeExtraState=&amp;virtModeType=default&amp;virtMode=0&amp;nonVirtPosition=&amp;position=chr6:97183631-97205647","chr6:97183631-97205647")</f>
        <v>chr6:97183631-97205647</v>
      </c>
      <c r="F2182" t="s">
        <v>25</v>
      </c>
      <c r="G2182">
        <v>-0.48430492034465</v>
      </c>
      <c r="H2182">
        <v>0.15234718665249</v>
      </c>
      <c r="I2182">
        <v>-3.1789554568498199</v>
      </c>
      <c r="J2182">
        <v>1.4780680304064E-3</v>
      </c>
      <c r="K2182">
        <v>9.0667929432762702E-3</v>
      </c>
      <c r="L2182" t="s">
        <v>26</v>
      </c>
      <c r="M2182" t="s">
        <v>27</v>
      </c>
      <c r="N2182">
        <v>266.737816516122</v>
      </c>
      <c r="O2182">
        <v>324.248034566515</v>
      </c>
      <c r="P2182">
        <v>223.605152978327</v>
      </c>
      <c r="Q2182">
        <v>357.46081453567501</v>
      </c>
      <c r="R2182">
        <v>337.91613028372001</v>
      </c>
      <c r="S2182">
        <v>277.36715888014999</v>
      </c>
      <c r="T2182">
        <v>192.48409805441301</v>
      </c>
      <c r="U2182">
        <v>201.27813411323999</v>
      </c>
      <c r="V2182">
        <v>244.23700312956399</v>
      </c>
      <c r="W2182">
        <v>256.421376616092</v>
      </c>
    </row>
    <row r="2183" spans="1:23" x14ac:dyDescent="0.2">
      <c r="A2183" t="s">
        <v>4373</v>
      </c>
      <c r="B2183" s="3" t="str">
        <f>HYPERLINK("http://www.ncbi.nlm.nih.gov/gene/26466","Zfp260")</f>
        <v>Zfp260</v>
      </c>
      <c r="C2183">
        <v>26466</v>
      </c>
      <c r="D2183" t="s">
        <v>4374</v>
      </c>
      <c r="E2183" s="3" t="str">
        <f>HYPERLINK("http://genome.ucsc.edu/cgi-bin/hgTracks?db=mm10&amp;lastVirtModeType=default&amp;lastVirtModeExtraState=&amp;virtModeType=default&amp;virtMode=0&amp;nonVirtPosition=&amp;position=chr7:30095075-30107614","chr7:30095075-30107614")</f>
        <v>chr7:30095075-30107614</v>
      </c>
      <c r="F2183" t="s">
        <v>30</v>
      </c>
      <c r="G2183">
        <v>-0.47912709915344098</v>
      </c>
      <c r="H2183">
        <v>0.15076663718720501</v>
      </c>
      <c r="I2183">
        <v>-3.1779384888615301</v>
      </c>
      <c r="J2183">
        <v>1.4832621512497399E-3</v>
      </c>
      <c r="K2183">
        <v>9.0928546526553699E-3</v>
      </c>
      <c r="L2183" t="s">
        <v>26</v>
      </c>
      <c r="M2183" t="s">
        <v>27</v>
      </c>
      <c r="N2183">
        <v>373.202720863433</v>
      </c>
      <c r="O2183">
        <v>450.14240836573799</v>
      </c>
      <c r="P2183">
        <v>315.49795523670298</v>
      </c>
      <c r="Q2183">
        <v>515.589897601301</v>
      </c>
      <c r="R2183">
        <v>442.59048713928303</v>
      </c>
      <c r="S2183">
        <v>392.24684035663103</v>
      </c>
      <c r="T2183">
        <v>311.64092065952599</v>
      </c>
      <c r="U2183">
        <v>256.95080950626402</v>
      </c>
      <c r="V2183">
        <v>358.26331483161999</v>
      </c>
      <c r="W2183">
        <v>335.13677594940299</v>
      </c>
    </row>
    <row r="2184" spans="1:23" x14ac:dyDescent="0.2">
      <c r="A2184" t="s">
        <v>4375</v>
      </c>
      <c r="B2184" s="3" t="str">
        <f>HYPERLINK("http://www.ncbi.nlm.nih.gov/gene/14407","Gabrg3")</f>
        <v>Gabrg3</v>
      </c>
      <c r="C2184">
        <v>14407</v>
      </c>
      <c r="D2184" t="s">
        <v>4376</v>
      </c>
      <c r="E2184" s="3" t="str">
        <f>HYPERLINK("http://genome.ucsc.edu/cgi-bin/hgTracks?db=mm10&amp;lastVirtModeType=default&amp;lastVirtModeExtraState=&amp;virtModeType=default&amp;virtMode=0&amp;nonVirtPosition=&amp;position=chr7:56724241-57386871","chr7:56724241-57386871")</f>
        <v>chr7:56724241-57386871</v>
      </c>
      <c r="F2184" t="s">
        <v>25</v>
      </c>
      <c r="G2184">
        <v>-1.2544016595838801</v>
      </c>
      <c r="H2184">
        <v>0.39473183310107102</v>
      </c>
      <c r="I2184">
        <v>-3.1778578629676799</v>
      </c>
      <c r="J2184">
        <v>1.4836746632851899E-3</v>
      </c>
      <c r="K2184">
        <v>9.0928546526553699E-3</v>
      </c>
      <c r="L2184" t="s">
        <v>26</v>
      </c>
      <c r="M2184" t="s">
        <v>27</v>
      </c>
      <c r="N2184">
        <v>99.387767694679198</v>
      </c>
      <c r="O2184">
        <v>178.09904594132499</v>
      </c>
      <c r="P2184">
        <v>40.354309009695001</v>
      </c>
      <c r="Q2184">
        <v>47.8841589564923</v>
      </c>
      <c r="R2184">
        <v>139.18655422460699</v>
      </c>
      <c r="S2184">
        <v>347.22642464287497</v>
      </c>
      <c r="T2184">
        <v>50.4125018713939</v>
      </c>
      <c r="U2184">
        <v>38.5426214259396</v>
      </c>
      <c r="V2184">
        <v>33.104413074790401</v>
      </c>
      <c r="W2184">
        <v>39.357699666655897</v>
      </c>
    </row>
    <row r="2185" spans="1:23" x14ac:dyDescent="0.2">
      <c r="A2185" t="s">
        <v>4377</v>
      </c>
      <c r="B2185" s="3" t="str">
        <f>HYPERLINK("http://www.ncbi.nlm.nih.gov/gene/66050","0610009B22Rik")</f>
        <v>0610009B22Rik</v>
      </c>
      <c r="C2185">
        <v>66050</v>
      </c>
      <c r="D2185" t="s">
        <v>4378</v>
      </c>
      <c r="E2185" s="3" t="str">
        <f>HYPERLINK("http://genome.ucsc.edu/cgi-bin/hgTracks?db=mm10&amp;lastVirtModeType=default&amp;lastVirtModeExtraState=&amp;virtModeType=default&amp;virtMode=0&amp;nonVirtPosition=&amp;position=chr11:51685384-51688634","chr11:51685384-51688634")</f>
        <v>chr11:51685384-51688634</v>
      </c>
      <c r="F2185" t="s">
        <v>25</v>
      </c>
      <c r="G2185">
        <v>-0.80329859839852602</v>
      </c>
      <c r="H2185">
        <v>0.25281051423858403</v>
      </c>
      <c r="I2185">
        <v>-3.1774730604773498</v>
      </c>
      <c r="J2185">
        <v>1.4856449124230899E-3</v>
      </c>
      <c r="K2185">
        <v>9.1007644200629297E-3</v>
      </c>
      <c r="L2185" t="s">
        <v>26</v>
      </c>
      <c r="M2185" t="s">
        <v>27</v>
      </c>
      <c r="N2185">
        <v>43.649665176483701</v>
      </c>
      <c r="O2185">
        <v>60.067498920339901</v>
      </c>
      <c r="P2185">
        <v>31.3362898685915</v>
      </c>
      <c r="Q2185">
        <v>70.155860796721299</v>
      </c>
      <c r="R2185">
        <v>62.956316079795201</v>
      </c>
      <c r="S2185">
        <v>47.090319884503103</v>
      </c>
      <c r="T2185">
        <v>27.497728293487601</v>
      </c>
      <c r="U2185">
        <v>29.9775944423975</v>
      </c>
      <c r="V2185">
        <v>30.8974522031377</v>
      </c>
      <c r="W2185">
        <v>36.972384535343402</v>
      </c>
    </row>
    <row r="2186" spans="1:23" x14ac:dyDescent="0.2">
      <c r="A2186" t="s">
        <v>4379</v>
      </c>
      <c r="B2186" s="3" t="str">
        <f>HYPERLINK("http://www.ncbi.nlm.nih.gov/gene/230162","Zfp189")</f>
        <v>Zfp189</v>
      </c>
      <c r="C2186">
        <v>230162</v>
      </c>
      <c r="D2186" t="s">
        <v>4380</v>
      </c>
      <c r="E2186" s="3" t="str">
        <f>HYPERLINK("http://genome.ucsc.edu/cgi-bin/hgTracks?db=mm10&amp;lastVirtModeType=default&amp;lastVirtModeExtraState=&amp;virtModeType=default&amp;virtMode=0&amp;nonVirtPosition=&amp;position=chr4:49521175-49531558","chr4:49521175-49531558")</f>
        <v>chr4:49521175-49531558</v>
      </c>
      <c r="F2186" t="s">
        <v>30</v>
      </c>
      <c r="G2186">
        <v>-0.67030809668323299</v>
      </c>
      <c r="H2186">
        <v>0.21098787042758199</v>
      </c>
      <c r="I2186">
        <v>-3.1769982574107498</v>
      </c>
      <c r="J2186">
        <v>1.4880793010261699E-3</v>
      </c>
      <c r="K2186">
        <v>9.1092575750945301E-3</v>
      </c>
      <c r="L2186" t="s">
        <v>26</v>
      </c>
      <c r="M2186" t="s">
        <v>27</v>
      </c>
      <c r="N2186">
        <v>64.900301173020296</v>
      </c>
      <c r="O2186">
        <v>82.302846233350394</v>
      </c>
      <c r="P2186">
        <v>51.848392377772598</v>
      </c>
      <c r="Q2186">
        <v>89.643599906921693</v>
      </c>
      <c r="R2186">
        <v>79.643532390102393</v>
      </c>
      <c r="S2186">
        <v>77.621406403027194</v>
      </c>
      <c r="T2186">
        <v>64.161366018137699</v>
      </c>
      <c r="U2186">
        <v>44.966391663596198</v>
      </c>
      <c r="V2186">
        <v>43.403563809169597</v>
      </c>
      <c r="W2186">
        <v>54.862248020187003</v>
      </c>
    </row>
    <row r="2187" spans="1:23" x14ac:dyDescent="0.2">
      <c r="A2187" t="s">
        <v>4381</v>
      </c>
      <c r="B2187" s="3" t="str">
        <f>HYPERLINK("http://www.ncbi.nlm.nih.gov/gene/229517","Slc25a44")</f>
        <v>Slc25a44</v>
      </c>
      <c r="C2187">
        <v>229517</v>
      </c>
      <c r="D2187" t="s">
        <v>4382</v>
      </c>
      <c r="E2187" s="3" t="str">
        <f>HYPERLINK("http://genome.ucsc.edu/cgi-bin/hgTracks?db=mm10&amp;lastVirtModeType=default&amp;lastVirtModeExtraState=&amp;virtModeType=default&amp;virtMode=0&amp;nonVirtPosition=&amp;position=chr3:88410493-88425134","chr3:88410493-88425134")</f>
        <v>chr3:88410493-88425134</v>
      </c>
      <c r="F2187" t="s">
        <v>25</v>
      </c>
      <c r="G2187">
        <v>-0.41696065007203698</v>
      </c>
      <c r="H2187">
        <v>0.13124610427168101</v>
      </c>
      <c r="I2187">
        <v>-3.1769373451948302</v>
      </c>
      <c r="J2187">
        <v>1.48839187322133E-3</v>
      </c>
      <c r="K2187">
        <v>9.1092575750945301E-3</v>
      </c>
      <c r="L2187" t="s">
        <v>26</v>
      </c>
      <c r="M2187" t="s">
        <v>27</v>
      </c>
      <c r="N2187">
        <v>243.92128679203799</v>
      </c>
      <c r="O2187">
        <v>285.41015614586399</v>
      </c>
      <c r="P2187">
        <v>212.804634776668</v>
      </c>
      <c r="Q2187">
        <v>305.12231521113699</v>
      </c>
      <c r="R2187">
        <v>293.922560011092</v>
      </c>
      <c r="S2187">
        <v>257.18559321536299</v>
      </c>
      <c r="T2187">
        <v>219.98182634790101</v>
      </c>
      <c r="U2187">
        <v>203.419390859126</v>
      </c>
      <c r="V2187">
        <v>205.98301468758399</v>
      </c>
      <c r="W2187">
        <v>221.83430721206099</v>
      </c>
    </row>
    <row r="2188" spans="1:23" x14ac:dyDescent="0.2">
      <c r="A2188" t="s">
        <v>4383</v>
      </c>
      <c r="B2188" s="3" t="str">
        <f>HYPERLINK("http://www.ncbi.nlm.nih.gov/gene/319772","C130050O18Rik")</f>
        <v>C130050O18Rik</v>
      </c>
      <c r="C2188">
        <v>319772</v>
      </c>
      <c r="D2188" t="s">
        <v>4384</v>
      </c>
      <c r="E2188" s="3" t="str">
        <f>HYPERLINK("http://genome.ucsc.edu/cgi-bin/hgTracks?db=mm10&amp;lastVirtModeType=default&amp;lastVirtModeExtraState=&amp;virtModeType=default&amp;virtMode=0&amp;nonVirtPosition=&amp;position=chr5:139406386-139416092","chr5:139406386-139416092")</f>
        <v>chr5:139406386-139416092</v>
      </c>
      <c r="F2188" t="s">
        <v>30</v>
      </c>
      <c r="G2188">
        <v>1.1671457685462401</v>
      </c>
      <c r="H2188">
        <v>0.36754952529401003</v>
      </c>
      <c r="I2188">
        <v>3.1754789170591802</v>
      </c>
      <c r="J2188">
        <v>1.4958939127595299E-3</v>
      </c>
      <c r="K2188">
        <v>9.1509892123173998E-3</v>
      </c>
      <c r="L2188" t="s">
        <v>26</v>
      </c>
      <c r="M2188" t="s">
        <v>27</v>
      </c>
      <c r="N2188">
        <v>14.9868856578322</v>
      </c>
      <c r="O2188">
        <v>6.6735398206489798</v>
      </c>
      <c r="P2188">
        <v>21.221895035719601</v>
      </c>
      <c r="Q2188">
        <v>9.4654732820973209</v>
      </c>
      <c r="R2188">
        <v>2.2755294968600701</v>
      </c>
      <c r="S2188">
        <v>8.2796166829895608</v>
      </c>
      <c r="T2188">
        <v>22.914773577906299</v>
      </c>
      <c r="U2188">
        <v>19.2713107129698</v>
      </c>
      <c r="V2188">
        <v>17.655686973221499</v>
      </c>
      <c r="W2188">
        <v>25.045808878780999</v>
      </c>
    </row>
    <row r="2189" spans="1:23" x14ac:dyDescent="0.2">
      <c r="A2189" t="s">
        <v>4385</v>
      </c>
      <c r="B2189" s="3" t="str">
        <f>HYPERLINK("http://www.ncbi.nlm.nih.gov/gene/66700","Chmp3")</f>
        <v>Chmp3</v>
      </c>
      <c r="C2189">
        <v>66700</v>
      </c>
      <c r="D2189" t="s">
        <v>4386</v>
      </c>
      <c r="E2189" s="3" t="str">
        <f>HYPERLINK("http://genome.ucsc.edu/cgi-bin/hgTracks?db=mm10&amp;lastVirtModeType=default&amp;lastVirtModeExtraState=&amp;virtModeType=default&amp;virtMode=0&amp;nonVirtPosition=&amp;position=chr6:71543853-71581574","chr6:71543853-71581574")</f>
        <v>chr6:71543853-71581574</v>
      </c>
      <c r="F2189" t="s">
        <v>30</v>
      </c>
      <c r="G2189">
        <v>-0.440896563629603</v>
      </c>
      <c r="H2189">
        <v>0.13885942500929299</v>
      </c>
      <c r="I2189">
        <v>-3.1751288297506401</v>
      </c>
      <c r="J2189">
        <v>1.49769991180393E-3</v>
      </c>
      <c r="K2189">
        <v>9.1578536616284904E-3</v>
      </c>
      <c r="L2189" t="s">
        <v>26</v>
      </c>
      <c r="M2189" t="s">
        <v>27</v>
      </c>
      <c r="N2189">
        <v>276.17857037956702</v>
      </c>
      <c r="O2189">
        <v>324.95437665257202</v>
      </c>
      <c r="P2189">
        <v>239.596715674813</v>
      </c>
      <c r="Q2189">
        <v>344.09779343153798</v>
      </c>
      <c r="R2189">
        <v>350.81079743259397</v>
      </c>
      <c r="S2189">
        <v>279.95453909358503</v>
      </c>
      <c r="T2189">
        <v>247.47955464138801</v>
      </c>
      <c r="U2189">
        <v>259.09206625215</v>
      </c>
      <c r="V2189">
        <v>228.788277027996</v>
      </c>
      <c r="W2189">
        <v>223.02696477771701</v>
      </c>
    </row>
    <row r="2190" spans="1:23" x14ac:dyDescent="0.2">
      <c r="A2190" t="s">
        <v>4387</v>
      </c>
      <c r="B2190" s="3" t="str">
        <f>HYPERLINK("http://www.ncbi.nlm.nih.gov/gene/74479","Snx11")</f>
        <v>Snx11</v>
      </c>
      <c r="C2190">
        <v>74479</v>
      </c>
      <c r="D2190" t="s">
        <v>4388</v>
      </c>
      <c r="E2190" s="3" t="str">
        <f>HYPERLINK("http://genome.ucsc.edu/cgi-bin/hgTracks?db=mm10&amp;lastVirtModeType=default&amp;lastVirtModeExtraState=&amp;virtModeType=default&amp;virtMode=0&amp;nonVirtPosition=&amp;position=chr11:96767548-96777555","chr11:96767548-96777555")</f>
        <v>chr11:96767548-96777555</v>
      </c>
      <c r="F2190" t="s">
        <v>25</v>
      </c>
      <c r="G2190">
        <v>0.54004855857452105</v>
      </c>
      <c r="H2190">
        <v>0.17015905789213701</v>
      </c>
      <c r="I2190">
        <v>3.1737867220495199</v>
      </c>
      <c r="J2190">
        <v>1.50464208462155E-3</v>
      </c>
      <c r="K2190">
        <v>9.1961032200671491E-3</v>
      </c>
      <c r="L2190" t="s">
        <v>26</v>
      </c>
      <c r="M2190" t="s">
        <v>27</v>
      </c>
      <c r="N2190">
        <v>138.02135154056199</v>
      </c>
      <c r="O2190">
        <v>108.95989866652801</v>
      </c>
      <c r="P2190">
        <v>159.817441196088</v>
      </c>
      <c r="Q2190">
        <v>106.90416883309901</v>
      </c>
      <c r="R2190">
        <v>92.158944622832706</v>
      </c>
      <c r="S2190">
        <v>127.81658254365099</v>
      </c>
      <c r="T2190">
        <v>160.40341504534399</v>
      </c>
      <c r="U2190">
        <v>141.32294522844501</v>
      </c>
      <c r="V2190">
        <v>166.99337262172</v>
      </c>
      <c r="W2190">
        <v>170.550031888842</v>
      </c>
    </row>
    <row r="2191" spans="1:23" x14ac:dyDescent="0.2">
      <c r="A2191" t="s">
        <v>4389</v>
      </c>
      <c r="B2191" s="3" t="str">
        <f>HYPERLINK("http://www.ncbi.nlm.nih.gov/gene/209011","Sirt7")</f>
        <v>Sirt7</v>
      </c>
      <c r="C2191">
        <v>209011</v>
      </c>
      <c r="D2191" t="s">
        <v>4390</v>
      </c>
      <c r="E2191" s="3" t="str">
        <f>HYPERLINK("http://genome.ucsc.edu/cgi-bin/hgTracks?db=mm10&amp;lastVirtModeType=default&amp;lastVirtModeExtraState=&amp;virtModeType=default&amp;virtMode=0&amp;nonVirtPosition=&amp;position=chr11:120618371-120625002","chr11:120618371-120625002")</f>
        <v>chr11:120618371-120625002</v>
      </c>
      <c r="F2191" t="s">
        <v>25</v>
      </c>
      <c r="G2191">
        <v>0.62724930434174198</v>
      </c>
      <c r="H2191">
        <v>0.19764384336823199</v>
      </c>
      <c r="I2191">
        <v>3.1736344206437499</v>
      </c>
      <c r="J2191">
        <v>1.5054317474302299E-3</v>
      </c>
      <c r="K2191">
        <v>9.1967319935393199E-3</v>
      </c>
      <c r="L2191" t="s">
        <v>26</v>
      </c>
      <c r="M2191" t="s">
        <v>27</v>
      </c>
      <c r="N2191">
        <v>128.60906343554299</v>
      </c>
      <c r="O2191">
        <v>96.060770368500499</v>
      </c>
      <c r="P2191">
        <v>153.020283235824</v>
      </c>
      <c r="Q2191">
        <v>95.211525366979004</v>
      </c>
      <c r="R2191">
        <v>79.643532390102393</v>
      </c>
      <c r="S2191">
        <v>113.32725334842</v>
      </c>
      <c r="T2191">
        <v>155.82046032976299</v>
      </c>
      <c r="U2191">
        <v>139.18168848255999</v>
      </c>
      <c r="V2191">
        <v>125.06111606031899</v>
      </c>
      <c r="W2191">
        <v>192.017868070655</v>
      </c>
    </row>
    <row r="2192" spans="1:23" x14ac:dyDescent="0.2">
      <c r="A2192" t="s">
        <v>4391</v>
      </c>
      <c r="B2192" s="3" t="str">
        <f>HYPERLINK("http://www.ncbi.nlm.nih.gov/gene/239170","Fam160b2")</f>
        <v>Fam160b2</v>
      </c>
      <c r="C2192">
        <v>239170</v>
      </c>
      <c r="D2192" t="s">
        <v>4392</v>
      </c>
      <c r="E2192" s="3" t="str">
        <f>HYPERLINK("http://genome.ucsc.edu/cgi-bin/hgTracks?db=mm10&amp;lastVirtModeType=default&amp;lastVirtModeExtraState=&amp;virtModeType=default&amp;virtMode=0&amp;nonVirtPosition=&amp;position=chr14:70583294-70599835","chr14:70583294-70599835")</f>
        <v>chr14:70583294-70599835</v>
      </c>
      <c r="F2192" t="s">
        <v>25</v>
      </c>
      <c r="G2192">
        <v>0.67811349775402396</v>
      </c>
      <c r="H2192">
        <v>0.21370045542923599</v>
      </c>
      <c r="I2192">
        <v>3.1731963153376301</v>
      </c>
      <c r="J2192">
        <v>1.5077053951741801E-3</v>
      </c>
      <c r="K2192">
        <v>9.2033141854592701E-3</v>
      </c>
      <c r="L2192" t="s">
        <v>26</v>
      </c>
      <c r="M2192" t="s">
        <v>27</v>
      </c>
      <c r="N2192">
        <v>111.458060599996</v>
      </c>
      <c r="O2192">
        <v>80.796494565716003</v>
      </c>
      <c r="P2192">
        <v>134.45423512570699</v>
      </c>
      <c r="Q2192">
        <v>72.383030980744294</v>
      </c>
      <c r="R2192">
        <v>60.301531666791803</v>
      </c>
      <c r="S2192">
        <v>109.704921049612</v>
      </c>
      <c r="T2192">
        <v>137.48864146743799</v>
      </c>
      <c r="U2192">
        <v>139.18168848255999</v>
      </c>
      <c r="V2192">
        <v>138.30288129023501</v>
      </c>
      <c r="W2192">
        <v>122.843729262593</v>
      </c>
    </row>
    <row r="2193" spans="1:23" x14ac:dyDescent="0.2">
      <c r="A2193" t="s">
        <v>4393</v>
      </c>
      <c r="B2193" s="3" t="str">
        <f>HYPERLINK("http://www.ncbi.nlm.nih.gov/gene/27060","Tcirg1")</f>
        <v>Tcirg1</v>
      </c>
      <c r="C2193">
        <v>27060</v>
      </c>
      <c r="D2193" t="s">
        <v>4394</v>
      </c>
      <c r="E2193" s="3" t="str">
        <f>HYPERLINK("http://genome.ucsc.edu/cgi-bin/hgTracks?db=mm10&amp;lastVirtModeType=default&amp;lastVirtModeExtraState=&amp;virtModeType=default&amp;virtMode=0&amp;nonVirtPosition=&amp;position=chr19:3896049-3907133","chr19:3896049-3907133")</f>
        <v>chr19:3896049-3907133</v>
      </c>
      <c r="F2193" t="s">
        <v>25</v>
      </c>
      <c r="G2193">
        <v>0.80401980883826796</v>
      </c>
      <c r="H2193">
        <v>0.25338126936872502</v>
      </c>
      <c r="I2193">
        <v>3.1731619738168</v>
      </c>
      <c r="J2193">
        <v>1.5078837519899701E-3</v>
      </c>
      <c r="K2193">
        <v>9.2033141854592701E-3</v>
      </c>
      <c r="L2193" t="s">
        <v>26</v>
      </c>
      <c r="M2193" t="s">
        <v>27</v>
      </c>
      <c r="N2193">
        <v>187.030924581345</v>
      </c>
      <c r="O2193">
        <v>124.562686939404</v>
      </c>
      <c r="P2193">
        <v>233.88210281280001</v>
      </c>
      <c r="Q2193">
        <v>176.50323708381501</v>
      </c>
      <c r="R2193">
        <v>70.920669318805395</v>
      </c>
      <c r="S2193">
        <v>126.26415441559099</v>
      </c>
      <c r="T2193">
        <v>279.560237650457</v>
      </c>
      <c r="U2193">
        <v>158.45299919553</v>
      </c>
      <c r="V2193">
        <v>233.93785239518499</v>
      </c>
      <c r="W2193">
        <v>263.57732201002898</v>
      </c>
    </row>
    <row r="2194" spans="1:23" x14ac:dyDescent="0.2">
      <c r="A2194" t="s">
        <v>4395</v>
      </c>
      <c r="B2194" s="3" t="str">
        <f>HYPERLINK("http://www.ncbi.nlm.nih.gov/gene/66950","Tmem206")</f>
        <v>Tmem206</v>
      </c>
      <c r="C2194">
        <v>66950</v>
      </c>
      <c r="D2194" t="s">
        <v>4396</v>
      </c>
      <c r="E2194" s="3" t="str">
        <f>HYPERLINK("http://genome.ucsc.edu/cgi-bin/hgTracks?db=mm10&amp;lastVirtModeType=default&amp;lastVirtModeExtraState=&amp;virtModeType=default&amp;virtMode=0&amp;nonVirtPosition=&amp;position=chr1:191325964-191352925","chr1:191325964-191352925")</f>
        <v>chr1:191325964-191352925</v>
      </c>
      <c r="F2194" t="s">
        <v>30</v>
      </c>
      <c r="G2194">
        <v>-0.57264913181455401</v>
      </c>
      <c r="H2194">
        <v>0.18051154536453301</v>
      </c>
      <c r="I2194">
        <v>-3.1723684524340001</v>
      </c>
      <c r="J2194">
        <v>1.51201041801647E-3</v>
      </c>
      <c r="K2194">
        <v>9.2242968144230306E-3</v>
      </c>
      <c r="L2194" t="s">
        <v>26</v>
      </c>
      <c r="M2194" t="s">
        <v>27</v>
      </c>
      <c r="N2194">
        <v>96.421284549815994</v>
      </c>
      <c r="O2194">
        <v>122.756981901662</v>
      </c>
      <c r="P2194">
        <v>76.669511535931406</v>
      </c>
      <c r="Q2194">
        <v>124.164737759277</v>
      </c>
      <c r="R2194">
        <v>122.4993379143</v>
      </c>
      <c r="S2194">
        <v>121.606870031409</v>
      </c>
      <c r="T2194">
        <v>50.4125018713939</v>
      </c>
      <c r="U2194">
        <v>83.509013089535898</v>
      </c>
      <c r="V2194">
        <v>80.921898627265307</v>
      </c>
      <c r="W2194">
        <v>91.834632555530504</v>
      </c>
    </row>
    <row r="2195" spans="1:23" x14ac:dyDescent="0.2">
      <c r="A2195" t="s">
        <v>4397</v>
      </c>
      <c r="B2195" s="3" t="str">
        <f>HYPERLINK("http://www.ncbi.nlm.nih.gov/gene/224617","Tbc1d24")</f>
        <v>Tbc1d24</v>
      </c>
      <c r="C2195">
        <v>224617</v>
      </c>
      <c r="D2195" t="s">
        <v>4398</v>
      </c>
      <c r="E2195" s="3" t="str">
        <f>HYPERLINK("http://genome.ucsc.edu/cgi-bin/hgTracks?db=mm10&amp;lastVirtModeType=default&amp;lastVirtModeExtraState=&amp;virtModeType=default&amp;virtMode=0&amp;nonVirtPosition=&amp;position=chr17:24175430-24205562","chr17:24175430-24205562")</f>
        <v>chr17:24175430-24205562</v>
      </c>
      <c r="F2195" t="s">
        <v>25</v>
      </c>
      <c r="G2195">
        <v>0.36590290339535497</v>
      </c>
      <c r="H2195">
        <v>0.115348720156151</v>
      </c>
      <c r="I2195">
        <v>3.1721453250631799</v>
      </c>
      <c r="J2195">
        <v>1.51317265264988E-3</v>
      </c>
      <c r="K2195">
        <v>9.2270817484944104E-3</v>
      </c>
      <c r="L2195" t="s">
        <v>26</v>
      </c>
      <c r="M2195" t="s">
        <v>27</v>
      </c>
      <c r="N2195">
        <v>332.84446758849703</v>
      </c>
      <c r="O2195">
        <v>285.319149055548</v>
      </c>
      <c r="P2195">
        <v>368.48845648820901</v>
      </c>
      <c r="Q2195">
        <v>287.86174628496002</v>
      </c>
      <c r="R2195">
        <v>270.02950029406099</v>
      </c>
      <c r="S2195">
        <v>298.066200587624</v>
      </c>
      <c r="T2195">
        <v>352.88751309975697</v>
      </c>
      <c r="U2195">
        <v>376.86118727585398</v>
      </c>
      <c r="V2195">
        <v>349.43547134500898</v>
      </c>
      <c r="W2195">
        <v>394.76965423221498</v>
      </c>
    </row>
    <row r="2196" spans="1:23" x14ac:dyDescent="0.2">
      <c r="A2196" t="s">
        <v>4397</v>
      </c>
      <c r="B2196" s="3" t="str">
        <f>HYPERLINK("http://www.ncbi.nlm.nih.gov/gene/18209","Ntn3")</f>
        <v>Ntn3</v>
      </c>
      <c r="C2196">
        <v>18209</v>
      </c>
      <c r="D2196" t="s">
        <v>4399</v>
      </c>
      <c r="E2196" s="3" t="str">
        <f>HYPERLINK("http://genome.ucsc.edu/cgi-bin/hgTracks?db=mm10&amp;lastVirtModeType=default&amp;lastVirtModeExtraState=&amp;virtModeType=default&amp;virtMode=0&amp;nonVirtPosition=&amp;position=chr17:24203842-24209387","chr17:24203842-24209387")</f>
        <v>chr17:24203842-24209387</v>
      </c>
      <c r="F2196" t="s">
        <v>25</v>
      </c>
      <c r="G2196">
        <v>0.36590290339535497</v>
      </c>
      <c r="H2196">
        <v>0.115348720156151</v>
      </c>
      <c r="I2196">
        <v>3.1721453250631799</v>
      </c>
      <c r="J2196">
        <v>1.51317265264988E-3</v>
      </c>
      <c r="K2196">
        <v>9.2270817484944104E-3</v>
      </c>
      <c r="L2196" t="s">
        <v>26</v>
      </c>
      <c r="M2196" t="s">
        <v>27</v>
      </c>
      <c r="N2196">
        <v>332.84446758849703</v>
      </c>
      <c r="O2196">
        <v>285.319149055548</v>
      </c>
      <c r="P2196">
        <v>368.48845648820901</v>
      </c>
      <c r="Q2196">
        <v>287.86174628496002</v>
      </c>
      <c r="R2196">
        <v>270.02950029406099</v>
      </c>
      <c r="S2196">
        <v>298.066200587624</v>
      </c>
      <c r="T2196">
        <v>352.88751309975697</v>
      </c>
      <c r="U2196">
        <v>376.86118727585398</v>
      </c>
      <c r="V2196">
        <v>349.43547134500898</v>
      </c>
      <c r="W2196">
        <v>394.76965423221498</v>
      </c>
    </row>
    <row r="2197" spans="1:23" x14ac:dyDescent="0.2">
      <c r="A2197" t="s">
        <v>4400</v>
      </c>
      <c r="B2197" s="3" t="str">
        <f>HYPERLINK("http://www.ncbi.nlm.nih.gov/gene/237436","Gas2l3")</f>
        <v>Gas2l3</v>
      </c>
      <c r="C2197">
        <v>237436</v>
      </c>
      <c r="D2197" t="s">
        <v>4401</v>
      </c>
      <c r="E2197" s="3" t="str">
        <f>HYPERLINK("http://genome.ucsc.edu/cgi-bin/hgTracks?db=mm10&amp;lastVirtModeType=default&amp;lastVirtModeExtraState=&amp;virtModeType=default&amp;virtMode=0&amp;nonVirtPosition=&amp;position=chr10:89408822-89443967","chr10:89408822-89443967")</f>
        <v>chr10:89408822-89443967</v>
      </c>
      <c r="F2197" t="s">
        <v>25</v>
      </c>
      <c r="G2197">
        <v>0.740889032899538</v>
      </c>
      <c r="H2197">
        <v>0.233570372622738</v>
      </c>
      <c r="I2197">
        <v>3.17201631602574</v>
      </c>
      <c r="J2197">
        <v>1.5138450154164899E-3</v>
      </c>
      <c r="K2197">
        <v>9.2270817484944104E-3</v>
      </c>
      <c r="L2197" t="s">
        <v>26</v>
      </c>
      <c r="M2197" t="s">
        <v>27</v>
      </c>
      <c r="N2197">
        <v>266.21035608723503</v>
      </c>
      <c r="O2197">
        <v>185.27207798971401</v>
      </c>
      <c r="P2197">
        <v>326.914064660375</v>
      </c>
      <c r="Q2197">
        <v>100.779450827036</v>
      </c>
      <c r="R2197">
        <v>225.27742018914699</v>
      </c>
      <c r="S2197">
        <v>229.75936295296</v>
      </c>
      <c r="T2197">
        <v>348.304558384176</v>
      </c>
      <c r="U2197">
        <v>267.657093235692</v>
      </c>
      <c r="V2197">
        <v>374.44769455707302</v>
      </c>
      <c r="W2197">
        <v>317.24691246456001</v>
      </c>
    </row>
    <row r="2198" spans="1:23" x14ac:dyDescent="0.2">
      <c r="A2198" t="s">
        <v>4402</v>
      </c>
      <c r="B2198" s="3" t="str">
        <f>HYPERLINK("http://www.ncbi.nlm.nih.gov/gene/331374","Dgkk")</f>
        <v>Dgkk</v>
      </c>
      <c r="C2198">
        <v>331374</v>
      </c>
      <c r="D2198" t="s">
        <v>4403</v>
      </c>
      <c r="E2198" s="3" t="str">
        <f>HYPERLINK("http://genome.ucsc.edu/cgi-bin/hgTracks?db=mm10&amp;lastVirtModeType=default&amp;lastVirtModeExtraState=&amp;virtModeType=default&amp;virtMode=0&amp;nonVirtPosition=&amp;position=chrX:6873483-6948363","chrX:6873483-6948363")</f>
        <v>chrX:6873483-6948363</v>
      </c>
      <c r="F2198" t="s">
        <v>30</v>
      </c>
      <c r="G2198">
        <v>1.1922557798014399</v>
      </c>
      <c r="H2198">
        <v>0.37593486301884899</v>
      </c>
      <c r="I2198">
        <v>3.1714424414573501</v>
      </c>
      <c r="J2198">
        <v>1.51683924210129E-3</v>
      </c>
      <c r="K2198">
        <v>9.2411257010820407E-3</v>
      </c>
      <c r="L2198" t="s">
        <v>26</v>
      </c>
      <c r="M2198" t="s">
        <v>27</v>
      </c>
      <c r="N2198">
        <v>14.9084049156469</v>
      </c>
      <c r="O2198">
        <v>6.5104103718367998</v>
      </c>
      <c r="P2198">
        <v>21.206900823504601</v>
      </c>
      <c r="Q2198">
        <v>8.9086807360916005</v>
      </c>
      <c r="R2198">
        <v>4.9303139098634796</v>
      </c>
      <c r="S2198">
        <v>5.6922364695553203</v>
      </c>
      <c r="T2198">
        <v>9.1659094311625307</v>
      </c>
      <c r="U2198">
        <v>21.412567458855399</v>
      </c>
      <c r="V2198">
        <v>12.506111606031901</v>
      </c>
      <c r="W2198">
        <v>41.743014797968399</v>
      </c>
    </row>
    <row r="2199" spans="1:23" x14ac:dyDescent="0.2">
      <c r="A2199" t="s">
        <v>4404</v>
      </c>
      <c r="B2199" s="3" t="str">
        <f>HYPERLINK("http://www.ncbi.nlm.nih.gov/gene/18128","Notch1")</f>
        <v>Notch1</v>
      </c>
      <c r="C2199">
        <v>18128</v>
      </c>
      <c r="D2199" t="s">
        <v>4405</v>
      </c>
      <c r="E2199" s="3" t="str">
        <f>HYPERLINK("http://genome.ucsc.edu/cgi-bin/hgTracks?db=mm10&amp;lastVirtModeType=default&amp;lastVirtModeExtraState=&amp;virtModeType=default&amp;virtMode=0&amp;nonVirtPosition=&amp;position=chr2:26457901-26503822","chr2:26457901-26503822")</f>
        <v>chr2:26457901-26503822</v>
      </c>
      <c r="F2199" t="s">
        <v>25</v>
      </c>
      <c r="G2199">
        <v>0.48597760518592398</v>
      </c>
      <c r="H2199">
        <v>0.15325496175853401</v>
      </c>
      <c r="I2199">
        <v>3.1710399429130698</v>
      </c>
      <c r="J2199">
        <v>1.5189425574538801E-3</v>
      </c>
      <c r="K2199">
        <v>9.2497315993019299E-3</v>
      </c>
      <c r="L2199" t="s">
        <v>26</v>
      </c>
      <c r="M2199" t="s">
        <v>27</v>
      </c>
      <c r="N2199">
        <v>1712.41623326538</v>
      </c>
      <c r="O2199">
        <v>1382.7841875420199</v>
      </c>
      <c r="P2199">
        <v>1959.64026755789</v>
      </c>
      <c r="Q2199">
        <v>1366.3689078980501</v>
      </c>
      <c r="R2199">
        <v>1096.04670765427</v>
      </c>
      <c r="S2199">
        <v>1685.9369470737499</v>
      </c>
      <c r="T2199">
        <v>1869.8455239571599</v>
      </c>
      <c r="U2199">
        <v>1954.9674089934899</v>
      </c>
      <c r="V2199">
        <v>2168.7068832107102</v>
      </c>
      <c r="W2199">
        <v>1845.0412540702</v>
      </c>
    </row>
    <row r="2200" spans="1:23" x14ac:dyDescent="0.2">
      <c r="A2200" t="s">
        <v>4406</v>
      </c>
      <c r="B2200" s="3" t="str">
        <f>HYPERLINK("http://www.ncbi.nlm.nih.gov/gene/269261","Rpl12")</f>
        <v>Rpl12</v>
      </c>
      <c r="C2200">
        <v>269261</v>
      </c>
      <c r="D2200" t="s">
        <v>4407</v>
      </c>
      <c r="E2200" s="3" t="str">
        <f>HYPERLINK("http://genome.ucsc.edu/cgi-bin/hgTracks?db=mm10&amp;lastVirtModeType=default&amp;lastVirtModeExtraState=&amp;virtModeType=default&amp;virtMode=0&amp;nonVirtPosition=&amp;position=chr2:32961711-32964045","chr2:32961711-32964045")</f>
        <v>chr2:32961711-32964045</v>
      </c>
      <c r="F2200" t="s">
        <v>30</v>
      </c>
      <c r="G2200">
        <v>0.89981159237411001</v>
      </c>
      <c r="H2200">
        <v>0.28382055376084703</v>
      </c>
      <c r="I2200">
        <v>3.1703538748370899</v>
      </c>
      <c r="J2200">
        <v>1.52253390049916E-3</v>
      </c>
      <c r="K2200">
        <v>9.2671406726085696E-3</v>
      </c>
      <c r="L2200" t="s">
        <v>26</v>
      </c>
      <c r="M2200" t="s">
        <v>27</v>
      </c>
      <c r="N2200">
        <v>52.8436242442069</v>
      </c>
      <c r="O2200">
        <v>32.294921954988403</v>
      </c>
      <c r="P2200">
        <v>68.255150961120705</v>
      </c>
      <c r="Q2200">
        <v>16.146983834166001</v>
      </c>
      <c r="R2200">
        <v>38.3047465304778</v>
      </c>
      <c r="S2200">
        <v>42.433035500321502</v>
      </c>
      <c r="T2200">
        <v>73.327275449300203</v>
      </c>
      <c r="U2200">
        <v>74.943986105993702</v>
      </c>
      <c r="V2200">
        <v>69.887094269001906</v>
      </c>
      <c r="W2200">
        <v>54.862248020187003</v>
      </c>
    </row>
    <row r="2201" spans="1:23" x14ac:dyDescent="0.2">
      <c r="A2201" t="s">
        <v>4408</v>
      </c>
      <c r="B2201" s="3" t="str">
        <f>HYPERLINK("http://www.ncbi.nlm.nih.gov/gene/20399","Sh2b1")</f>
        <v>Sh2b1</v>
      </c>
      <c r="C2201">
        <v>20399</v>
      </c>
      <c r="D2201" t="s">
        <v>4409</v>
      </c>
      <c r="E2201" s="3" t="str">
        <f>HYPERLINK("http://genome.ucsc.edu/cgi-bin/hgTracks?db=mm10&amp;lastVirtModeType=default&amp;lastVirtModeExtraState=&amp;virtModeType=default&amp;virtMode=0&amp;nonVirtPosition=&amp;position=chr7:126466992-126475130","chr7:126466992-126475130")</f>
        <v>chr7:126466992-126475130</v>
      </c>
      <c r="F2201" t="s">
        <v>25</v>
      </c>
      <c r="G2201">
        <v>0.49494205877737002</v>
      </c>
      <c r="H2201">
        <v>0.15612183564507801</v>
      </c>
      <c r="I2201">
        <v>3.1702295629072199</v>
      </c>
      <c r="J2201">
        <v>1.52318546937581E-3</v>
      </c>
      <c r="K2201">
        <v>9.2671406726085696E-3</v>
      </c>
      <c r="L2201" t="s">
        <v>26</v>
      </c>
      <c r="M2201" t="s">
        <v>27</v>
      </c>
      <c r="N2201">
        <v>250.99623741232901</v>
      </c>
      <c r="O2201">
        <v>202.253376433689</v>
      </c>
      <c r="P2201">
        <v>287.55338314631001</v>
      </c>
      <c r="Q2201">
        <v>218.81947058025</v>
      </c>
      <c r="R2201">
        <v>162.32110410935101</v>
      </c>
      <c r="S2201">
        <v>225.61955461146599</v>
      </c>
      <c r="T2201">
        <v>265.81137350371301</v>
      </c>
      <c r="U2201">
        <v>325.47102537460103</v>
      </c>
      <c r="V2201">
        <v>290.58318143427101</v>
      </c>
      <c r="W2201">
        <v>268.34795227265403</v>
      </c>
    </row>
    <row r="2202" spans="1:23" x14ac:dyDescent="0.2">
      <c r="A2202" t="s">
        <v>4410</v>
      </c>
      <c r="B2202" s="3" t="str">
        <f>HYPERLINK("http://www.ncbi.nlm.nih.gov/gene/140483","Hnmt")</f>
        <v>Hnmt</v>
      </c>
      <c r="C2202">
        <v>140483</v>
      </c>
      <c r="D2202" t="s">
        <v>4411</v>
      </c>
      <c r="E2202" s="3" t="str">
        <f>HYPERLINK("http://genome.ucsc.edu/cgi-bin/hgTracks?db=mm10&amp;lastVirtModeType=default&amp;lastVirtModeExtraState=&amp;virtModeType=default&amp;virtMode=0&amp;nonVirtPosition=&amp;position=chr2:24002912-24049379","chr2:24002912-24049379")</f>
        <v>chr2:24002912-24049379</v>
      </c>
      <c r="F2202" t="s">
        <v>25</v>
      </c>
      <c r="G2202">
        <v>-1.1928652415861201</v>
      </c>
      <c r="H2202">
        <v>0.37633462497621001</v>
      </c>
      <c r="I2202">
        <v>-3.1696930402338799</v>
      </c>
      <c r="J2202">
        <v>1.5260005481697199E-3</v>
      </c>
      <c r="K2202">
        <v>9.2797026251726106E-3</v>
      </c>
      <c r="L2202" t="s">
        <v>26</v>
      </c>
      <c r="M2202" t="s">
        <v>27</v>
      </c>
      <c r="N2202">
        <v>22.788430257148601</v>
      </c>
      <c r="O2202">
        <v>37.746252878771998</v>
      </c>
      <c r="P2202">
        <v>11.570063290931101</v>
      </c>
      <c r="Q2202">
        <v>71.269445888732804</v>
      </c>
      <c r="R2202">
        <v>25.410079381604099</v>
      </c>
      <c r="S2202">
        <v>16.5592333659791</v>
      </c>
      <c r="T2202">
        <v>18.3318188623251</v>
      </c>
      <c r="U2202">
        <v>8.5650269835421398</v>
      </c>
      <c r="V2202">
        <v>11.0348043582635</v>
      </c>
      <c r="W2202">
        <v>8.3486029595936806</v>
      </c>
    </row>
    <row r="2203" spans="1:23" x14ac:dyDescent="0.2">
      <c r="A2203" t="s">
        <v>4412</v>
      </c>
      <c r="B2203" s="3" t="str">
        <f>HYPERLINK("http://www.ncbi.nlm.nih.gov/gene/109284","R3hdm4")</f>
        <v>R3hdm4</v>
      </c>
      <c r="C2203">
        <v>109284</v>
      </c>
      <c r="D2203" t="s">
        <v>4413</v>
      </c>
      <c r="E2203" s="3" t="str">
        <f>HYPERLINK("http://genome.ucsc.edu/cgi-bin/hgTracks?db=mm10&amp;lastVirtModeType=default&amp;lastVirtModeExtraState=&amp;virtModeType=default&amp;virtMode=0&amp;nonVirtPosition=&amp;position=chr10:79910052-79916930","chr10:79910052-79916930")</f>
        <v>chr10:79910052-79916930</v>
      </c>
      <c r="F2203" t="s">
        <v>25</v>
      </c>
      <c r="G2203">
        <v>0.50835737515562995</v>
      </c>
      <c r="H2203">
        <v>0.16038675605260699</v>
      </c>
      <c r="I2203">
        <v>3.1695720249425601</v>
      </c>
      <c r="J2203">
        <v>1.52663616483125E-3</v>
      </c>
      <c r="K2203">
        <v>9.2797026251726106E-3</v>
      </c>
      <c r="L2203" t="s">
        <v>26</v>
      </c>
      <c r="M2203" t="s">
        <v>27</v>
      </c>
      <c r="N2203">
        <v>312.762818426058</v>
      </c>
      <c r="O2203">
        <v>250.08171933366199</v>
      </c>
      <c r="P2203">
        <v>359.773642745355</v>
      </c>
      <c r="Q2203">
        <v>225.500981132319</v>
      </c>
      <c r="R2203">
        <v>248.41197007389101</v>
      </c>
      <c r="S2203">
        <v>276.33220679477699</v>
      </c>
      <c r="T2203">
        <v>302.47501122836297</v>
      </c>
      <c r="U2203">
        <v>466.793970603047</v>
      </c>
      <c r="V2203">
        <v>359.734622079389</v>
      </c>
      <c r="W2203">
        <v>310.09096707062201</v>
      </c>
    </row>
    <row r="2204" spans="1:23" x14ac:dyDescent="0.2">
      <c r="A2204" t="s">
        <v>4414</v>
      </c>
      <c r="B2204" s="3" t="str">
        <f>HYPERLINK("http://www.ncbi.nlm.nih.gov/gene/230917","Tmem201")</f>
        <v>Tmem201</v>
      </c>
      <c r="C2204">
        <v>230917</v>
      </c>
      <c r="D2204" t="s">
        <v>4415</v>
      </c>
      <c r="E2204" s="3" t="str">
        <f>HYPERLINK("http://genome.ucsc.edu/cgi-bin/hgTracks?db=mm10&amp;lastVirtModeType=default&amp;lastVirtModeExtraState=&amp;virtModeType=default&amp;virtMode=0&amp;nonVirtPosition=&amp;position=chr4:149724862-149737770","chr4:149724862-149737770")</f>
        <v>chr4:149724862-149737770</v>
      </c>
      <c r="F2204" t="s">
        <v>25</v>
      </c>
      <c r="G2204">
        <v>0.61603032246938005</v>
      </c>
      <c r="H2204">
        <v>0.19442667309234499</v>
      </c>
      <c r="I2204">
        <v>3.1684455258707702</v>
      </c>
      <c r="J2204">
        <v>1.5325646619983699E-3</v>
      </c>
      <c r="K2204">
        <v>9.3115124268694106E-3</v>
      </c>
      <c r="L2204" t="s">
        <v>26</v>
      </c>
      <c r="M2204" t="s">
        <v>27</v>
      </c>
      <c r="N2204">
        <v>272.57467064383798</v>
      </c>
      <c r="O2204">
        <v>204.79677204915501</v>
      </c>
      <c r="P2204">
        <v>323.40809458985098</v>
      </c>
      <c r="Q2204">
        <v>155.34512033559699</v>
      </c>
      <c r="R2204">
        <v>214.27902762099001</v>
      </c>
      <c r="S2204">
        <v>244.766168190879</v>
      </c>
      <c r="T2204">
        <v>279.560237650457</v>
      </c>
      <c r="U2204">
        <v>436.81637616064899</v>
      </c>
      <c r="V2204">
        <v>280.28403069989201</v>
      </c>
      <c r="W2204">
        <v>296.97173384840403</v>
      </c>
    </row>
    <row r="2205" spans="1:23" x14ac:dyDescent="0.2">
      <c r="A2205" t="s">
        <v>4416</v>
      </c>
      <c r="B2205" s="3" t="str">
        <f>HYPERLINK("http://www.ncbi.nlm.nih.gov/gene/17346","Mknk1")</f>
        <v>Mknk1</v>
      </c>
      <c r="C2205">
        <v>17346</v>
      </c>
      <c r="D2205" t="s">
        <v>4417</v>
      </c>
      <c r="E2205" s="3" t="str">
        <f>HYPERLINK("http://genome.ucsc.edu/cgi-bin/hgTracks?db=mm10&amp;lastVirtModeType=default&amp;lastVirtModeExtraState=&amp;virtModeType=default&amp;virtMode=0&amp;nonVirtPosition=&amp;position=chr4:115839197-115879256","chr4:115839197-115879256")</f>
        <v>chr4:115839197-115879256</v>
      </c>
      <c r="F2205" t="s">
        <v>30</v>
      </c>
      <c r="G2205">
        <v>0.48096949303477199</v>
      </c>
      <c r="H2205">
        <v>0.151807609471515</v>
      </c>
      <c r="I2205">
        <v>3.1682831625447498</v>
      </c>
      <c r="J2205">
        <v>1.53342088786536E-3</v>
      </c>
      <c r="K2205">
        <v>9.3124893920204094E-3</v>
      </c>
      <c r="L2205" t="s">
        <v>26</v>
      </c>
      <c r="M2205" t="s">
        <v>27</v>
      </c>
      <c r="N2205">
        <v>129.089993253068</v>
      </c>
      <c r="O2205">
        <v>105.785937073328</v>
      </c>
      <c r="P2205">
        <v>146.56803538787301</v>
      </c>
      <c r="Q2205">
        <v>103.563413557065</v>
      </c>
      <c r="R2205">
        <v>102.01957244256</v>
      </c>
      <c r="S2205">
        <v>111.77482522035901</v>
      </c>
      <c r="T2205">
        <v>128.322732036275</v>
      </c>
      <c r="U2205">
        <v>149.88797221198701</v>
      </c>
      <c r="V2205">
        <v>153.01595376792</v>
      </c>
      <c r="W2205">
        <v>155.04548353531101</v>
      </c>
    </row>
    <row r="2206" spans="1:23" x14ac:dyDescent="0.2">
      <c r="A2206" t="s">
        <v>4418</v>
      </c>
      <c r="B2206" s="3" t="str">
        <f>HYPERLINK("http://www.ncbi.nlm.nih.gov/gene/56878","Rbms1")</f>
        <v>Rbms1</v>
      </c>
      <c r="C2206">
        <v>56878</v>
      </c>
      <c r="D2206" t="s">
        <v>4419</v>
      </c>
      <c r="E2206" s="3" t="str">
        <f>HYPERLINK("http://genome.ucsc.edu/cgi-bin/hgTracks?db=mm10&amp;lastVirtModeType=default&amp;lastVirtModeExtraState=&amp;virtModeType=default&amp;virtMode=0&amp;nonVirtPosition=&amp;position=chr2:60751952-60881438","chr2:60751952-60881438")</f>
        <v>chr2:60751952-60881438</v>
      </c>
      <c r="F2206" t="s">
        <v>25</v>
      </c>
      <c r="G2206">
        <v>0.65390069075226498</v>
      </c>
      <c r="H2206">
        <v>0.20640502074932501</v>
      </c>
      <c r="I2206">
        <v>3.16804643791304</v>
      </c>
      <c r="J2206">
        <v>1.53467004888522E-3</v>
      </c>
      <c r="K2206">
        <v>9.3158506911251004E-3</v>
      </c>
      <c r="L2206" t="s">
        <v>26</v>
      </c>
      <c r="M2206" t="s">
        <v>27</v>
      </c>
      <c r="N2206">
        <v>129.30038654882901</v>
      </c>
      <c r="O2206">
        <v>96.971411444376102</v>
      </c>
      <c r="P2206">
        <v>153.54711787716801</v>
      </c>
      <c r="Q2206">
        <v>111.91530174715101</v>
      </c>
      <c r="R2206">
        <v>79.643532390102393</v>
      </c>
      <c r="S2206">
        <v>99.355400195874793</v>
      </c>
      <c r="T2206">
        <v>137.48864146743799</v>
      </c>
      <c r="U2206">
        <v>113.486607531933</v>
      </c>
      <c r="V2206">
        <v>198.62647844874201</v>
      </c>
      <c r="W2206">
        <v>164.58674406056099</v>
      </c>
    </row>
    <row r="2207" spans="1:23" x14ac:dyDescent="0.2">
      <c r="A2207" t="s">
        <v>4420</v>
      </c>
      <c r="B2207" s="3" t="str">
        <f>HYPERLINK("http://www.ncbi.nlm.nih.gov/gene/17472","Gbp4")</f>
        <v>Gbp4</v>
      </c>
      <c r="C2207">
        <v>17472</v>
      </c>
      <c r="D2207" t="s">
        <v>4421</v>
      </c>
      <c r="E2207" s="3" t="str">
        <f>HYPERLINK("http://genome.ucsc.edu/cgi-bin/hgTracks?db=mm10&amp;lastVirtModeType=default&amp;lastVirtModeExtraState=&amp;virtModeType=default&amp;virtMode=0&amp;nonVirtPosition=&amp;position=chr5:105115766-105139552","chr5:105115766-105139552")</f>
        <v>chr5:105115766-105139552</v>
      </c>
      <c r="F2207" t="s">
        <v>25</v>
      </c>
      <c r="G2207">
        <v>1.2314781626062901</v>
      </c>
      <c r="H2207">
        <v>0.38882518240458702</v>
      </c>
      <c r="I2207">
        <v>3.1671769688129201</v>
      </c>
      <c r="J2207">
        <v>1.53926615650603E-3</v>
      </c>
      <c r="K2207">
        <v>9.3395165844006693E-3</v>
      </c>
      <c r="L2207" t="s">
        <v>26</v>
      </c>
      <c r="M2207" t="s">
        <v>27</v>
      </c>
      <c r="N2207">
        <v>129.23009577102599</v>
      </c>
      <c r="O2207">
        <v>12.2145256126435</v>
      </c>
      <c r="P2207">
        <v>216.99177338981201</v>
      </c>
      <c r="Q2207">
        <v>21.158116748217498</v>
      </c>
      <c r="R2207">
        <v>7.2058434067235497</v>
      </c>
      <c r="S2207">
        <v>8.2796166829895608</v>
      </c>
      <c r="T2207">
        <v>563.70343001649496</v>
      </c>
      <c r="U2207">
        <v>25.695080950626402</v>
      </c>
      <c r="V2207">
        <v>94.899317481065694</v>
      </c>
      <c r="W2207">
        <v>183.66926511106101</v>
      </c>
    </row>
    <row r="2208" spans="1:23" x14ac:dyDescent="0.2">
      <c r="A2208" t="s">
        <v>4422</v>
      </c>
      <c r="B2208" s="3" t="str">
        <f>HYPERLINK("http://www.ncbi.nlm.nih.gov/gene/83397","Akap12")</f>
        <v>Akap12</v>
      </c>
      <c r="C2208">
        <v>83397</v>
      </c>
      <c r="D2208" t="s">
        <v>4423</v>
      </c>
      <c r="E2208" s="3" t="str">
        <f>HYPERLINK("http://genome.ucsc.edu/cgi-bin/hgTracks?db=mm10&amp;lastVirtModeType=default&amp;lastVirtModeExtraState=&amp;virtModeType=default&amp;virtMode=0&amp;nonVirtPosition=&amp;position=chr10:4266328-4359471","chr10:4266328-4359471")</f>
        <v>chr10:4266328-4359471</v>
      </c>
      <c r="F2208" t="s">
        <v>30</v>
      </c>
      <c r="G2208">
        <v>-0.794697211277553</v>
      </c>
      <c r="H2208">
        <v>0.25105157539517498</v>
      </c>
      <c r="I2208">
        <v>-3.1654739072106501</v>
      </c>
      <c r="J2208">
        <v>1.54830547877378E-3</v>
      </c>
      <c r="K2208">
        <v>9.3901080916031499E-3</v>
      </c>
      <c r="L2208" t="s">
        <v>26</v>
      </c>
      <c r="M2208" t="s">
        <v>27</v>
      </c>
      <c r="N2208">
        <v>2991.8553640649402</v>
      </c>
      <c r="O2208">
        <v>4064.26062529809</v>
      </c>
      <c r="P2208">
        <v>2187.5514181400799</v>
      </c>
      <c r="Q2208">
        <v>2275.0543429793902</v>
      </c>
      <c r="R2208">
        <v>4964.4468523163796</v>
      </c>
      <c r="S2208">
        <v>4953.2806805985101</v>
      </c>
      <c r="T2208">
        <v>1714.02506362739</v>
      </c>
      <c r="U2208">
        <v>3109.1047950257998</v>
      </c>
      <c r="V2208">
        <v>1903.1359249884999</v>
      </c>
      <c r="W2208">
        <v>2023.93988891864</v>
      </c>
    </row>
    <row r="2209" spans="1:23" x14ac:dyDescent="0.2">
      <c r="A2209" t="s">
        <v>4424</v>
      </c>
      <c r="B2209" s="3" t="str">
        <f>HYPERLINK("http://www.ncbi.nlm.nih.gov/gene/23827","Bpnt1")</f>
        <v>Bpnt1</v>
      </c>
      <c r="C2209">
        <v>23827</v>
      </c>
      <c r="D2209" t="s">
        <v>4425</v>
      </c>
      <c r="E2209" s="3" t="str">
        <f>HYPERLINK("http://genome.ucsc.edu/cgi-bin/hgTracks?db=mm10&amp;lastVirtModeType=default&amp;lastVirtModeExtraState=&amp;virtModeType=default&amp;virtMode=0&amp;nonVirtPosition=&amp;position=chr1:185332158-185357769","chr1:185332158-185357769")</f>
        <v>chr1:185332158-185357769</v>
      </c>
      <c r="F2209" t="s">
        <v>30</v>
      </c>
      <c r="G2209">
        <v>-0.57812068379820103</v>
      </c>
      <c r="H2209">
        <v>0.18269170777723001</v>
      </c>
      <c r="I2209">
        <v>-3.1644604499682498</v>
      </c>
      <c r="J2209">
        <v>1.55370777013335E-3</v>
      </c>
      <c r="K2209">
        <v>9.4114352124443201E-3</v>
      </c>
      <c r="L2209" t="s">
        <v>26</v>
      </c>
      <c r="M2209" t="s">
        <v>27</v>
      </c>
      <c r="N2209">
        <v>274.11331880757899</v>
      </c>
      <c r="O2209">
        <v>341.376529187578</v>
      </c>
      <c r="P2209">
        <v>223.665911022579</v>
      </c>
      <c r="Q2209">
        <v>250.55664570257599</v>
      </c>
      <c r="R2209">
        <v>434.62613390027298</v>
      </c>
      <c r="S2209">
        <v>338.94680795988501</v>
      </c>
      <c r="T2209">
        <v>215.39887163231899</v>
      </c>
      <c r="U2209">
        <v>241.96201228506499</v>
      </c>
      <c r="V2209">
        <v>221.431740789153</v>
      </c>
      <c r="W2209">
        <v>215.87101938377899</v>
      </c>
    </row>
    <row r="2210" spans="1:23" x14ac:dyDescent="0.2">
      <c r="A2210" t="s">
        <v>4426</v>
      </c>
      <c r="B2210" s="3" t="str">
        <f>HYPERLINK("http://www.ncbi.nlm.nih.gov/gene/268749","Rnf31")</f>
        <v>Rnf31</v>
      </c>
      <c r="C2210">
        <v>268749</v>
      </c>
      <c r="D2210" t="s">
        <v>4427</v>
      </c>
      <c r="E2210" s="3" t="str">
        <f>HYPERLINK("http://genome.ucsc.edu/cgi-bin/hgTracks?db=mm10&amp;lastVirtModeType=default&amp;lastVirtModeExtraState=&amp;virtModeType=default&amp;virtMode=0&amp;nonVirtPosition=&amp;position=chr14:55591789-55603671","chr14:55591789-55603671")</f>
        <v>chr14:55591789-55603671</v>
      </c>
      <c r="F2210" t="s">
        <v>30</v>
      </c>
      <c r="G2210">
        <v>0.58879926695698803</v>
      </c>
      <c r="H2210">
        <v>0.18606869567040701</v>
      </c>
      <c r="I2210">
        <v>3.16441873704516</v>
      </c>
      <c r="J2210">
        <v>1.55393049471394E-3</v>
      </c>
      <c r="K2210">
        <v>9.4114352124443201E-3</v>
      </c>
      <c r="L2210" t="s">
        <v>26</v>
      </c>
      <c r="M2210" t="s">
        <v>27</v>
      </c>
      <c r="N2210">
        <v>126.53378974018401</v>
      </c>
      <c r="O2210">
        <v>97.6890714915545</v>
      </c>
      <c r="P2210">
        <v>148.16732842665601</v>
      </c>
      <c r="Q2210">
        <v>90.200392452927403</v>
      </c>
      <c r="R2210">
        <v>87.987140545255997</v>
      </c>
      <c r="S2210">
        <v>114.87968147648</v>
      </c>
      <c r="T2210">
        <v>142.07159618301901</v>
      </c>
      <c r="U2210">
        <v>117.769121023704</v>
      </c>
      <c r="V2210">
        <v>151.54464652015099</v>
      </c>
      <c r="W2210">
        <v>181.283949979748</v>
      </c>
    </row>
    <row r="2211" spans="1:23" x14ac:dyDescent="0.2">
      <c r="A2211" t="s">
        <v>4428</v>
      </c>
      <c r="B2211" s="3" t="str">
        <f>HYPERLINK("http://www.ncbi.nlm.nih.gov/gene/320727","Ipo8")</f>
        <v>Ipo8</v>
      </c>
      <c r="C2211">
        <v>320727</v>
      </c>
      <c r="D2211" t="s">
        <v>4429</v>
      </c>
      <c r="E2211" s="3" t="str">
        <f>HYPERLINK("http://genome.ucsc.edu/cgi-bin/hgTracks?db=mm10&amp;lastVirtModeType=default&amp;lastVirtModeExtraState=&amp;virtModeType=default&amp;virtMode=0&amp;nonVirtPosition=&amp;position=chr6:148770683-148831467","chr6:148770683-148831467")</f>
        <v>chr6:148770683-148831467</v>
      </c>
      <c r="F2211" t="s">
        <v>25</v>
      </c>
      <c r="G2211">
        <v>-0.32530892255093102</v>
      </c>
      <c r="H2211">
        <v>0.10287821728368</v>
      </c>
      <c r="I2211">
        <v>-3.1620777569843801</v>
      </c>
      <c r="J2211">
        <v>1.5664772980360901E-3</v>
      </c>
      <c r="K2211">
        <v>9.4831363010855901E-3</v>
      </c>
      <c r="L2211" t="s">
        <v>26</v>
      </c>
      <c r="M2211" t="s">
        <v>27</v>
      </c>
      <c r="N2211">
        <v>574.12522597998998</v>
      </c>
      <c r="O2211">
        <v>649.70580709135697</v>
      </c>
      <c r="P2211">
        <v>517.43979014646504</v>
      </c>
      <c r="Q2211">
        <v>656.45841174074997</v>
      </c>
      <c r="R2211">
        <v>626.14986655266205</v>
      </c>
      <c r="S2211">
        <v>666.50914298066004</v>
      </c>
      <c r="T2211">
        <v>545.37161115416995</v>
      </c>
      <c r="U2211">
        <v>486.06528131601698</v>
      </c>
      <c r="V2211">
        <v>542.17672080267801</v>
      </c>
      <c r="W2211">
        <v>496.14554731299597</v>
      </c>
    </row>
    <row r="2212" spans="1:23" x14ac:dyDescent="0.2">
      <c r="A2212" t="s">
        <v>4430</v>
      </c>
      <c r="B2212" s="3" t="str">
        <f>HYPERLINK("http://www.ncbi.nlm.nih.gov/gene/53357","Pla2g6")</f>
        <v>Pla2g6</v>
      </c>
      <c r="C2212">
        <v>53357</v>
      </c>
      <c r="D2212" t="s">
        <v>4431</v>
      </c>
      <c r="E2212" s="3" t="str">
        <f>HYPERLINK("http://genome.ucsc.edu/cgi-bin/hgTracks?db=mm10&amp;lastVirtModeType=default&amp;lastVirtModeExtraState=&amp;virtModeType=default&amp;virtMode=0&amp;nonVirtPosition=&amp;position=chr15:79286227-79328371","chr15:79286227-79328371")</f>
        <v>chr15:79286227-79328371</v>
      </c>
      <c r="F2212" t="s">
        <v>25</v>
      </c>
      <c r="G2212">
        <v>0.54929863531051704</v>
      </c>
      <c r="H2212">
        <v>0.17372708094740999</v>
      </c>
      <c r="I2212">
        <v>3.1618480683319601</v>
      </c>
      <c r="J2212">
        <v>1.5677133577169601E-3</v>
      </c>
      <c r="K2212">
        <v>9.4863305798408293E-3</v>
      </c>
      <c r="L2212" t="s">
        <v>26</v>
      </c>
      <c r="M2212" t="s">
        <v>27</v>
      </c>
      <c r="N2212">
        <v>152.486338528213</v>
      </c>
      <c r="O2212">
        <v>118.92510578452401</v>
      </c>
      <c r="P2212">
        <v>177.65726308597999</v>
      </c>
      <c r="Q2212">
        <v>129.17587067332801</v>
      </c>
      <c r="R2212">
        <v>92.538199538976102</v>
      </c>
      <c r="S2212">
        <v>135.06124714126699</v>
      </c>
      <c r="T2212">
        <v>178.735233907669</v>
      </c>
      <c r="U2212">
        <v>190.571850383813</v>
      </c>
      <c r="V2212">
        <v>174.349908860563</v>
      </c>
      <c r="W2212">
        <v>166.972059191874</v>
      </c>
    </row>
    <row r="2213" spans="1:23" x14ac:dyDescent="0.2">
      <c r="A2213" t="s">
        <v>4432</v>
      </c>
      <c r="B2213" s="3" t="str">
        <f>HYPERLINK("http://www.ncbi.nlm.nih.gov/gene/28146","Serp1")</f>
        <v>Serp1</v>
      </c>
      <c r="C2213">
        <v>28146</v>
      </c>
      <c r="D2213" t="s">
        <v>4433</v>
      </c>
      <c r="E2213" s="3" t="str">
        <f>HYPERLINK("http://genome.ucsc.edu/cgi-bin/hgTracks?db=mm10&amp;lastVirtModeType=default&amp;lastVirtModeExtraState=&amp;virtModeType=default&amp;virtMode=0&amp;nonVirtPosition=&amp;position=chr3:58521970-58525884","chr3:58521970-58525884")</f>
        <v>chr3:58521970-58525884</v>
      </c>
      <c r="F2213" t="s">
        <v>25</v>
      </c>
      <c r="G2213">
        <v>-0.37690451468480701</v>
      </c>
      <c r="H2213">
        <v>0.11920903558324999</v>
      </c>
      <c r="I2213">
        <v>-3.1617109629378302</v>
      </c>
      <c r="J2213">
        <v>1.56845161250844E-3</v>
      </c>
      <c r="K2213">
        <v>9.4865110854112297E-3</v>
      </c>
      <c r="L2213" t="s">
        <v>26</v>
      </c>
      <c r="M2213" t="s">
        <v>27</v>
      </c>
      <c r="N2213">
        <v>667.31133424421603</v>
      </c>
      <c r="O2213">
        <v>773.24453464745397</v>
      </c>
      <c r="P2213">
        <v>587.86143394178805</v>
      </c>
      <c r="Q2213">
        <v>851.33580284275399</v>
      </c>
      <c r="R2213">
        <v>734.61677256965902</v>
      </c>
      <c r="S2213">
        <v>733.78102852995005</v>
      </c>
      <c r="T2213">
        <v>554.53752058533303</v>
      </c>
      <c r="U2213">
        <v>597.41063210206403</v>
      </c>
      <c r="V2213">
        <v>653.26041800919597</v>
      </c>
      <c r="W2213">
        <v>546.23716507055804</v>
      </c>
    </row>
    <row r="2214" spans="1:23" x14ac:dyDescent="0.2">
      <c r="A2214" t="s">
        <v>4434</v>
      </c>
      <c r="B2214" s="3" t="str">
        <f>HYPERLINK("http://www.ncbi.nlm.nih.gov/gene/215890","Clvs2")</f>
        <v>Clvs2</v>
      </c>
      <c r="C2214">
        <v>215890</v>
      </c>
      <c r="D2214" t="s">
        <v>4435</v>
      </c>
      <c r="E2214" s="3" t="str">
        <f>HYPERLINK("http://genome.ucsc.edu/cgi-bin/hgTracks?db=mm10&amp;lastVirtModeType=default&amp;lastVirtModeExtraState=&amp;virtModeType=default&amp;virtMode=0&amp;nonVirtPosition=&amp;position=chr10:33512333-33624600","chr10:33512333-33624600")</f>
        <v>chr10:33512333-33624600</v>
      </c>
      <c r="F2214" t="s">
        <v>25</v>
      </c>
      <c r="G2214">
        <v>1.15053518962971</v>
      </c>
      <c r="H2214">
        <v>0.36406840703687998</v>
      </c>
      <c r="I2214">
        <v>3.16021705644226</v>
      </c>
      <c r="J2214">
        <v>1.5765164416430401E-3</v>
      </c>
      <c r="K2214">
        <v>9.5309849526148595E-3</v>
      </c>
      <c r="L2214" t="s">
        <v>26</v>
      </c>
      <c r="M2214" t="s">
        <v>27</v>
      </c>
      <c r="N2214">
        <v>18.142464131441098</v>
      </c>
      <c r="O2214">
        <v>7.6232667979981503</v>
      </c>
      <c r="P2214">
        <v>26.031862131523301</v>
      </c>
      <c r="Q2214">
        <v>8.3518881900858695</v>
      </c>
      <c r="R2214">
        <v>9.8606278197269592</v>
      </c>
      <c r="S2214">
        <v>4.6572843841816303</v>
      </c>
      <c r="T2214">
        <v>36.663637724650101</v>
      </c>
      <c r="U2214">
        <v>32.118851188283003</v>
      </c>
      <c r="V2214">
        <v>10.2991507343792</v>
      </c>
      <c r="W2214">
        <v>25.045808878780999</v>
      </c>
    </row>
    <row r="2215" spans="1:23" x14ac:dyDescent="0.2">
      <c r="A2215" t="s">
        <v>4436</v>
      </c>
      <c r="B2215" s="3" t="str">
        <f>HYPERLINK("http://www.ncbi.nlm.nih.gov/gene/68524","Wipf2")</f>
        <v>Wipf2</v>
      </c>
      <c r="C2215">
        <v>68524</v>
      </c>
      <c r="D2215" t="s">
        <v>4437</v>
      </c>
      <c r="E2215" s="3" t="str">
        <f>HYPERLINK("http://genome.ucsc.edu/cgi-bin/hgTracks?db=mm10&amp;lastVirtModeType=default&amp;lastVirtModeExtraState=&amp;virtModeType=default&amp;virtMode=0&amp;nonVirtPosition=&amp;position=chr11:98863597-98905578","chr11:98863597-98905578")</f>
        <v>chr11:98863597-98905578</v>
      </c>
      <c r="F2215" t="s">
        <v>30</v>
      </c>
      <c r="G2215">
        <v>0.53882484926678398</v>
      </c>
      <c r="H2215">
        <v>0.170520309806725</v>
      </c>
      <c r="I2215">
        <v>3.15988664269676</v>
      </c>
      <c r="J2215">
        <v>1.57830532300245E-3</v>
      </c>
      <c r="K2215">
        <v>9.5374939441903502E-3</v>
      </c>
      <c r="L2215" t="s">
        <v>26</v>
      </c>
      <c r="M2215" t="s">
        <v>27</v>
      </c>
      <c r="N2215">
        <v>221.85178136978399</v>
      </c>
      <c r="O2215">
        <v>173.76232160125599</v>
      </c>
      <c r="P2215">
        <v>257.91887619618097</v>
      </c>
      <c r="Q2215">
        <v>194.320598555998</v>
      </c>
      <c r="R2215">
        <v>130.842946069454</v>
      </c>
      <c r="S2215">
        <v>196.123420178315</v>
      </c>
      <c r="T2215">
        <v>284.14319236603802</v>
      </c>
      <c r="U2215">
        <v>235.538242047409</v>
      </c>
      <c r="V2215">
        <v>266.30661184609102</v>
      </c>
      <c r="W2215">
        <v>245.68745852518501</v>
      </c>
    </row>
    <row r="2216" spans="1:23" x14ac:dyDescent="0.2">
      <c r="A2216" t="s">
        <v>4438</v>
      </c>
      <c r="B2216" s="3" t="str">
        <f>HYPERLINK("http://www.ncbi.nlm.nih.gov/gene/213056","Fam126b")</f>
        <v>Fam126b</v>
      </c>
      <c r="C2216">
        <v>213056</v>
      </c>
      <c r="D2216" t="s">
        <v>4439</v>
      </c>
      <c r="E2216" s="3" t="str">
        <f>HYPERLINK("http://genome.ucsc.edu/cgi-bin/hgTracks?db=mm10&amp;lastVirtModeType=default&amp;lastVirtModeExtraState=&amp;virtModeType=default&amp;virtMode=0&amp;nonVirtPosition=&amp;position=chr1:58522805-58586154","chr1:58522805-58586154")</f>
        <v>chr1:58522805-58586154</v>
      </c>
      <c r="F2216" t="s">
        <v>25</v>
      </c>
      <c r="G2216">
        <v>-0.53536631120047795</v>
      </c>
      <c r="H2216">
        <v>0.16944064042441301</v>
      </c>
      <c r="I2216">
        <v>-3.1596098188692898</v>
      </c>
      <c r="J2216">
        <v>1.5798055036566601E-3</v>
      </c>
      <c r="K2216">
        <v>9.5422532699442203E-3</v>
      </c>
      <c r="L2216" t="s">
        <v>26</v>
      </c>
      <c r="M2216" t="s">
        <v>27</v>
      </c>
      <c r="N2216">
        <v>281.45976152691998</v>
      </c>
      <c r="O2216">
        <v>345.52841777447298</v>
      </c>
      <c r="P2216">
        <v>233.40826934125599</v>
      </c>
      <c r="Q2216">
        <v>423.719127510357</v>
      </c>
      <c r="R2216">
        <v>341.70867944515402</v>
      </c>
      <c r="S2216">
        <v>271.15744636790799</v>
      </c>
      <c r="T2216">
        <v>219.98182634790101</v>
      </c>
      <c r="U2216">
        <v>241.96201228506499</v>
      </c>
      <c r="V2216">
        <v>214.07520455031101</v>
      </c>
      <c r="W2216">
        <v>257.61403418174802</v>
      </c>
    </row>
    <row r="2217" spans="1:23" x14ac:dyDescent="0.2">
      <c r="A2217" t="s">
        <v>4440</v>
      </c>
      <c r="B2217" s="3" t="str">
        <f>HYPERLINK("http://www.ncbi.nlm.nih.gov/gene/77559","Agl")</f>
        <v>Agl</v>
      </c>
      <c r="C2217">
        <v>77559</v>
      </c>
      <c r="D2217" t="s">
        <v>4441</v>
      </c>
      <c r="E2217" s="3" t="str">
        <f>HYPERLINK("http://genome.ucsc.edu/cgi-bin/hgTracks?db=mm10&amp;lastVirtModeType=default&amp;lastVirtModeExtraState=&amp;virtModeType=default&amp;virtMode=0&amp;nonVirtPosition=&amp;position=chr3:116739998-116808166","chr3:116739998-116808166")</f>
        <v>chr3:116739998-116808166</v>
      </c>
      <c r="F2217" t="s">
        <v>25</v>
      </c>
      <c r="G2217">
        <v>-0.460491565380027</v>
      </c>
      <c r="H2217">
        <v>0.14577695787025599</v>
      </c>
      <c r="I2217">
        <v>-3.1588775901735602</v>
      </c>
      <c r="J2217">
        <v>1.5837799734215901E-3</v>
      </c>
      <c r="K2217">
        <v>9.5619466294357795E-3</v>
      </c>
      <c r="L2217" t="s">
        <v>26</v>
      </c>
      <c r="M2217" t="s">
        <v>27</v>
      </c>
      <c r="N2217">
        <v>597.08830814688201</v>
      </c>
      <c r="O2217">
        <v>716.74146289033195</v>
      </c>
      <c r="P2217">
        <v>507.34844208929502</v>
      </c>
      <c r="Q2217">
        <v>783.96390477606099</v>
      </c>
      <c r="R2217">
        <v>598.84351259034099</v>
      </c>
      <c r="S2217">
        <v>767.41697130459499</v>
      </c>
      <c r="T2217">
        <v>421.63183383347598</v>
      </c>
      <c r="U2217">
        <v>486.06528131601698</v>
      </c>
      <c r="V2217">
        <v>573.07417300581506</v>
      </c>
      <c r="W2217">
        <v>548.62248020186996</v>
      </c>
    </row>
    <row r="2218" spans="1:23" x14ac:dyDescent="0.2">
      <c r="A2218" t="s">
        <v>4442</v>
      </c>
      <c r="B2218" s="3" t="str">
        <f>HYPERLINK("http://www.ncbi.nlm.nih.gov/gene/67383","Carnmt1")</f>
        <v>Carnmt1</v>
      </c>
      <c r="C2218">
        <v>67383</v>
      </c>
      <c r="D2218" t="s">
        <v>4443</v>
      </c>
      <c r="E2218" s="3" t="str">
        <f>HYPERLINK("http://genome.ucsc.edu/cgi-bin/hgTracks?db=mm10&amp;lastVirtModeType=default&amp;lastVirtModeExtraState=&amp;virtModeType=default&amp;virtMode=0&amp;nonVirtPosition=&amp;position=chr19:18670779-18704792","chr19:18670779-18704792")</f>
        <v>chr19:18670779-18704792</v>
      </c>
      <c r="F2218" t="s">
        <v>30</v>
      </c>
      <c r="G2218">
        <v>-1.1873342405010101</v>
      </c>
      <c r="H2218">
        <v>0.37592453864882802</v>
      </c>
      <c r="I2218">
        <v>-3.15843771403856</v>
      </c>
      <c r="J2218">
        <v>1.5861720044650601E-3</v>
      </c>
      <c r="K2218">
        <v>9.5720726957150108E-3</v>
      </c>
      <c r="L2218" t="s">
        <v>26</v>
      </c>
      <c r="M2218" t="s">
        <v>27</v>
      </c>
      <c r="N2218">
        <v>14.995683879137101</v>
      </c>
      <c r="O2218">
        <v>24.134712113655699</v>
      </c>
      <c r="P2218">
        <v>8.1414127032481591</v>
      </c>
      <c r="Q2218">
        <v>28.953212392297701</v>
      </c>
      <c r="R2218">
        <v>28.4441187107508</v>
      </c>
      <c r="S2218">
        <v>15.0068052379186</v>
      </c>
      <c r="T2218">
        <v>18.3318188623251</v>
      </c>
      <c r="U2218">
        <v>0</v>
      </c>
      <c r="V2218">
        <v>5.8852289910738396</v>
      </c>
      <c r="W2218">
        <v>8.3486029595936806</v>
      </c>
    </row>
    <row r="2219" spans="1:23" x14ac:dyDescent="0.2">
      <c r="A2219" t="s">
        <v>4444</v>
      </c>
      <c r="B2219" s="3" t="str">
        <f>HYPERLINK("http://www.ncbi.nlm.nih.gov/gene/55960","Ebag9")</f>
        <v>Ebag9</v>
      </c>
      <c r="C2219">
        <v>55960</v>
      </c>
      <c r="D2219" t="s">
        <v>4445</v>
      </c>
      <c r="E2219" s="3" t="str">
        <f>HYPERLINK("http://genome.ucsc.edu/cgi-bin/hgTracks?db=mm10&amp;lastVirtModeType=default&amp;lastVirtModeExtraState=&amp;virtModeType=default&amp;virtMode=0&amp;nonVirtPosition=&amp;position=chr15:44619640-44641026","chr15:44619640-44641026")</f>
        <v>chr15:44619640-44641026</v>
      </c>
      <c r="F2219" t="s">
        <v>30</v>
      </c>
      <c r="G2219">
        <v>-0.70826363169853102</v>
      </c>
      <c r="H2219">
        <v>0.224285953195315</v>
      </c>
      <c r="I2219">
        <v>-3.1578599622855301</v>
      </c>
      <c r="J2219">
        <v>1.58931885151034E-3</v>
      </c>
      <c r="K2219">
        <v>9.5867426759346803E-3</v>
      </c>
      <c r="L2219" t="s">
        <v>26</v>
      </c>
      <c r="M2219" t="s">
        <v>27</v>
      </c>
      <c r="N2219">
        <v>62.383917461191501</v>
      </c>
      <c r="O2219">
        <v>81.7686868580099</v>
      </c>
      <c r="P2219">
        <v>47.845340413577702</v>
      </c>
      <c r="Q2219">
        <v>88.530014814910302</v>
      </c>
      <c r="R2219">
        <v>89.504160209829294</v>
      </c>
      <c r="S2219">
        <v>67.271885549290204</v>
      </c>
      <c r="T2219">
        <v>45.829547155812598</v>
      </c>
      <c r="U2219">
        <v>47.107648409481797</v>
      </c>
      <c r="V2219">
        <v>41.1966029375169</v>
      </c>
      <c r="W2219">
        <v>57.247563151499499</v>
      </c>
    </row>
    <row r="2220" spans="1:23" x14ac:dyDescent="0.2">
      <c r="A2220" t="s">
        <v>4446</v>
      </c>
      <c r="B2220" s="3" t="str">
        <f>HYPERLINK("http://www.ncbi.nlm.nih.gov/gene/67120","Ttc14")</f>
        <v>Ttc14</v>
      </c>
      <c r="C2220">
        <v>67120</v>
      </c>
      <c r="D2220" t="s">
        <v>4447</v>
      </c>
      <c r="E2220" s="3" t="str">
        <f>HYPERLINK("http://genome.ucsc.edu/cgi-bin/hgTracks?db=mm10&amp;lastVirtModeType=default&amp;lastVirtModeExtraState=&amp;virtModeType=default&amp;virtMode=0&amp;nonVirtPosition=&amp;position=chr3:33800182-33814860","chr3:33800182-33814860")</f>
        <v>chr3:33800182-33814860</v>
      </c>
      <c r="F2220" t="s">
        <v>30</v>
      </c>
      <c r="G2220">
        <v>0.50828408949366399</v>
      </c>
      <c r="H2220">
        <v>0.160977776262725</v>
      </c>
      <c r="I2220">
        <v>3.1574798788630001</v>
      </c>
      <c r="J2220">
        <v>1.59139218936608E-3</v>
      </c>
      <c r="K2220">
        <v>9.5949269733458502E-3</v>
      </c>
      <c r="L2220" t="s">
        <v>26</v>
      </c>
      <c r="M2220" t="s">
        <v>27</v>
      </c>
      <c r="N2220">
        <v>381.204900649433</v>
      </c>
      <c r="O2220">
        <v>306.02591218547599</v>
      </c>
      <c r="P2220">
        <v>437.58914199740099</v>
      </c>
      <c r="Q2220">
        <v>337.41628287946901</v>
      </c>
      <c r="R2220">
        <v>313.643815650546</v>
      </c>
      <c r="S2220">
        <v>267.01763802641301</v>
      </c>
      <c r="T2220">
        <v>398.71706025557</v>
      </c>
      <c r="U2220">
        <v>357.589876562884</v>
      </c>
      <c r="V2220">
        <v>440.65652070665402</v>
      </c>
      <c r="W2220">
        <v>553.39311046449495</v>
      </c>
    </row>
    <row r="2221" spans="1:23" x14ac:dyDescent="0.2">
      <c r="A2221" t="s">
        <v>4448</v>
      </c>
      <c r="B2221" s="3" t="str">
        <f>HYPERLINK("http://www.ncbi.nlm.nih.gov/gene/105988","Espl1")</f>
        <v>Espl1</v>
      </c>
      <c r="C2221">
        <v>105988</v>
      </c>
      <c r="D2221" t="s">
        <v>4449</v>
      </c>
      <c r="E2221" s="3" t="str">
        <f>HYPERLINK("http://genome.ucsc.edu/cgi-bin/hgTracks?db=mm10&amp;lastVirtModeType=default&amp;lastVirtModeExtraState=&amp;virtModeType=default&amp;virtMode=0&amp;nonVirtPosition=&amp;position=chr15:102296292-102324356","chr15:102296292-102324356")</f>
        <v>chr15:102296292-102324356</v>
      </c>
      <c r="F2221" t="s">
        <v>30</v>
      </c>
      <c r="G2221">
        <v>1.0845543940597999</v>
      </c>
      <c r="H2221">
        <v>0.34355988761220602</v>
      </c>
      <c r="I2221">
        <v>3.1568132170423602</v>
      </c>
      <c r="J2221">
        <v>1.59503481428236E-3</v>
      </c>
      <c r="K2221">
        <v>9.6125612952543196E-3</v>
      </c>
      <c r="L2221" t="s">
        <v>26</v>
      </c>
      <c r="M2221" t="s">
        <v>27</v>
      </c>
      <c r="N2221">
        <v>327.29901039418002</v>
      </c>
      <c r="O2221">
        <v>165.14300808178999</v>
      </c>
      <c r="P2221">
        <v>448.916012128472</v>
      </c>
      <c r="Q2221">
        <v>70.155860796721299</v>
      </c>
      <c r="R2221">
        <v>153.59824103805499</v>
      </c>
      <c r="S2221">
        <v>271.674922410595</v>
      </c>
      <c r="T2221">
        <v>472.04433570486998</v>
      </c>
      <c r="U2221">
        <v>443.24014639830602</v>
      </c>
      <c r="V2221">
        <v>400.93122501690499</v>
      </c>
      <c r="W2221">
        <v>479.44834139380799</v>
      </c>
    </row>
    <row r="2222" spans="1:23" x14ac:dyDescent="0.2">
      <c r="A2222" t="s">
        <v>4450</v>
      </c>
      <c r="B2222" s="3" t="str">
        <f>HYPERLINK("http://www.ncbi.nlm.nih.gov/gene/225898","Eml3")</f>
        <v>Eml3</v>
      </c>
      <c r="C2222">
        <v>225898</v>
      </c>
      <c r="D2222" t="s">
        <v>4451</v>
      </c>
      <c r="E2222" s="3" t="str">
        <f>HYPERLINK("http://genome.ucsc.edu/cgi-bin/hgTracks?db=mm10&amp;lastVirtModeType=default&amp;lastVirtModeExtraState=&amp;virtModeType=default&amp;virtMode=0&amp;nonVirtPosition=&amp;position=chr19:8929693-8941582","chr19:8929693-8941582")</f>
        <v>chr19:8929693-8941582</v>
      </c>
      <c r="F2222" t="s">
        <v>30</v>
      </c>
      <c r="G2222">
        <v>0.49840601497756998</v>
      </c>
      <c r="H2222">
        <v>0.15789869070026399</v>
      </c>
      <c r="I2222">
        <v>3.1564923861445</v>
      </c>
      <c r="J2222">
        <v>1.5967905612997099E-3</v>
      </c>
      <c r="K2222">
        <v>9.6188134981396202E-3</v>
      </c>
      <c r="L2222" t="s">
        <v>26</v>
      </c>
      <c r="M2222" t="s">
        <v>27</v>
      </c>
      <c r="N2222">
        <v>124.816500999713</v>
      </c>
      <c r="O2222">
        <v>101.194424000487</v>
      </c>
      <c r="P2222">
        <v>142.53305874913201</v>
      </c>
      <c r="Q2222">
        <v>101.893035919048</v>
      </c>
      <c r="R2222">
        <v>94.055219203549498</v>
      </c>
      <c r="S2222">
        <v>107.63501687886399</v>
      </c>
      <c r="T2222">
        <v>128.322732036275</v>
      </c>
      <c r="U2222">
        <v>149.88797221198701</v>
      </c>
      <c r="V2222">
        <v>155.95856826345701</v>
      </c>
      <c r="W2222">
        <v>135.96296248481099</v>
      </c>
    </row>
    <row r="2223" spans="1:23" x14ac:dyDescent="0.2">
      <c r="A2223" t="s">
        <v>4452</v>
      </c>
      <c r="B2223" s="3" t="str">
        <f>HYPERLINK("http://www.ncbi.nlm.nih.gov/gene/27393","Mrpl39")</f>
        <v>Mrpl39</v>
      </c>
      <c r="C2223">
        <v>27393</v>
      </c>
      <c r="D2223" t="s">
        <v>4453</v>
      </c>
      <c r="E2223" s="3" t="str">
        <f>HYPERLINK("http://genome.ucsc.edu/cgi-bin/hgTracks?db=mm10&amp;lastVirtModeType=default&amp;lastVirtModeExtraState=&amp;virtModeType=default&amp;virtMode=0&amp;nonVirtPosition=&amp;position=chr16:84717579-84735302","chr16:84717579-84735302")</f>
        <v>chr16:84717579-84735302</v>
      </c>
      <c r="F2223" t="s">
        <v>25</v>
      </c>
      <c r="G2223">
        <v>-0.56072422715885994</v>
      </c>
      <c r="H2223">
        <v>0.17769956533676501</v>
      </c>
      <c r="I2223">
        <v>-3.1554620074405499</v>
      </c>
      <c r="J2223">
        <v>1.60244134756673E-3</v>
      </c>
      <c r="K2223">
        <v>9.6485126282671203E-3</v>
      </c>
      <c r="L2223" t="s">
        <v>26</v>
      </c>
      <c r="M2223" t="s">
        <v>27</v>
      </c>
      <c r="N2223">
        <v>116.350492080764</v>
      </c>
      <c r="O2223">
        <v>147.51752640069901</v>
      </c>
      <c r="P2223">
        <v>92.975216340813006</v>
      </c>
      <c r="Q2223">
        <v>139.19813650143101</v>
      </c>
      <c r="R2223">
        <v>155.873770534915</v>
      </c>
      <c r="S2223">
        <v>147.480672165752</v>
      </c>
      <c r="T2223">
        <v>54.995456586975202</v>
      </c>
      <c r="U2223">
        <v>111.345350786048</v>
      </c>
      <c r="V2223">
        <v>102.99150734379199</v>
      </c>
      <c r="W2223">
        <v>102.568550646437</v>
      </c>
    </row>
    <row r="2224" spans="1:23" x14ac:dyDescent="0.2">
      <c r="A2224" t="s">
        <v>4454</v>
      </c>
      <c r="B2224" s="3" t="str">
        <f>HYPERLINK("http://www.ncbi.nlm.nih.gov/gene/30930","Vps26a")</f>
        <v>Vps26a</v>
      </c>
      <c r="C2224">
        <v>30930</v>
      </c>
      <c r="D2224" t="s">
        <v>4455</v>
      </c>
      <c r="E2224" s="3" t="str">
        <f>HYPERLINK("http://genome.ucsc.edu/cgi-bin/hgTracks?db=mm10&amp;lastVirtModeType=default&amp;lastVirtModeExtraState=&amp;virtModeType=default&amp;virtMode=0&amp;nonVirtPosition=&amp;position=chr10:62454842-62486805","chr10:62454842-62486805")</f>
        <v>chr10:62454842-62486805</v>
      </c>
      <c r="F2224" t="s">
        <v>25</v>
      </c>
      <c r="G2224">
        <v>-0.45357217241814801</v>
      </c>
      <c r="H2224">
        <v>0.14378592826789499</v>
      </c>
      <c r="I2224">
        <v>-3.1544962562197001</v>
      </c>
      <c r="J2224">
        <v>1.60775441107017E-3</v>
      </c>
      <c r="K2224">
        <v>9.6761525027598706E-3</v>
      </c>
      <c r="L2224" t="s">
        <v>26</v>
      </c>
      <c r="M2224" t="s">
        <v>27</v>
      </c>
      <c r="N2224">
        <v>270.70289855302298</v>
      </c>
      <c r="O2224">
        <v>326.13066649234599</v>
      </c>
      <c r="P2224">
        <v>229.13207259853101</v>
      </c>
      <c r="Q2224">
        <v>305.67910775714302</v>
      </c>
      <c r="R2224">
        <v>354.98260151017098</v>
      </c>
      <c r="S2224">
        <v>317.73029020972399</v>
      </c>
      <c r="T2224">
        <v>192.48409805441301</v>
      </c>
      <c r="U2224">
        <v>209.84316109678201</v>
      </c>
      <c r="V2224">
        <v>268.51357271774401</v>
      </c>
      <c r="W2224">
        <v>245.68745852518501</v>
      </c>
    </row>
    <row r="2225" spans="1:23" x14ac:dyDescent="0.2">
      <c r="A2225" t="s">
        <v>4456</v>
      </c>
      <c r="B2225" s="3" t="str">
        <f>HYPERLINK("http://www.ncbi.nlm.nih.gov/gene/12051","Bcl3")</f>
        <v>Bcl3</v>
      </c>
      <c r="C2225">
        <v>12051</v>
      </c>
      <c r="D2225" t="s">
        <v>4457</v>
      </c>
      <c r="E2225" s="3" t="str">
        <f>HYPERLINK("http://genome.ucsc.edu/cgi-bin/hgTracks?db=mm10&amp;lastVirtModeType=default&amp;lastVirtModeExtraState=&amp;virtModeType=default&amp;virtMode=0&amp;nonVirtPosition=&amp;position=chr7:19808461-19822755","chr7:19808461-19822755")</f>
        <v>chr7:19808461-19822755</v>
      </c>
      <c r="F2225" t="s">
        <v>25</v>
      </c>
      <c r="G2225">
        <v>0.94237622475058103</v>
      </c>
      <c r="H2225">
        <v>0.298774564482155</v>
      </c>
      <c r="I2225">
        <v>3.15413805851892</v>
      </c>
      <c r="J2225">
        <v>1.6097291484185601E-3</v>
      </c>
      <c r="K2225">
        <v>9.6836850972474801E-3</v>
      </c>
      <c r="L2225" t="s">
        <v>26</v>
      </c>
      <c r="M2225" t="s">
        <v>27</v>
      </c>
      <c r="N2225">
        <v>40.939277832819101</v>
      </c>
      <c r="O2225">
        <v>25.437970616554502</v>
      </c>
      <c r="P2225">
        <v>52.565258245017397</v>
      </c>
      <c r="Q2225">
        <v>17.817361472183201</v>
      </c>
      <c r="R2225">
        <v>21.238275304027301</v>
      </c>
      <c r="S2225">
        <v>37.258275073452999</v>
      </c>
      <c r="T2225">
        <v>22.914773577906299</v>
      </c>
      <c r="U2225">
        <v>59.955188884795</v>
      </c>
      <c r="V2225">
        <v>61.7949044062753</v>
      </c>
      <c r="W2225">
        <v>65.596166111093197</v>
      </c>
    </row>
    <row r="2226" spans="1:23" x14ac:dyDescent="0.2">
      <c r="A2226" t="s">
        <v>4458</v>
      </c>
      <c r="B2226" s="3" t="str">
        <f>HYPERLINK("http://www.ncbi.nlm.nih.gov/gene/11352","Abl2")</f>
        <v>Abl2</v>
      </c>
      <c r="C2226">
        <v>11352</v>
      </c>
      <c r="D2226" t="s">
        <v>4459</v>
      </c>
      <c r="E2226" s="3" t="str">
        <f>HYPERLINK("http://genome.ucsc.edu/cgi-bin/hgTracks?db=mm10&amp;lastVirtModeType=default&amp;lastVirtModeExtraState=&amp;virtModeType=default&amp;virtMode=0&amp;nonVirtPosition=&amp;position=chr1:156558786-156649619","chr1:156558786-156649619")</f>
        <v>chr1:156558786-156649619</v>
      </c>
      <c r="F2226" t="s">
        <v>30</v>
      </c>
      <c r="G2226">
        <v>0.48393977073174699</v>
      </c>
      <c r="H2226">
        <v>0.153465857771725</v>
      </c>
      <c r="I2226">
        <v>3.1534034850382899</v>
      </c>
      <c r="J2226">
        <v>1.61378582409922E-3</v>
      </c>
      <c r="K2226">
        <v>9.70372966794464E-3</v>
      </c>
      <c r="L2226" t="s">
        <v>26</v>
      </c>
      <c r="M2226" t="s">
        <v>27</v>
      </c>
      <c r="N2226">
        <v>511.871012752811</v>
      </c>
      <c r="O2226">
        <v>415.73193889980502</v>
      </c>
      <c r="P2226">
        <v>583.97531814256604</v>
      </c>
      <c r="Q2226">
        <v>419.821579688317</v>
      </c>
      <c r="R2226">
        <v>346.63899335501702</v>
      </c>
      <c r="S2226">
        <v>480.73524365608102</v>
      </c>
      <c r="T2226">
        <v>476.627290420451</v>
      </c>
      <c r="U2226">
        <v>683.06090193748605</v>
      </c>
      <c r="V2226">
        <v>621.62731218217402</v>
      </c>
      <c r="W2226">
        <v>554.58576803015103</v>
      </c>
    </row>
    <row r="2227" spans="1:23" x14ac:dyDescent="0.2">
      <c r="A2227" t="s">
        <v>4460</v>
      </c>
      <c r="B2227" s="3" t="str">
        <f>HYPERLINK("http://www.ncbi.nlm.nih.gov/gene/77593","Usp45")</f>
        <v>Usp45</v>
      </c>
      <c r="C2227">
        <v>77593</v>
      </c>
      <c r="D2227" t="s">
        <v>4461</v>
      </c>
      <c r="E2227" s="3" t="str">
        <f>HYPERLINK("http://genome.ucsc.edu/cgi-bin/hgTracks?db=mm10&amp;lastVirtModeType=default&amp;lastVirtModeExtraState=&amp;virtModeType=default&amp;virtMode=0&amp;nonVirtPosition=&amp;position=chr4:21776269-21837872","chr4:21776269-21837872")</f>
        <v>chr4:21776269-21837872</v>
      </c>
      <c r="F2227" t="s">
        <v>30</v>
      </c>
      <c r="G2227">
        <v>-0.39682823765159903</v>
      </c>
      <c r="H2227">
        <v>0.12584818579286899</v>
      </c>
      <c r="I2227">
        <v>-3.15322970411929</v>
      </c>
      <c r="J2227">
        <v>1.6147469030730901E-3</v>
      </c>
      <c r="K2227">
        <v>9.7051507087305804E-3</v>
      </c>
      <c r="L2227" t="s">
        <v>26</v>
      </c>
      <c r="M2227" t="s">
        <v>27</v>
      </c>
      <c r="N2227">
        <v>254.53536888647201</v>
      </c>
      <c r="O2227">
        <v>296.81961335733303</v>
      </c>
      <c r="P2227">
        <v>222.82218553332601</v>
      </c>
      <c r="Q2227">
        <v>317.92854376926903</v>
      </c>
      <c r="R2227">
        <v>296.19808950795198</v>
      </c>
      <c r="S2227">
        <v>276.33220679477699</v>
      </c>
      <c r="T2227">
        <v>219.98182634790101</v>
      </c>
      <c r="U2227">
        <v>222.690701572096</v>
      </c>
      <c r="V2227">
        <v>233.93785239518499</v>
      </c>
      <c r="W2227">
        <v>214.67836181812299</v>
      </c>
    </row>
    <row r="2228" spans="1:23" x14ac:dyDescent="0.2">
      <c r="A2228" t="s">
        <v>4462</v>
      </c>
      <c r="B2228" s="3" t="str">
        <f>HYPERLINK("http://www.ncbi.nlm.nih.gov/gene/77323","9430041J12Rik")</f>
        <v>9430041J12Rik</v>
      </c>
      <c r="C2228">
        <v>77323</v>
      </c>
      <c r="D2228" t="s">
        <v>4463</v>
      </c>
      <c r="E2228" s="3" t="str">
        <f>HYPERLINK("http://genome.ucsc.edu/cgi-bin/hgTracks?db=mm10&amp;lastVirtModeType=default&amp;lastVirtModeExtraState=&amp;virtModeType=default&amp;virtMode=0&amp;nonVirtPosition=&amp;position=chr7:4074124-4120728","chr7:4074124-4120728")</f>
        <v>chr7:4074124-4120728</v>
      </c>
      <c r="F2228" t="s">
        <v>25</v>
      </c>
      <c r="G2228">
        <v>1.13566723305276</v>
      </c>
      <c r="H2228">
        <v>0.36032378616891902</v>
      </c>
      <c r="I2228">
        <v>3.1517964582009599</v>
      </c>
      <c r="J2228">
        <v>1.6226934467213001E-3</v>
      </c>
      <c r="K2228">
        <v>9.7468142933531694E-3</v>
      </c>
      <c r="L2228" t="s">
        <v>26</v>
      </c>
      <c r="M2228" t="s">
        <v>27</v>
      </c>
      <c r="N2228">
        <v>13.3357570057122</v>
      </c>
      <c r="O2228">
        <v>5.9710402767207</v>
      </c>
      <c r="P2228">
        <v>18.8592945524559</v>
      </c>
      <c r="Q2228">
        <v>5.5679254600572499</v>
      </c>
      <c r="R2228">
        <v>8.7228630712969295</v>
      </c>
      <c r="S2228">
        <v>3.6223322988079301</v>
      </c>
      <c r="T2228">
        <v>18.3318188623251</v>
      </c>
      <c r="U2228">
        <v>25.695080950626402</v>
      </c>
      <c r="V2228">
        <v>14.7130724776846</v>
      </c>
      <c r="W2228">
        <v>16.6972059191874</v>
      </c>
    </row>
    <row r="2229" spans="1:23" x14ac:dyDescent="0.2">
      <c r="A2229" t="s">
        <v>4464</v>
      </c>
      <c r="B2229" s="3" t="str">
        <f>HYPERLINK("http://www.ncbi.nlm.nih.gov/gene/17772","Mtm1")</f>
        <v>Mtm1</v>
      </c>
      <c r="C2229">
        <v>17772</v>
      </c>
      <c r="D2229" t="s">
        <v>4465</v>
      </c>
      <c r="E2229" s="3" t="str">
        <f>HYPERLINK("http://genome.ucsc.edu/cgi-bin/hgTracks?db=mm10&amp;lastVirtModeType=default&amp;lastVirtModeExtraState=&amp;virtModeType=default&amp;virtMode=0&amp;nonVirtPosition=&amp;position=chrX:71215005-71260810","chrX:71215005-71260810")</f>
        <v>chrX:71215005-71260810</v>
      </c>
      <c r="F2229" t="s">
        <v>30</v>
      </c>
      <c r="G2229">
        <v>-0.676285154694796</v>
      </c>
      <c r="H2229">
        <v>0.214576733457845</v>
      </c>
      <c r="I2229">
        <v>-3.1517170748041798</v>
      </c>
      <c r="J2229">
        <v>1.6231346332744099E-3</v>
      </c>
      <c r="K2229">
        <v>9.7468142933531694E-3</v>
      </c>
      <c r="L2229" t="s">
        <v>26</v>
      </c>
      <c r="M2229" t="s">
        <v>27</v>
      </c>
      <c r="N2229">
        <v>77.264078038312306</v>
      </c>
      <c r="O2229">
        <v>101.827165491575</v>
      </c>
      <c r="P2229">
        <v>58.841762448364797</v>
      </c>
      <c r="Q2229">
        <v>110.801716655139</v>
      </c>
      <c r="R2229">
        <v>106.191376520136</v>
      </c>
      <c r="S2229">
        <v>88.488403299450994</v>
      </c>
      <c r="T2229">
        <v>54.995456586975202</v>
      </c>
      <c r="U2229">
        <v>44.966391663596198</v>
      </c>
      <c r="V2229">
        <v>75.772323260075694</v>
      </c>
      <c r="W2229">
        <v>59.632878282812001</v>
      </c>
    </row>
    <row r="2230" spans="1:23" x14ac:dyDescent="0.2">
      <c r="A2230" t="s">
        <v>4466</v>
      </c>
      <c r="B2230" s="3" t="str">
        <f>HYPERLINK("http://www.ncbi.nlm.nih.gov/gene/16997","Ltbp2")</f>
        <v>Ltbp2</v>
      </c>
      <c r="C2230">
        <v>16997</v>
      </c>
      <c r="D2230" t="s">
        <v>4467</v>
      </c>
      <c r="E2230" s="3" t="str">
        <f>HYPERLINK("http://genome.ucsc.edu/cgi-bin/hgTracks?db=mm10&amp;lastVirtModeType=default&amp;lastVirtModeExtraState=&amp;virtModeType=default&amp;virtMode=0&amp;nonVirtPosition=&amp;position=chr12:84783211-84876495","chr12:84783211-84876495")</f>
        <v>chr12:84783211-84876495</v>
      </c>
      <c r="F2230" t="s">
        <v>25</v>
      </c>
      <c r="G2230">
        <v>-1.1506445828340901</v>
      </c>
      <c r="H2230">
        <v>0.36515158272018899</v>
      </c>
      <c r="I2230">
        <v>-3.1511422578601</v>
      </c>
      <c r="J2230">
        <v>1.6263325703287301E-3</v>
      </c>
      <c r="K2230">
        <v>9.7573249925232697E-3</v>
      </c>
      <c r="L2230" t="s">
        <v>26</v>
      </c>
      <c r="M2230" t="s">
        <v>27</v>
      </c>
      <c r="N2230">
        <v>15.0659391660379</v>
      </c>
      <c r="O2230">
        <v>26.061029786327701</v>
      </c>
      <c r="P2230">
        <v>6.8196212008205501</v>
      </c>
      <c r="Q2230">
        <v>19.487739110200401</v>
      </c>
      <c r="R2230">
        <v>34.891452285187697</v>
      </c>
      <c r="S2230">
        <v>23.803897963594999</v>
      </c>
      <c r="T2230">
        <v>0</v>
      </c>
      <c r="U2230">
        <v>6.4237702376566101</v>
      </c>
      <c r="V2230">
        <v>12.506111606031901</v>
      </c>
      <c r="W2230">
        <v>8.3486029595936806</v>
      </c>
    </row>
    <row r="2231" spans="1:23" x14ac:dyDescent="0.2">
      <c r="A2231" t="s">
        <v>4468</v>
      </c>
      <c r="B2231" s="3" t="str">
        <f>HYPERLINK("http://www.ncbi.nlm.nih.gov/gene/16438","Itpr1")</f>
        <v>Itpr1</v>
      </c>
      <c r="C2231">
        <v>16438</v>
      </c>
      <c r="D2231" t="s">
        <v>4469</v>
      </c>
      <c r="E2231" s="3" t="str">
        <f>HYPERLINK("http://genome.ucsc.edu/cgi-bin/hgTracks?db=mm10&amp;lastVirtModeType=default&amp;lastVirtModeExtraState=&amp;virtModeType=default&amp;virtMode=0&amp;nonVirtPosition=&amp;position=chr6:108213095-108551116","chr6:108213095-108551116")</f>
        <v>chr6:108213095-108551116</v>
      </c>
      <c r="F2231" t="s">
        <v>30</v>
      </c>
      <c r="G2231">
        <v>-1.10236856757794</v>
      </c>
      <c r="H2231">
        <v>0.34983161246149902</v>
      </c>
      <c r="I2231">
        <v>-3.1511405153508201</v>
      </c>
      <c r="J2231">
        <v>1.62634227341587E-3</v>
      </c>
      <c r="K2231">
        <v>9.7573249925232697E-3</v>
      </c>
      <c r="L2231" t="s">
        <v>26</v>
      </c>
      <c r="M2231" t="s">
        <v>27</v>
      </c>
      <c r="N2231">
        <v>1623.36636287858</v>
      </c>
      <c r="O2231">
        <v>2562.6301708751398</v>
      </c>
      <c r="P2231">
        <v>918.91850688115096</v>
      </c>
      <c r="Q2231">
        <v>1775.61142921226</v>
      </c>
      <c r="R2231">
        <v>4523.3733848416696</v>
      </c>
      <c r="S2231">
        <v>1388.9056985714999</v>
      </c>
      <c r="T2231">
        <v>829.51480352020894</v>
      </c>
      <c r="U2231">
        <v>1014.95569754974</v>
      </c>
      <c r="V2231">
        <v>874.69215879834996</v>
      </c>
      <c r="W2231">
        <v>956.51136765630395</v>
      </c>
    </row>
    <row r="2232" spans="1:23" x14ac:dyDescent="0.2">
      <c r="A2232" t="s">
        <v>4470</v>
      </c>
      <c r="B2232" s="3" t="str">
        <f>HYPERLINK("http://www.ncbi.nlm.nih.gov/gene/22084","Tsc2")</f>
        <v>Tsc2</v>
      </c>
      <c r="C2232">
        <v>22084</v>
      </c>
      <c r="D2232" t="s">
        <v>4471</v>
      </c>
      <c r="E2232" s="3" t="str">
        <f>HYPERLINK("http://genome.ucsc.edu/cgi-bin/hgTracks?db=mm10&amp;lastVirtModeType=default&amp;lastVirtModeExtraState=&amp;virtModeType=default&amp;virtMode=0&amp;nonVirtPosition=&amp;position=chr17:24595815-24632627","chr17:24595815-24632627")</f>
        <v>chr17:24595815-24632627</v>
      </c>
      <c r="F2232" t="s">
        <v>25</v>
      </c>
      <c r="G2232">
        <v>0.36005105307407198</v>
      </c>
      <c r="H2232">
        <v>0.114289741639596</v>
      </c>
      <c r="I2232">
        <v>3.1503356986269799</v>
      </c>
      <c r="J2232">
        <v>1.63082955983529E-3</v>
      </c>
      <c r="K2232">
        <v>9.7798650406423493E-3</v>
      </c>
      <c r="L2232" t="s">
        <v>26</v>
      </c>
      <c r="M2232" t="s">
        <v>27</v>
      </c>
      <c r="N2232">
        <v>607.49764967123099</v>
      </c>
      <c r="O2232">
        <v>522.397868553992</v>
      </c>
      <c r="P2232">
        <v>671.32248550915995</v>
      </c>
      <c r="Q2232">
        <v>496.65895103710699</v>
      </c>
      <c r="R2232">
        <v>493.03139098634801</v>
      </c>
      <c r="S2232">
        <v>577.50326363852196</v>
      </c>
      <c r="T2232">
        <v>618.69888660347101</v>
      </c>
      <c r="U2232">
        <v>736.59232058462396</v>
      </c>
      <c r="V2232">
        <v>671.651758606302</v>
      </c>
      <c r="W2232">
        <v>658.34697624224395</v>
      </c>
    </row>
    <row r="2233" spans="1:23" x14ac:dyDescent="0.2">
      <c r="A2233" t="s">
        <v>4472</v>
      </c>
      <c r="B2233" s="3" t="str">
        <f>HYPERLINK("http://www.ncbi.nlm.nih.gov/gene/319476","Lrtm1")</f>
        <v>Lrtm1</v>
      </c>
      <c r="C2233">
        <v>319476</v>
      </c>
      <c r="D2233" t="s">
        <v>4473</v>
      </c>
      <c r="E2233" s="3" t="str">
        <f>HYPERLINK("http://genome.ucsc.edu/cgi-bin/hgTracks?db=mm10&amp;lastVirtModeType=default&amp;lastVirtModeExtraState=&amp;virtModeType=default&amp;virtMode=0&amp;nonVirtPosition=&amp;position=chr14:29018207-29033642","chr14:29018207-29033642")</f>
        <v>chr14:29018207-29033642</v>
      </c>
      <c r="F2233" t="s">
        <v>30</v>
      </c>
      <c r="G2233">
        <v>1.0904545263503</v>
      </c>
      <c r="H2233">
        <v>0.34619447817607701</v>
      </c>
      <c r="I2233">
        <v>3.1498322333023601</v>
      </c>
      <c r="J2233">
        <v>1.63364244044534E-3</v>
      </c>
      <c r="K2233">
        <v>9.7923482184438301E-3</v>
      </c>
      <c r="L2233" t="s">
        <v>26</v>
      </c>
      <c r="M2233" t="s">
        <v>27</v>
      </c>
      <c r="N2233">
        <v>19.422242271239899</v>
      </c>
      <c r="O2233">
        <v>9.7257302665354608</v>
      </c>
      <c r="P2233">
        <v>26.694626274768101</v>
      </c>
      <c r="Q2233">
        <v>11.692643466120201</v>
      </c>
      <c r="R2233">
        <v>10.2398827358703</v>
      </c>
      <c r="S2233">
        <v>7.2446645976158699</v>
      </c>
      <c r="T2233">
        <v>36.663637724650101</v>
      </c>
      <c r="U2233">
        <v>8.5650269835421398</v>
      </c>
      <c r="V2233">
        <v>35.311373946442998</v>
      </c>
      <c r="W2233">
        <v>26.2384664444373</v>
      </c>
    </row>
    <row r="2234" spans="1:23" x14ac:dyDescent="0.2">
      <c r="A2234" t="s">
        <v>4474</v>
      </c>
      <c r="B2234" s="3" t="str">
        <f>HYPERLINK("http://www.ncbi.nlm.nih.gov/gene/67864","Yipf4")</f>
        <v>Yipf4</v>
      </c>
      <c r="C2234">
        <v>67864</v>
      </c>
      <c r="D2234" t="s">
        <v>4475</v>
      </c>
      <c r="E2234" s="3" t="str">
        <f>HYPERLINK("http://genome.ucsc.edu/cgi-bin/hgTracks?db=mm10&amp;lastVirtModeType=default&amp;lastVirtModeExtraState=&amp;virtModeType=default&amp;virtMode=0&amp;nonVirtPosition=&amp;position=chr17:74489492-74500277","chr17:74489492-74500277")</f>
        <v>chr17:74489492-74500277</v>
      </c>
      <c r="F2234" t="s">
        <v>30</v>
      </c>
      <c r="G2234">
        <v>-0.557972804300915</v>
      </c>
      <c r="H2234">
        <v>0.17715258098786699</v>
      </c>
      <c r="I2234">
        <v>-3.1496735818888899</v>
      </c>
      <c r="J2234">
        <v>1.6345297568869501E-3</v>
      </c>
      <c r="K2234">
        <v>9.7932832100550895E-3</v>
      </c>
      <c r="L2234" t="s">
        <v>26</v>
      </c>
      <c r="M2234" t="s">
        <v>27</v>
      </c>
      <c r="N2234">
        <v>121.896641080671</v>
      </c>
      <c r="O2234">
        <v>152.955699529637</v>
      </c>
      <c r="P2234">
        <v>98.602347243947094</v>
      </c>
      <c r="Q2234">
        <v>150.890779967551</v>
      </c>
      <c r="R2234">
        <v>157.39079019948801</v>
      </c>
      <c r="S2234">
        <v>150.58552842187299</v>
      </c>
      <c r="T2234">
        <v>64.161366018137699</v>
      </c>
      <c r="U2234">
        <v>132.75791824490301</v>
      </c>
      <c r="V2234">
        <v>104.462814591561</v>
      </c>
      <c r="W2234">
        <v>93.027290121186695</v>
      </c>
    </row>
    <row r="2235" spans="1:23" x14ac:dyDescent="0.2">
      <c r="A2235" t="s">
        <v>4476</v>
      </c>
      <c r="B2235" s="3" t="str">
        <f>HYPERLINK("http://www.ncbi.nlm.nih.gov/gene/68929","Mospd3")</f>
        <v>Mospd3</v>
      </c>
      <c r="C2235">
        <v>68929</v>
      </c>
      <c r="D2235" t="s">
        <v>4477</v>
      </c>
      <c r="E2235" s="3" t="str">
        <f>HYPERLINK("http://genome.ucsc.edu/cgi-bin/hgTracks?db=mm10&amp;lastVirtModeType=default&amp;lastVirtModeExtraState=&amp;virtModeType=default&amp;virtMode=0&amp;nonVirtPosition=&amp;position=chr5:137596646-137601059","chr5:137596646-137601059")</f>
        <v>chr5:137596646-137601059</v>
      </c>
      <c r="F2235" t="s">
        <v>25</v>
      </c>
      <c r="G2235">
        <v>0.93594934364789195</v>
      </c>
      <c r="H2235">
        <v>0.29720559198382901</v>
      </c>
      <c r="I2235">
        <v>3.1491646486208</v>
      </c>
      <c r="J2235">
        <v>1.63737914782599E-3</v>
      </c>
      <c r="K2235">
        <v>9.8059678750168893E-3</v>
      </c>
      <c r="L2235" t="s">
        <v>26</v>
      </c>
      <c r="M2235" t="s">
        <v>27</v>
      </c>
      <c r="N2235">
        <v>55.574411420295299</v>
      </c>
      <c r="O2235">
        <v>32.7366796544379</v>
      </c>
      <c r="P2235">
        <v>72.702710244688305</v>
      </c>
      <c r="Q2235">
        <v>28.396419846292002</v>
      </c>
      <c r="R2235">
        <v>18.583490891023899</v>
      </c>
      <c r="S2235">
        <v>51.230128225997902</v>
      </c>
      <c r="T2235">
        <v>82.493184880462707</v>
      </c>
      <c r="U2235">
        <v>89.932783327192496</v>
      </c>
      <c r="V2235">
        <v>55.174021791317301</v>
      </c>
      <c r="W2235">
        <v>63.210850979780702</v>
      </c>
    </row>
    <row r="2236" spans="1:23" x14ac:dyDescent="0.2">
      <c r="A2236" t="s">
        <v>4478</v>
      </c>
      <c r="B2236" s="3" t="str">
        <f>HYPERLINK("http://www.ncbi.nlm.nih.gov/gene/68166","Spire1")</f>
        <v>Spire1</v>
      </c>
      <c r="C2236">
        <v>68166</v>
      </c>
      <c r="D2236" t="s">
        <v>4479</v>
      </c>
      <c r="E2236" s="3" t="str">
        <f>HYPERLINK("http://genome.ucsc.edu/cgi-bin/hgTracks?db=mm10&amp;lastVirtModeType=default&amp;lastVirtModeExtraState=&amp;virtModeType=default&amp;virtMode=0&amp;nonVirtPosition=&amp;position=chr18:67488208-67549173","chr18:67488208-67549173")</f>
        <v>chr18:67488208-67549173</v>
      </c>
      <c r="F2236" t="s">
        <v>25</v>
      </c>
      <c r="G2236">
        <v>-0.37482719410519399</v>
      </c>
      <c r="H2236">
        <v>0.11903382402254201</v>
      </c>
      <c r="I2236">
        <v>-3.14891332092474</v>
      </c>
      <c r="J2236">
        <v>1.6387879545578701E-3</v>
      </c>
      <c r="K2236">
        <v>9.8100176573466692E-3</v>
      </c>
      <c r="L2236" t="s">
        <v>26</v>
      </c>
      <c r="M2236" t="s">
        <v>27</v>
      </c>
      <c r="N2236">
        <v>900.17177986935997</v>
      </c>
      <c r="O2236">
        <v>1039.9437172196201</v>
      </c>
      <c r="P2236">
        <v>795.34282685666199</v>
      </c>
      <c r="Q2236">
        <v>1185.96812299219</v>
      </c>
      <c r="R2236">
        <v>1000.85372370229</v>
      </c>
      <c r="S2236">
        <v>933.00930496438605</v>
      </c>
      <c r="T2236">
        <v>769.93639221765204</v>
      </c>
      <c r="U2236">
        <v>817.96007692827402</v>
      </c>
      <c r="V2236">
        <v>825.40336599810598</v>
      </c>
      <c r="W2236">
        <v>768.07147228261795</v>
      </c>
    </row>
    <row r="2237" spans="1:23" x14ac:dyDescent="0.2">
      <c r="A2237" t="s">
        <v>4480</v>
      </c>
      <c r="B2237" s="3" t="str">
        <f>HYPERLINK("http://www.ncbi.nlm.nih.gov/gene/11987","Slc7a1")</f>
        <v>Slc7a1</v>
      </c>
      <c r="C2237">
        <v>11987</v>
      </c>
      <c r="D2237" t="s">
        <v>4481</v>
      </c>
      <c r="E2237" s="3" t="str">
        <f>HYPERLINK("http://genome.ucsc.edu/cgi-bin/hgTracks?db=mm10&amp;lastVirtModeType=default&amp;lastVirtModeExtraState=&amp;virtModeType=default&amp;virtMode=0&amp;nonVirtPosition=&amp;position=chr5:148327409-148399904","chr5:148327409-148399904")</f>
        <v>chr5:148327409-148399904</v>
      </c>
      <c r="F2237" t="s">
        <v>25</v>
      </c>
      <c r="G2237">
        <v>0.47276012546016899</v>
      </c>
      <c r="H2237">
        <v>0.15014457647785101</v>
      </c>
      <c r="I2237">
        <v>3.1486993173536901</v>
      </c>
      <c r="J2237">
        <v>1.6399884216789899E-3</v>
      </c>
      <c r="K2237">
        <v>9.8128172273026903E-3</v>
      </c>
      <c r="L2237" t="s">
        <v>26</v>
      </c>
      <c r="M2237" t="s">
        <v>27</v>
      </c>
      <c r="N2237">
        <v>859.55332047335605</v>
      </c>
      <c r="O2237">
        <v>697.81041173865901</v>
      </c>
      <c r="P2237">
        <v>980.86050202438003</v>
      </c>
      <c r="Q2237">
        <v>641.42501299859498</v>
      </c>
      <c r="R2237">
        <v>627.66688621723495</v>
      </c>
      <c r="S2237">
        <v>824.33933600014802</v>
      </c>
      <c r="T2237">
        <v>930.33980726299603</v>
      </c>
      <c r="U2237">
        <v>1181.97372372882</v>
      </c>
      <c r="V2237">
        <v>960.76363279280497</v>
      </c>
      <c r="W2237">
        <v>850.36484431289898</v>
      </c>
    </row>
    <row r="2238" spans="1:23" x14ac:dyDescent="0.2">
      <c r="A2238" t="s">
        <v>4482</v>
      </c>
      <c r="B2238" s="3" t="str">
        <f>HYPERLINK("http://www.ncbi.nlm.nih.gov/gene/83965","Enpp5")</f>
        <v>Enpp5</v>
      </c>
      <c r="C2238">
        <v>83965</v>
      </c>
      <c r="D2238" t="s">
        <v>4483</v>
      </c>
      <c r="E2238" s="3" t="str">
        <f>HYPERLINK("http://genome.ucsc.edu/cgi-bin/hgTracks?db=mm10&amp;lastVirtModeType=default&amp;lastVirtModeExtraState=&amp;virtModeType=default&amp;virtMode=0&amp;nonVirtPosition=&amp;position=chr17:44078801-44086561","chr17:44078801-44086561")</f>
        <v>chr17:44078801-44086561</v>
      </c>
      <c r="F2238" t="s">
        <v>30</v>
      </c>
      <c r="G2238">
        <v>-0.70901897338280395</v>
      </c>
      <c r="H2238">
        <v>0.22520150701987199</v>
      </c>
      <c r="I2238">
        <v>-3.1483757935964398</v>
      </c>
      <c r="J2238">
        <v>1.64180478598034E-3</v>
      </c>
      <c r="K2238">
        <v>9.8192978513008799E-3</v>
      </c>
      <c r="L2238" t="s">
        <v>26</v>
      </c>
      <c r="M2238" t="s">
        <v>27</v>
      </c>
      <c r="N2238">
        <v>275.08719731359201</v>
      </c>
      <c r="O2238">
        <v>362.98233204636699</v>
      </c>
      <c r="P2238">
        <v>209.16584626401001</v>
      </c>
      <c r="Q2238">
        <v>477.728004472912</v>
      </c>
      <c r="R2238">
        <v>384.56448496935099</v>
      </c>
      <c r="S2238">
        <v>226.65450669683901</v>
      </c>
      <c r="T2238">
        <v>178.735233907669</v>
      </c>
      <c r="U2238">
        <v>175.58305316261399</v>
      </c>
      <c r="V2238">
        <v>219.96043354138499</v>
      </c>
      <c r="W2238">
        <v>262.38466444437302</v>
      </c>
    </row>
    <row r="2239" spans="1:23" x14ac:dyDescent="0.2">
      <c r="A2239" t="s">
        <v>4484</v>
      </c>
      <c r="B2239" s="3" t="str">
        <f>HYPERLINK("http://www.ncbi.nlm.nih.gov/gene/81004","Tbl1xr1")</f>
        <v>Tbl1xr1</v>
      </c>
      <c r="C2239">
        <v>81004</v>
      </c>
      <c r="D2239" t="s">
        <v>4485</v>
      </c>
      <c r="E2239" s="3" t="str">
        <f>HYPERLINK("http://genome.ucsc.edu/cgi-bin/hgTracks?db=mm10&amp;lastVirtModeType=default&amp;lastVirtModeExtraState=&amp;virtModeType=default&amp;virtMode=0&amp;nonVirtPosition=&amp;position=chr3:22076651-22216594","chr3:22076651-22216594")</f>
        <v>chr3:22076651-22216594</v>
      </c>
      <c r="F2239" t="s">
        <v>30</v>
      </c>
      <c r="G2239">
        <v>-0.345978553835602</v>
      </c>
      <c r="H2239">
        <v>0.109923205019567</v>
      </c>
      <c r="I2239">
        <v>-3.1474569339023102</v>
      </c>
      <c r="J2239">
        <v>1.6469736538436001E-3</v>
      </c>
      <c r="K2239">
        <v>9.8458143743837493E-3</v>
      </c>
      <c r="L2239" t="s">
        <v>26</v>
      </c>
      <c r="M2239" t="s">
        <v>27</v>
      </c>
      <c r="N2239">
        <v>896.91114796308796</v>
      </c>
      <c r="O2239">
        <v>1023.79699314681</v>
      </c>
      <c r="P2239">
        <v>801.74676407529796</v>
      </c>
      <c r="Q2239">
        <v>1091.8701827172299</v>
      </c>
      <c r="R2239">
        <v>973.54736973996603</v>
      </c>
      <c r="S2239">
        <v>1005.97342698323</v>
      </c>
      <c r="T2239">
        <v>847.84662238253395</v>
      </c>
      <c r="U2239">
        <v>702.33221265045597</v>
      </c>
      <c r="V2239">
        <v>838.64513122802202</v>
      </c>
      <c r="W2239">
        <v>818.16309004018001</v>
      </c>
    </row>
    <row r="2240" spans="1:23" x14ac:dyDescent="0.2">
      <c r="A2240" t="s">
        <v>4486</v>
      </c>
      <c r="B2240" s="3" t="str">
        <f>HYPERLINK("http://www.ncbi.nlm.nih.gov/gene/75424","Zfp820")</f>
        <v>Zfp820</v>
      </c>
      <c r="C2240">
        <v>75424</v>
      </c>
      <c r="D2240" t="s">
        <v>4487</v>
      </c>
      <c r="E2240" s="3" t="str">
        <f>HYPERLINK("http://genome.ucsc.edu/cgi-bin/hgTracks?db=mm10&amp;lastVirtModeType=default&amp;lastVirtModeExtraState=&amp;virtModeType=default&amp;virtMode=0&amp;nonVirtPosition=&amp;position=chr17:21816875-21845759","chr17:21816875-21845759")</f>
        <v>chr17:21816875-21845759</v>
      </c>
      <c r="F2240" t="s">
        <v>25</v>
      </c>
      <c r="G2240">
        <v>1.1405221354157999</v>
      </c>
      <c r="H2240">
        <v>0.36243638712215698</v>
      </c>
      <c r="I2240">
        <v>3.1468201757330601</v>
      </c>
      <c r="J2240">
        <v>1.65056439344922E-3</v>
      </c>
      <c r="K2240">
        <v>9.8628771944125199E-3</v>
      </c>
      <c r="L2240" t="s">
        <v>26</v>
      </c>
      <c r="M2240" t="s">
        <v>27</v>
      </c>
      <c r="N2240">
        <v>13.527003015577201</v>
      </c>
      <c r="O2240">
        <v>5.9717689425708</v>
      </c>
      <c r="P2240">
        <v>19.193428570331999</v>
      </c>
      <c r="Q2240">
        <v>9.4654732820973209</v>
      </c>
      <c r="R2240">
        <v>3.7925491614334499</v>
      </c>
      <c r="S2240">
        <v>4.6572843841816303</v>
      </c>
      <c r="T2240">
        <v>27.497728293487601</v>
      </c>
      <c r="U2240">
        <v>17.130053967084301</v>
      </c>
      <c r="V2240">
        <v>15.4487261015688</v>
      </c>
      <c r="W2240">
        <v>16.6972059191874</v>
      </c>
    </row>
    <row r="2241" spans="1:23" x14ac:dyDescent="0.2">
      <c r="A2241" t="s">
        <v>4488</v>
      </c>
      <c r="B2241" s="3" t="str">
        <f>HYPERLINK("http://www.ncbi.nlm.nih.gov/gene/22601","Yap1")</f>
        <v>Yap1</v>
      </c>
      <c r="C2241">
        <v>22601</v>
      </c>
      <c r="D2241" t="s">
        <v>4489</v>
      </c>
      <c r="E2241" s="3" t="str">
        <f>HYPERLINK("http://genome.ucsc.edu/cgi-bin/hgTracks?db=mm10&amp;lastVirtModeType=default&amp;lastVirtModeExtraState=&amp;virtModeType=default&amp;virtMode=0&amp;nonVirtPosition=&amp;position=chr9:7932000-8004596","chr9:7932000-8004596")</f>
        <v>chr9:7932000-8004596</v>
      </c>
      <c r="F2241" t="s">
        <v>25</v>
      </c>
      <c r="G2241">
        <v>0.77377146842343303</v>
      </c>
      <c r="H2241">
        <v>0.24594053923603601</v>
      </c>
      <c r="I2241">
        <v>3.14617293605599</v>
      </c>
      <c r="J2241">
        <v>1.6542216203548499E-3</v>
      </c>
      <c r="K2241">
        <v>9.8803219081944095E-3</v>
      </c>
      <c r="L2241" t="s">
        <v>26</v>
      </c>
      <c r="M2241" t="s">
        <v>27</v>
      </c>
      <c r="N2241">
        <v>108.823142714935</v>
      </c>
      <c r="O2241">
        <v>74.625996198775397</v>
      </c>
      <c r="P2241">
        <v>134.471002602054</v>
      </c>
      <c r="Q2241">
        <v>109.688131563128</v>
      </c>
      <c r="R2241">
        <v>57.267492337645002</v>
      </c>
      <c r="S2241">
        <v>56.922364695553199</v>
      </c>
      <c r="T2241">
        <v>137.48864146743799</v>
      </c>
      <c r="U2241">
        <v>98.497810310734593</v>
      </c>
      <c r="V2241">
        <v>145.65941752907801</v>
      </c>
      <c r="W2241">
        <v>156.238141100967</v>
      </c>
    </row>
    <row r="2242" spans="1:23" x14ac:dyDescent="0.2">
      <c r="A2242" t="s">
        <v>4490</v>
      </c>
      <c r="B2242" s="3" t="str">
        <f>HYPERLINK("http://www.ncbi.nlm.nih.gov/gene/78757","Rictor")</f>
        <v>Rictor</v>
      </c>
      <c r="C2242">
        <v>78757</v>
      </c>
      <c r="D2242" t="s">
        <v>4491</v>
      </c>
      <c r="E2242" s="3" t="str">
        <f>HYPERLINK("http://genome.ucsc.edu/cgi-bin/hgTracks?db=mm10&amp;lastVirtModeType=default&amp;lastVirtModeExtraState=&amp;virtModeType=default&amp;virtMode=0&amp;nonVirtPosition=&amp;position=chr15:6708380-6800400","chr15:6708380-6800400")</f>
        <v>chr15:6708380-6800400</v>
      </c>
      <c r="F2242" t="s">
        <v>30</v>
      </c>
      <c r="G2242">
        <v>0.48711361408995801</v>
      </c>
      <c r="H2242">
        <v>0.15486876317522699</v>
      </c>
      <c r="I2242">
        <v>3.1453315962678099</v>
      </c>
      <c r="J2242">
        <v>1.6589867553002001E-3</v>
      </c>
      <c r="K2242">
        <v>9.9043654214110502E-3</v>
      </c>
      <c r="L2242" t="s">
        <v>26</v>
      </c>
      <c r="M2242" t="s">
        <v>27</v>
      </c>
      <c r="N2242">
        <v>627.10129215996199</v>
      </c>
      <c r="O2242">
        <v>507.31122176458399</v>
      </c>
      <c r="P2242">
        <v>716.94384495649604</v>
      </c>
      <c r="Q2242">
        <v>585.18896585201696</v>
      </c>
      <c r="R2242">
        <v>444.10750680385701</v>
      </c>
      <c r="S2242">
        <v>492.63719263787902</v>
      </c>
      <c r="T2242">
        <v>714.94093563067702</v>
      </c>
      <c r="U2242">
        <v>561.00926742201</v>
      </c>
      <c r="V2242">
        <v>826.139019621991</v>
      </c>
      <c r="W2242">
        <v>765.68615715130602</v>
      </c>
    </row>
    <row r="2243" spans="1:23" x14ac:dyDescent="0.2">
      <c r="A2243" t="s">
        <v>4492</v>
      </c>
      <c r="B2243" s="3" t="str">
        <f>HYPERLINK("http://www.ncbi.nlm.nih.gov/gene/231830","Micall2")</f>
        <v>Micall2</v>
      </c>
      <c r="C2243">
        <v>231830</v>
      </c>
      <c r="D2243" t="s">
        <v>4493</v>
      </c>
      <c r="E2243" s="3" t="str">
        <f>HYPERLINK("http://genome.ucsc.edu/cgi-bin/hgTracks?db=mm10&amp;lastVirtModeType=default&amp;lastVirtModeExtraState=&amp;virtModeType=default&amp;virtMode=0&amp;nonVirtPosition=&amp;position=chr5:139706692-139736333","chr5:139706692-139736333")</f>
        <v>chr5:139706692-139736333</v>
      </c>
      <c r="F2243" t="s">
        <v>25</v>
      </c>
      <c r="G2243">
        <v>0.95603186578476596</v>
      </c>
      <c r="H2243">
        <v>0.304057808433636</v>
      </c>
      <c r="I2243">
        <v>3.1442437565073398</v>
      </c>
      <c r="J2243">
        <v>1.6651667255561001E-3</v>
      </c>
      <c r="K2243">
        <v>9.9368304910524494E-3</v>
      </c>
      <c r="L2243" t="s">
        <v>26</v>
      </c>
      <c r="M2243" t="s">
        <v>27</v>
      </c>
      <c r="N2243">
        <v>75.708404186764795</v>
      </c>
      <c r="O2243">
        <v>46.136346404303303</v>
      </c>
      <c r="P2243">
        <v>97.887447523610902</v>
      </c>
      <c r="Q2243">
        <v>50.111329140515302</v>
      </c>
      <c r="R2243">
        <v>30.340393291467599</v>
      </c>
      <c r="S2243">
        <v>57.957316780926902</v>
      </c>
      <c r="T2243">
        <v>41.246592440231403</v>
      </c>
      <c r="U2243">
        <v>77.0852428518793</v>
      </c>
      <c r="V2243">
        <v>161.108143630646</v>
      </c>
      <c r="W2243">
        <v>112.109811171687</v>
      </c>
    </row>
    <row r="2244" spans="1:23" x14ac:dyDescent="0.2">
      <c r="A2244" t="s">
        <v>4494</v>
      </c>
      <c r="B2244" s="3" t="str">
        <f>HYPERLINK("http://www.ncbi.nlm.nih.gov/gene/21969","Top1")</f>
        <v>Top1</v>
      </c>
      <c r="C2244">
        <v>21969</v>
      </c>
      <c r="D2244" t="s">
        <v>4495</v>
      </c>
      <c r="E2244" s="3" t="str">
        <f>HYPERLINK("http://genome.ucsc.edu/cgi-bin/hgTracks?db=mm10&amp;lastVirtModeType=default&amp;lastVirtModeExtraState=&amp;virtModeType=default&amp;virtMode=0&amp;nonVirtPosition=&amp;position=chr2:160645896-160722763","chr2:160645896-160722763")</f>
        <v>chr2:160645896-160722763</v>
      </c>
      <c r="F2244" t="s">
        <v>30</v>
      </c>
      <c r="G2244">
        <v>-0.31678047931323799</v>
      </c>
      <c r="H2244">
        <v>0.100767097884608</v>
      </c>
      <c r="I2244">
        <v>-3.14368961658491</v>
      </c>
      <c r="J2244">
        <v>1.6683229064550799E-3</v>
      </c>
      <c r="K2244">
        <v>9.9512303075011098E-3</v>
      </c>
      <c r="L2244" t="s">
        <v>26</v>
      </c>
      <c r="M2244" t="s">
        <v>27</v>
      </c>
      <c r="N2244">
        <v>745.65855758579005</v>
      </c>
      <c r="O2244">
        <v>845.05918044841098</v>
      </c>
      <c r="P2244">
        <v>671.10809043882398</v>
      </c>
      <c r="Q2244">
        <v>884.74335560309703</v>
      </c>
      <c r="R2244">
        <v>811.60552054675702</v>
      </c>
      <c r="S2244">
        <v>838.82866519538004</v>
      </c>
      <c r="T2244">
        <v>646.19661489695795</v>
      </c>
      <c r="U2244">
        <v>635.95325352800398</v>
      </c>
      <c r="V2244">
        <v>706.96313255274504</v>
      </c>
      <c r="W2244">
        <v>695.31936077758803</v>
      </c>
    </row>
    <row r="2245" spans="1:23" x14ac:dyDescent="0.2">
      <c r="A2245" t="s">
        <v>4496</v>
      </c>
      <c r="B2245" s="3" t="str">
        <f>HYPERLINK("http://www.ncbi.nlm.nih.gov/gene/15959","Ifit3")</f>
        <v>Ifit3</v>
      </c>
      <c r="C2245">
        <v>15959</v>
      </c>
      <c r="D2245" t="s">
        <v>4497</v>
      </c>
      <c r="E2245" s="3" t="str">
        <f>HYPERLINK("http://genome.ucsc.edu/cgi-bin/hgTracks?db=mm10&amp;lastVirtModeType=default&amp;lastVirtModeExtraState=&amp;virtModeType=default&amp;virtMode=0&amp;nonVirtPosition=&amp;position=chr19:34583528-34588982","chr19:34583528-34588982")</f>
        <v>chr19:34583528-34588982</v>
      </c>
      <c r="F2245" t="s">
        <v>30</v>
      </c>
      <c r="G2245">
        <v>-0.99046516283483199</v>
      </c>
      <c r="H2245">
        <v>0.31510172561595301</v>
      </c>
      <c r="I2245">
        <v>-3.1433187517418202</v>
      </c>
      <c r="J2245">
        <v>1.6704382920541101E-3</v>
      </c>
      <c r="K2245">
        <v>9.9594119184757898E-3</v>
      </c>
      <c r="L2245" t="s">
        <v>26</v>
      </c>
      <c r="M2245" t="s">
        <v>27</v>
      </c>
      <c r="N2245">
        <v>85.711320332847393</v>
      </c>
      <c r="O2245">
        <v>126.244864647005</v>
      </c>
      <c r="P2245">
        <v>55.3111620972292</v>
      </c>
      <c r="Q2245">
        <v>198.77493892404399</v>
      </c>
      <c r="R2245">
        <v>88.366395461399307</v>
      </c>
      <c r="S2245">
        <v>91.593259555572004</v>
      </c>
      <c r="T2245">
        <v>77.910230164881497</v>
      </c>
      <c r="U2245">
        <v>27.836337696512</v>
      </c>
      <c r="V2245">
        <v>36.782681194211499</v>
      </c>
      <c r="W2245">
        <v>78.715399333311794</v>
      </c>
    </row>
    <row r="2246" spans="1:23" x14ac:dyDescent="0.2">
      <c r="A2246" t="s">
        <v>4498</v>
      </c>
      <c r="B2246" s="3" t="str">
        <f>HYPERLINK("http://www.ncbi.nlm.nih.gov/gene/18457","Bloc1s6")</f>
        <v>Bloc1s6</v>
      </c>
      <c r="C2246">
        <v>18457</v>
      </c>
      <c r="D2246" t="s">
        <v>4499</v>
      </c>
      <c r="E2246" s="3" t="str">
        <f>HYPERLINK("http://genome.ucsc.edu/cgi-bin/hgTracks?db=mm10&amp;lastVirtModeType=default&amp;lastVirtModeExtraState=&amp;virtModeType=default&amp;virtMode=0&amp;nonVirtPosition=&amp;position=chr2:122738504-122749487","chr2:122738504-122749487")</f>
        <v>chr2:122738504-122749487</v>
      </c>
      <c r="F2246" t="s">
        <v>30</v>
      </c>
      <c r="G2246">
        <v>-0.70141649138148499</v>
      </c>
      <c r="H2246">
        <v>0.22317491476597801</v>
      </c>
      <c r="I2246">
        <v>-3.1429002319413502</v>
      </c>
      <c r="J2246">
        <v>1.67282846153293E-3</v>
      </c>
      <c r="K2246">
        <v>9.9692238221572808E-3</v>
      </c>
      <c r="L2246" t="s">
        <v>26</v>
      </c>
      <c r="M2246" t="s">
        <v>27</v>
      </c>
      <c r="N2246">
        <v>96.474925568216094</v>
      </c>
      <c r="O2246">
        <v>124.978542908344</v>
      </c>
      <c r="P2246">
        <v>75.097212563120394</v>
      </c>
      <c r="Q2246">
        <v>125.835115397294</v>
      </c>
      <c r="R2246">
        <v>135.773259979317</v>
      </c>
      <c r="S2246">
        <v>113.32725334842</v>
      </c>
      <c r="T2246">
        <v>105.407958458369</v>
      </c>
      <c r="U2246">
        <v>38.5426214259396</v>
      </c>
      <c r="V2246">
        <v>86.071473994454905</v>
      </c>
      <c r="W2246">
        <v>70.366796373718103</v>
      </c>
    </row>
    <row r="2247" spans="1:23" x14ac:dyDescent="0.2">
      <c r="A2247" t="s">
        <v>4500</v>
      </c>
      <c r="B2247" s="3" t="str">
        <f>HYPERLINK("http://www.ncbi.nlm.nih.gov/gene/66812","Ppcdc")</f>
        <v>Ppcdc</v>
      </c>
      <c r="C2247">
        <v>66812</v>
      </c>
      <c r="D2247" t="s">
        <v>4501</v>
      </c>
      <c r="E2247" s="3" t="str">
        <f>HYPERLINK("http://genome.ucsc.edu/cgi-bin/hgTracks?db=mm10&amp;lastVirtModeType=default&amp;lastVirtModeExtraState=&amp;virtModeType=default&amp;virtMode=0&amp;nonVirtPosition=&amp;position=chr9:57412659-57440114","chr9:57412659-57440114")</f>
        <v>chr9:57412659-57440114</v>
      </c>
      <c r="F2247" t="s">
        <v>25</v>
      </c>
      <c r="G2247">
        <v>0.64554399031825505</v>
      </c>
      <c r="H2247">
        <v>0.205423752458437</v>
      </c>
      <c r="I2247">
        <v>3.1424992611254501</v>
      </c>
      <c r="J2247">
        <v>1.6751213594986701E-3</v>
      </c>
      <c r="K2247">
        <v>9.9768012205145203E-3</v>
      </c>
      <c r="L2247" t="s">
        <v>26</v>
      </c>
      <c r="M2247" t="s">
        <v>27</v>
      </c>
      <c r="N2247">
        <v>65.136597996666296</v>
      </c>
      <c r="O2247">
        <v>48.090662619172399</v>
      </c>
      <c r="P2247">
        <v>77.9210495297867</v>
      </c>
      <c r="Q2247">
        <v>50.668121686520998</v>
      </c>
      <c r="R2247">
        <v>41.338785859624601</v>
      </c>
      <c r="S2247">
        <v>52.265080311371598</v>
      </c>
      <c r="T2247">
        <v>73.327275449300203</v>
      </c>
      <c r="U2247">
        <v>89.932783327192496</v>
      </c>
      <c r="V2247">
        <v>72.094055140654604</v>
      </c>
      <c r="W2247">
        <v>76.330084201999398</v>
      </c>
    </row>
    <row r="2248" spans="1:23" x14ac:dyDescent="0.2">
      <c r="A2248" t="s">
        <v>4502</v>
      </c>
      <c r="B2248" s="3" t="str">
        <f>HYPERLINK("http://www.ncbi.nlm.nih.gov/gene/269513","Nkain3")</f>
        <v>Nkain3</v>
      </c>
      <c r="C2248">
        <v>269513</v>
      </c>
      <c r="D2248" t="s">
        <v>4503</v>
      </c>
      <c r="E2248" s="3" t="str">
        <f>HYPERLINK("http://genome.ucsc.edu/cgi-bin/hgTracks?db=mm10&amp;lastVirtModeType=default&amp;lastVirtModeExtraState=&amp;virtModeType=default&amp;virtMode=0&amp;nonVirtPosition=&amp;position=chr4:20243852-20778668","chr4:20243852-20778668")</f>
        <v>chr4:20243852-20778668</v>
      </c>
      <c r="F2248" t="s">
        <v>25</v>
      </c>
      <c r="G2248">
        <v>-0.70250625075059203</v>
      </c>
      <c r="H2248">
        <v>0.22355599808781099</v>
      </c>
      <c r="I2248">
        <v>-3.14241736638466</v>
      </c>
      <c r="J2248">
        <v>1.6755900190379501E-3</v>
      </c>
      <c r="K2248">
        <v>9.9768012205145203E-3</v>
      </c>
      <c r="L2248" t="s">
        <v>26</v>
      </c>
      <c r="M2248" t="s">
        <v>27</v>
      </c>
      <c r="N2248">
        <v>91.794030199329697</v>
      </c>
      <c r="O2248">
        <v>119.68344776108999</v>
      </c>
      <c r="P2248">
        <v>70.876967028009403</v>
      </c>
      <c r="Q2248">
        <v>145.87964705350001</v>
      </c>
      <c r="R2248">
        <v>106.57063143628</v>
      </c>
      <c r="S2248">
        <v>106.600064793491</v>
      </c>
      <c r="T2248">
        <v>59.578411302556397</v>
      </c>
      <c r="U2248">
        <v>102.780323802506</v>
      </c>
      <c r="V2248">
        <v>60.3235971585069</v>
      </c>
      <c r="W2248">
        <v>60.825535848468199</v>
      </c>
    </row>
    <row r="2249" spans="1:23" x14ac:dyDescent="0.2">
      <c r="A2249" t="s">
        <v>4504</v>
      </c>
      <c r="B2249" s="3" t="str">
        <f>HYPERLINK("http://www.ncbi.nlm.nih.gov/gene/192161","Pcdha9")</f>
        <v>Pcdha9</v>
      </c>
      <c r="C2249">
        <v>192161</v>
      </c>
      <c r="D2249" t="s">
        <v>4505</v>
      </c>
      <c r="E2249" s="3" t="str">
        <f>HYPERLINK("http://genome.ucsc.edu/cgi-bin/hgTracks?db=mm10&amp;lastVirtModeType=default&amp;lastVirtModeExtraState=&amp;virtModeType=default&amp;virtMode=0&amp;nonVirtPosition=&amp;position=chr18:36997879-37187657","chr18:36997879-37187657")</f>
        <v>chr18:36997879-37187657</v>
      </c>
      <c r="F2249" t="s">
        <v>30</v>
      </c>
      <c r="G2249">
        <v>0.99903367630673001</v>
      </c>
      <c r="H2249">
        <v>0.31799724724279599</v>
      </c>
      <c r="I2249">
        <v>3.14164252982967</v>
      </c>
      <c r="J2249">
        <v>1.6800301544856501E-3</v>
      </c>
      <c r="K2249">
        <v>9.9987927994299296E-3</v>
      </c>
      <c r="L2249" t="s">
        <v>26</v>
      </c>
      <c r="M2249" t="s">
        <v>27</v>
      </c>
      <c r="N2249">
        <v>29.0370104116686</v>
      </c>
      <c r="O2249">
        <v>16.715437753541899</v>
      </c>
      <c r="P2249">
        <v>38.278189905263702</v>
      </c>
      <c r="Q2249">
        <v>18.930946564194599</v>
      </c>
      <c r="R2249">
        <v>9.4813729035836207</v>
      </c>
      <c r="S2249">
        <v>21.733993792847599</v>
      </c>
      <c r="T2249">
        <v>22.914773577906299</v>
      </c>
      <c r="U2249">
        <v>57.8139321389095</v>
      </c>
      <c r="V2249">
        <v>38.989642065864203</v>
      </c>
      <c r="W2249">
        <v>33.394411838374701</v>
      </c>
    </row>
    <row r="2250" spans="1:23" x14ac:dyDescent="0.2">
      <c r="A2250" t="s">
        <v>4506</v>
      </c>
      <c r="B2250" s="3" t="str">
        <f>HYPERLINK("http://www.ncbi.nlm.nih.gov/gene/268721","Zswim8")</f>
        <v>Zswim8</v>
      </c>
      <c r="C2250">
        <v>268721</v>
      </c>
      <c r="D2250" t="s">
        <v>4507</v>
      </c>
      <c r="E2250" s="3" t="str">
        <f>HYPERLINK("http://genome.ucsc.edu/cgi-bin/hgTracks?db=mm10&amp;lastVirtModeType=default&amp;lastVirtModeExtraState=&amp;virtModeType=default&amp;virtMode=0&amp;nonVirtPosition=&amp;position=chr14:20707551-20723619","chr14:20707551-20723619")</f>
        <v>chr14:20707551-20723619</v>
      </c>
      <c r="F2250" t="s">
        <v>30</v>
      </c>
      <c r="G2250">
        <v>0.45590126659531099</v>
      </c>
      <c r="H2250">
        <v>0.145145967902128</v>
      </c>
      <c r="I2250">
        <v>3.1409847147991399</v>
      </c>
      <c r="J2250">
        <v>1.6838082005189599E-3</v>
      </c>
      <c r="K2250">
        <v>1.00168261275653E-2</v>
      </c>
      <c r="L2250" t="s">
        <v>26</v>
      </c>
      <c r="M2250" t="s">
        <v>27</v>
      </c>
      <c r="N2250">
        <v>772.96241165515596</v>
      </c>
      <c r="O2250">
        <v>634.46641647660897</v>
      </c>
      <c r="P2250">
        <v>876.83440803906694</v>
      </c>
      <c r="Q2250">
        <v>526.16895597540997</v>
      </c>
      <c r="R2250">
        <v>599.98127733877095</v>
      </c>
      <c r="S2250">
        <v>777.24901611564496</v>
      </c>
      <c r="T2250">
        <v>802.01707522672098</v>
      </c>
      <c r="U2250">
        <v>903.61034676369604</v>
      </c>
      <c r="V2250">
        <v>895.29046026710796</v>
      </c>
      <c r="W2250">
        <v>906.419749898742</v>
      </c>
    </row>
    <row r="2251" spans="1:23" x14ac:dyDescent="0.2">
      <c r="A2251" t="s">
        <v>4508</v>
      </c>
      <c r="B2251" s="3" t="str">
        <f>HYPERLINK("http://www.ncbi.nlm.nih.gov/gene/93747","Echs1")</f>
        <v>Echs1</v>
      </c>
      <c r="C2251">
        <v>93747</v>
      </c>
      <c r="D2251" t="s">
        <v>4509</v>
      </c>
      <c r="E2251" s="3" t="str">
        <f>HYPERLINK("http://genome.ucsc.edu/cgi-bin/hgTracks?db=mm10&amp;lastVirtModeType=default&amp;lastVirtModeExtraState=&amp;virtModeType=default&amp;virtMode=0&amp;nonVirtPosition=&amp;position=chr7:140105722-140116423","chr7:140105722-140116423")</f>
        <v>chr7:140105722-140116423</v>
      </c>
      <c r="F2251" t="s">
        <v>25</v>
      </c>
      <c r="G2251">
        <v>-0.48744069375188698</v>
      </c>
      <c r="H2251">
        <v>0.15528647059704601</v>
      </c>
      <c r="I2251">
        <v>-3.1389772198297301</v>
      </c>
      <c r="J2251">
        <v>1.6953862710493001E-3</v>
      </c>
      <c r="K2251">
        <v>1.0081224491838899E-2</v>
      </c>
      <c r="L2251" t="s">
        <v>26</v>
      </c>
      <c r="M2251" t="s">
        <v>27</v>
      </c>
      <c r="N2251">
        <v>165.76288452725501</v>
      </c>
      <c r="O2251">
        <v>202.43664375210301</v>
      </c>
      <c r="P2251">
        <v>138.257565108618</v>
      </c>
      <c r="Q2251">
        <v>193.76380600999201</v>
      </c>
      <c r="R2251">
        <v>207.07318421426601</v>
      </c>
      <c r="S2251">
        <v>206.47294103205201</v>
      </c>
      <c r="T2251">
        <v>123.739777320694</v>
      </c>
      <c r="U2251">
        <v>126.33414800724699</v>
      </c>
      <c r="V2251">
        <v>166.99337262172</v>
      </c>
      <c r="W2251">
        <v>135.96296248481099</v>
      </c>
    </row>
    <row r="2252" spans="1:23" x14ac:dyDescent="0.2">
      <c r="A2252" t="s">
        <v>4510</v>
      </c>
      <c r="B2252" s="3" t="str">
        <f>HYPERLINK("http://www.ncbi.nlm.nih.gov/gene/67886","Camsap2")</f>
        <v>Camsap2</v>
      </c>
      <c r="C2252">
        <v>67886</v>
      </c>
      <c r="D2252" t="s">
        <v>4511</v>
      </c>
      <c r="E2252" s="3" t="str">
        <f>HYPERLINK("http://genome.ucsc.edu/cgi-bin/hgTracks?db=mm10&amp;lastVirtModeType=default&amp;lastVirtModeExtraState=&amp;virtModeType=default&amp;virtMode=0&amp;nonVirtPosition=&amp;position=chr1:136268122-136346104","chr1:136268122-136346104")</f>
        <v>chr1:136268122-136346104</v>
      </c>
      <c r="F2252" t="s">
        <v>25</v>
      </c>
      <c r="G2252">
        <v>-0.41872409032191998</v>
      </c>
      <c r="H2252">
        <v>0.13341008631014101</v>
      </c>
      <c r="I2252">
        <v>-3.1386239369375901</v>
      </c>
      <c r="J2252">
        <v>1.6974313640960501E-3</v>
      </c>
      <c r="K2252">
        <v>1.0088905191571299E-2</v>
      </c>
      <c r="L2252" t="s">
        <v>26</v>
      </c>
      <c r="M2252" t="s">
        <v>27</v>
      </c>
      <c r="N2252">
        <v>1613.0736082578201</v>
      </c>
      <c r="O2252">
        <v>1897.2889204073799</v>
      </c>
      <c r="P2252">
        <v>1399.9121241456501</v>
      </c>
      <c r="Q2252">
        <v>1834.6314390888599</v>
      </c>
      <c r="R2252">
        <v>1719.5417897939201</v>
      </c>
      <c r="S2252">
        <v>2137.69353233937</v>
      </c>
      <c r="T2252">
        <v>1264.8955015004301</v>
      </c>
      <c r="U2252">
        <v>1250.4939395971501</v>
      </c>
      <c r="V2252">
        <v>1558.8500290106799</v>
      </c>
      <c r="W2252">
        <v>1525.4090264743299</v>
      </c>
    </row>
    <row r="2253" spans="1:23" x14ac:dyDescent="0.2">
      <c r="A2253" t="s">
        <v>4512</v>
      </c>
      <c r="B2253" s="3" t="str">
        <f>HYPERLINK("http://www.ncbi.nlm.nih.gov/gene/104444","Rexo2")</f>
        <v>Rexo2</v>
      </c>
      <c r="C2253">
        <v>104444</v>
      </c>
      <c r="D2253" t="s">
        <v>4513</v>
      </c>
      <c r="E2253" s="3" t="str">
        <f>HYPERLINK("http://genome.ucsc.edu/cgi-bin/hgTracks?db=mm10&amp;lastVirtModeType=default&amp;lastVirtModeExtraState=&amp;virtModeType=default&amp;virtMode=0&amp;nonVirtPosition=&amp;position=chr9:48468513-48480611","chr9:48468513-48480611")</f>
        <v>chr9:48468513-48480611</v>
      </c>
      <c r="F2253" t="s">
        <v>25</v>
      </c>
      <c r="G2253">
        <v>-0.47473108306550499</v>
      </c>
      <c r="H2253">
        <v>0.15127507914628599</v>
      </c>
      <c r="I2253">
        <v>-3.1381975520662602</v>
      </c>
      <c r="J2253">
        <v>1.6999026536623999E-3</v>
      </c>
      <c r="K2253">
        <v>1.00991111070067E-2</v>
      </c>
      <c r="L2253" t="s">
        <v>26</v>
      </c>
      <c r="M2253" t="s">
        <v>27</v>
      </c>
      <c r="N2253">
        <v>162.546621650334</v>
      </c>
      <c r="O2253">
        <v>194.13763877013301</v>
      </c>
      <c r="P2253">
        <v>138.85335881048499</v>
      </c>
      <c r="Q2253">
        <v>209.91078984415799</v>
      </c>
      <c r="R2253">
        <v>191.90298756853201</v>
      </c>
      <c r="S2253">
        <v>180.59913889770999</v>
      </c>
      <c r="T2253">
        <v>142.07159618301901</v>
      </c>
      <c r="U2253">
        <v>149.88797221198701</v>
      </c>
      <c r="V2253">
        <v>144.18811028130901</v>
      </c>
      <c r="W2253">
        <v>119.265756565624</v>
      </c>
    </row>
    <row r="2254" spans="1:23" x14ac:dyDescent="0.2">
      <c r="A2254" t="s">
        <v>4514</v>
      </c>
      <c r="B2254" s="3" t="str">
        <f>HYPERLINK("http://www.ncbi.nlm.nih.gov/gene/68721","1110032A03Rik")</f>
        <v>1110032A03Rik</v>
      </c>
      <c r="C2254">
        <v>68721</v>
      </c>
      <c r="D2254" t="s">
        <v>4515</v>
      </c>
      <c r="E2254" s="3" t="str">
        <f>HYPERLINK("http://genome.ucsc.edu/cgi-bin/hgTracks?db=mm10&amp;lastVirtModeType=default&amp;lastVirtModeExtraState=&amp;virtModeType=default&amp;virtMode=0&amp;nonVirtPosition=&amp;position=chr9:50762827-50765933","chr9:50762827-50765933")</f>
        <v>chr9:50762827-50765933</v>
      </c>
      <c r="F2254" t="s">
        <v>25</v>
      </c>
      <c r="G2254">
        <v>-0.77891365219062103</v>
      </c>
      <c r="H2254">
        <v>0.248234265559335</v>
      </c>
      <c r="I2254">
        <v>-3.13781681362777</v>
      </c>
      <c r="J2254">
        <v>1.7021121769542199E-3</v>
      </c>
      <c r="K2254">
        <v>1.0107753508467401E-2</v>
      </c>
      <c r="L2254" t="s">
        <v>26</v>
      </c>
      <c r="M2254" t="s">
        <v>27</v>
      </c>
      <c r="N2254">
        <v>47.4434341862327</v>
      </c>
      <c r="O2254">
        <v>64.787461644355702</v>
      </c>
      <c r="P2254">
        <v>34.435413592640401</v>
      </c>
      <c r="Q2254">
        <v>76.280578802784305</v>
      </c>
      <c r="R2254">
        <v>67.886629989658701</v>
      </c>
      <c r="S2254">
        <v>50.195176140624199</v>
      </c>
      <c r="T2254">
        <v>32.0806830090688</v>
      </c>
      <c r="U2254">
        <v>29.9775944423975</v>
      </c>
      <c r="V2254">
        <v>37.518334818095703</v>
      </c>
      <c r="W2254">
        <v>38.165042100999699</v>
      </c>
    </row>
    <row r="2255" spans="1:23" x14ac:dyDescent="0.2">
      <c r="A2255" t="s">
        <v>4516</v>
      </c>
      <c r="B2255" s="3" t="str">
        <f>HYPERLINK("http://www.ncbi.nlm.nih.gov/gene/97212","Hadha")</f>
        <v>Hadha</v>
      </c>
      <c r="C2255">
        <v>97212</v>
      </c>
      <c r="D2255" t="s">
        <v>4517</v>
      </c>
      <c r="E2255" s="3" t="str">
        <f>HYPERLINK("http://genome.ucsc.edu/cgi-bin/hgTracks?db=mm10&amp;lastVirtModeType=default&amp;lastVirtModeExtraState=&amp;virtModeType=default&amp;virtMode=0&amp;nonVirtPosition=&amp;position=chr5:30118303-30154980","chr5:30118303-30154980")</f>
        <v>chr5:30118303-30154980</v>
      </c>
      <c r="F2255" t="s">
        <v>25</v>
      </c>
      <c r="G2255">
        <v>-0.41079335809609502</v>
      </c>
      <c r="H2255">
        <v>0.13093897451230799</v>
      </c>
      <c r="I2255">
        <v>-3.1372886463035599</v>
      </c>
      <c r="J2255">
        <v>1.70518164207577E-3</v>
      </c>
      <c r="K2255">
        <v>1.0121492628119001E-2</v>
      </c>
      <c r="L2255" t="s">
        <v>26</v>
      </c>
      <c r="M2255" t="s">
        <v>27</v>
      </c>
      <c r="N2255">
        <v>680.62690737811295</v>
      </c>
      <c r="O2255">
        <v>794.76863295498799</v>
      </c>
      <c r="P2255">
        <v>595.02061319545703</v>
      </c>
      <c r="Q2255">
        <v>930.95713692157199</v>
      </c>
      <c r="R2255">
        <v>747.51143971853196</v>
      </c>
      <c r="S2255">
        <v>705.83732222486003</v>
      </c>
      <c r="T2255">
        <v>632.44775075021403</v>
      </c>
      <c r="U2255">
        <v>584.56309162675097</v>
      </c>
      <c r="V2255">
        <v>612.06381507167998</v>
      </c>
      <c r="W2255">
        <v>551.00779533318303</v>
      </c>
    </row>
    <row r="2256" spans="1:23" x14ac:dyDescent="0.2">
      <c r="A2256" t="s">
        <v>4518</v>
      </c>
      <c r="B2256" s="3" t="str">
        <f>HYPERLINK("http://www.ncbi.nlm.nih.gov/gene/319713","Ablim3")</f>
        <v>Ablim3</v>
      </c>
      <c r="C2256">
        <v>319713</v>
      </c>
      <c r="D2256" t="s">
        <v>4519</v>
      </c>
      <c r="E2256" s="3" t="str">
        <f>HYPERLINK("http://genome.ucsc.edu/cgi-bin/hgTracks?db=mm10&amp;lastVirtModeType=default&amp;lastVirtModeExtraState=&amp;virtModeType=default&amp;virtMode=0&amp;nonVirtPosition=&amp;position=chr18:61799392-61911824","chr18:61799392-61911824")</f>
        <v>chr18:61799392-61911824</v>
      </c>
      <c r="F2256" t="s">
        <v>25</v>
      </c>
      <c r="G2256">
        <v>1.0955766003423799</v>
      </c>
      <c r="H2256">
        <v>0.34929981112932001</v>
      </c>
      <c r="I2256">
        <v>3.1364935377441898</v>
      </c>
      <c r="J2256">
        <v>1.70981204864703E-3</v>
      </c>
      <c r="K2256">
        <v>1.01401806085607E-2</v>
      </c>
      <c r="L2256" t="s">
        <v>26</v>
      </c>
      <c r="M2256" t="s">
        <v>27</v>
      </c>
      <c r="N2256">
        <v>57.058270308042502</v>
      </c>
      <c r="O2256">
        <v>27.7690227901541</v>
      </c>
      <c r="P2256">
        <v>79.025205946458797</v>
      </c>
      <c r="Q2256">
        <v>22.828494386234699</v>
      </c>
      <c r="R2256">
        <v>52.716433343924898</v>
      </c>
      <c r="S2256">
        <v>7.7621406403027198</v>
      </c>
      <c r="T2256">
        <v>91.659094311625296</v>
      </c>
      <c r="U2256">
        <v>81.367756343650299</v>
      </c>
      <c r="V2256">
        <v>59.587943534622603</v>
      </c>
      <c r="W2256">
        <v>83.486029595936799</v>
      </c>
    </row>
    <row r="2257" spans="1:23" x14ac:dyDescent="0.2">
      <c r="A2257" t="s">
        <v>4520</v>
      </c>
      <c r="B2257" s="3" t="str">
        <f>HYPERLINK("http://www.ncbi.nlm.nih.gov/gene/72107","Dscc1")</f>
        <v>Dscc1</v>
      </c>
      <c r="C2257">
        <v>72107</v>
      </c>
      <c r="D2257" t="s">
        <v>4521</v>
      </c>
      <c r="E2257" s="3" t="str">
        <f>HYPERLINK("http://genome.ucsc.edu/cgi-bin/hgTracks?db=mm10&amp;lastVirtModeType=default&amp;lastVirtModeExtraState=&amp;virtModeType=default&amp;virtMode=0&amp;nonVirtPosition=&amp;position=chr15:55076100-55090478","chr15:55076100-55090478")</f>
        <v>chr15:55076100-55090478</v>
      </c>
      <c r="F2257" t="s">
        <v>25</v>
      </c>
      <c r="G2257">
        <v>1.1215517559442201</v>
      </c>
      <c r="H2257">
        <v>0.35758203645331499</v>
      </c>
      <c r="I2257">
        <v>3.1364879708957298</v>
      </c>
      <c r="J2257">
        <v>1.70984450856023E-3</v>
      </c>
      <c r="K2257">
        <v>1.01401806085607E-2</v>
      </c>
      <c r="L2257" t="s">
        <v>26</v>
      </c>
      <c r="M2257" t="s">
        <v>27</v>
      </c>
      <c r="N2257">
        <v>33.158854818083199</v>
      </c>
      <c r="O2257">
        <v>15.0479197336079</v>
      </c>
      <c r="P2257">
        <v>46.742056131439597</v>
      </c>
      <c r="Q2257">
        <v>3.8975478220400701</v>
      </c>
      <c r="R2257">
        <v>23.134549884744001</v>
      </c>
      <c r="S2257">
        <v>18.111661494039701</v>
      </c>
      <c r="T2257">
        <v>64.161366018137699</v>
      </c>
      <c r="U2257">
        <v>55.672675393023901</v>
      </c>
      <c r="V2257">
        <v>30.1617985792534</v>
      </c>
      <c r="W2257">
        <v>36.972384535343402</v>
      </c>
    </row>
    <row r="2258" spans="1:23" x14ac:dyDescent="0.2">
      <c r="A2258" t="s">
        <v>4522</v>
      </c>
      <c r="B2258" s="3" t="str">
        <f>HYPERLINK("http://www.ncbi.nlm.nih.gov/gene/50931","Il27ra")</f>
        <v>Il27ra</v>
      </c>
      <c r="C2258">
        <v>50931</v>
      </c>
      <c r="D2258" t="s">
        <v>4523</v>
      </c>
      <c r="E2258" s="3" t="str">
        <f>HYPERLINK("http://genome.ucsc.edu/cgi-bin/hgTracks?db=mm10&amp;lastVirtModeType=default&amp;lastVirtModeExtraState=&amp;virtModeType=default&amp;virtMode=0&amp;nonVirtPosition=&amp;position=chr8:84030285-84042575","chr8:84030285-84042575")</f>
        <v>chr8:84030285-84042575</v>
      </c>
      <c r="F2258" t="s">
        <v>25</v>
      </c>
      <c r="G2258">
        <v>1.1073061450050501</v>
      </c>
      <c r="H2258">
        <v>0.35305736480796102</v>
      </c>
      <c r="I2258">
        <v>3.1363349284820901</v>
      </c>
      <c r="J2258">
        <v>1.71073711042415E-3</v>
      </c>
      <c r="K2258">
        <v>1.0140983021553701E-2</v>
      </c>
      <c r="L2258" t="s">
        <v>26</v>
      </c>
      <c r="M2258" t="s">
        <v>27</v>
      </c>
      <c r="N2258">
        <v>13.5471697426843</v>
      </c>
      <c r="O2258">
        <v>6.4643366629889698</v>
      </c>
      <c r="P2258">
        <v>18.8592945524559</v>
      </c>
      <c r="Q2258">
        <v>8.9086807360916005</v>
      </c>
      <c r="R2258">
        <v>5.3095688260068199</v>
      </c>
      <c r="S2258">
        <v>5.1747604268684801</v>
      </c>
      <c r="T2258">
        <v>18.3318188623251</v>
      </c>
      <c r="U2258">
        <v>25.695080950626402</v>
      </c>
      <c r="V2258">
        <v>14.7130724776846</v>
      </c>
      <c r="W2258">
        <v>16.6972059191874</v>
      </c>
    </row>
    <row r="2259" spans="1:23" x14ac:dyDescent="0.2">
      <c r="A2259" t="s">
        <v>4524</v>
      </c>
      <c r="B2259" s="3" t="str">
        <f>HYPERLINK("http://www.ncbi.nlm.nih.gov/gene/15166","Hcn2")</f>
        <v>Hcn2</v>
      </c>
      <c r="C2259">
        <v>15166</v>
      </c>
      <c r="D2259" t="s">
        <v>4525</v>
      </c>
      <c r="E2259" s="3" t="str">
        <f>HYPERLINK("http://genome.ucsc.edu/cgi-bin/hgTracks?db=mm10&amp;lastVirtModeType=default&amp;lastVirtModeExtraState=&amp;virtModeType=default&amp;virtMode=0&amp;nonVirtPosition=&amp;position=chr10:79716633-79736108","chr10:79716633-79736108")</f>
        <v>chr10:79716633-79736108</v>
      </c>
      <c r="F2259" t="s">
        <v>30</v>
      </c>
      <c r="G2259">
        <v>-0.79829729880842504</v>
      </c>
      <c r="H2259">
        <v>0.25454958614743001</v>
      </c>
      <c r="I2259">
        <v>-3.1361170563682101</v>
      </c>
      <c r="J2259">
        <v>1.71200856322473E-3</v>
      </c>
      <c r="K2259">
        <v>1.0144029500063E-2</v>
      </c>
      <c r="L2259" t="s">
        <v>26</v>
      </c>
      <c r="M2259" t="s">
        <v>27</v>
      </c>
      <c r="N2259">
        <v>109.320311952865</v>
      </c>
      <c r="O2259">
        <v>147.58264499627899</v>
      </c>
      <c r="P2259">
        <v>80.6235621703037</v>
      </c>
      <c r="Q2259">
        <v>145.87964705350001</v>
      </c>
      <c r="R2259">
        <v>156.63228036720099</v>
      </c>
      <c r="S2259">
        <v>140.23600756813599</v>
      </c>
      <c r="T2259">
        <v>68.744320733718993</v>
      </c>
      <c r="U2259">
        <v>130.61666149901799</v>
      </c>
      <c r="V2259">
        <v>45.610524680822301</v>
      </c>
      <c r="W2259">
        <v>77.522741767655603</v>
      </c>
    </row>
    <row r="2260" spans="1:23" x14ac:dyDescent="0.2">
      <c r="A2260" t="s">
        <v>4526</v>
      </c>
      <c r="B2260" s="3" t="str">
        <f>HYPERLINK("http://www.ncbi.nlm.nih.gov/gene/241576","Ldlrad3")</f>
        <v>Ldlrad3</v>
      </c>
      <c r="C2260">
        <v>241576</v>
      </c>
      <c r="D2260" t="s">
        <v>4527</v>
      </c>
      <c r="E2260" s="3" t="str">
        <f>HYPERLINK("http://genome.ucsc.edu/cgi-bin/hgTracks?db=mm10&amp;lastVirtModeType=default&amp;lastVirtModeExtraState=&amp;virtModeType=default&amp;virtMode=0&amp;nonVirtPosition=&amp;position=chr2:101950200-102186460","chr2:101950200-102186460")</f>
        <v>chr2:101950200-102186460</v>
      </c>
      <c r="F2260" t="s">
        <v>25</v>
      </c>
      <c r="G2260">
        <v>0.51494030889343201</v>
      </c>
      <c r="H2260">
        <v>0.16424072068840301</v>
      </c>
      <c r="I2260">
        <v>3.1352779428578899</v>
      </c>
      <c r="J2260">
        <v>1.7169135651800499E-3</v>
      </c>
      <c r="K2260">
        <v>1.0168593344239699E-2</v>
      </c>
      <c r="L2260" t="s">
        <v>26</v>
      </c>
      <c r="M2260" t="s">
        <v>27</v>
      </c>
      <c r="N2260">
        <v>296.76413968502999</v>
      </c>
      <c r="O2260">
        <v>238.870110458418</v>
      </c>
      <c r="P2260">
        <v>340.18466160499003</v>
      </c>
      <c r="Q2260">
        <v>276.16910281883997</v>
      </c>
      <c r="R2260">
        <v>229.828479182867</v>
      </c>
      <c r="S2260">
        <v>210.61274937354699</v>
      </c>
      <c r="T2260">
        <v>288.72614708162001</v>
      </c>
      <c r="U2260">
        <v>297.63468767808899</v>
      </c>
      <c r="V2260">
        <v>423.736487357317</v>
      </c>
      <c r="W2260">
        <v>350.64132430293398</v>
      </c>
    </row>
    <row r="2261" spans="1:23" x14ac:dyDescent="0.2">
      <c r="A2261" t="s">
        <v>4528</v>
      </c>
      <c r="B2261" s="3" t="str">
        <f>HYPERLINK("http://www.ncbi.nlm.nih.gov/gene/11514","Adcy8")</f>
        <v>Adcy8</v>
      </c>
      <c r="C2261">
        <v>11514</v>
      </c>
      <c r="D2261" t="s">
        <v>4529</v>
      </c>
      <c r="E2261" s="3" t="str">
        <f>HYPERLINK("http://genome.ucsc.edu/cgi-bin/hgTracks?db=mm10&amp;lastVirtModeType=default&amp;lastVirtModeExtraState=&amp;virtModeType=default&amp;virtMode=0&amp;nonVirtPosition=&amp;position=chr15:64699034-64922296","chr15:64699034-64922296")</f>
        <v>chr15:64699034-64922296</v>
      </c>
      <c r="F2261" t="s">
        <v>25</v>
      </c>
      <c r="G2261">
        <v>1.0117732908724999</v>
      </c>
      <c r="H2261">
        <v>0.32291152239283599</v>
      </c>
      <c r="I2261">
        <v>3.1332833321495102</v>
      </c>
      <c r="J2261">
        <v>1.72862489494682E-3</v>
      </c>
      <c r="K2261">
        <v>1.0233428810005701E-2</v>
      </c>
      <c r="L2261" t="s">
        <v>26</v>
      </c>
      <c r="M2261" t="s">
        <v>27</v>
      </c>
      <c r="N2261">
        <v>81.293262713397496</v>
      </c>
      <c r="O2261">
        <v>44.685899915431698</v>
      </c>
      <c r="P2261">
        <v>108.748784811872</v>
      </c>
      <c r="Q2261">
        <v>81.848504262841601</v>
      </c>
      <c r="R2261">
        <v>35.649962117474402</v>
      </c>
      <c r="S2261">
        <v>16.5592333659791</v>
      </c>
      <c r="T2261">
        <v>123.739777320694</v>
      </c>
      <c r="U2261">
        <v>113.486607531933</v>
      </c>
      <c r="V2261">
        <v>105.93412183932899</v>
      </c>
      <c r="W2261">
        <v>91.834632555530504</v>
      </c>
    </row>
    <row r="2262" spans="1:23" x14ac:dyDescent="0.2">
      <c r="A2262" t="s">
        <v>4530</v>
      </c>
      <c r="B2262" s="3" t="str">
        <f>HYPERLINK("http://www.ncbi.nlm.nih.gov/gene/17932","Myt1")</f>
        <v>Myt1</v>
      </c>
      <c r="C2262">
        <v>17932</v>
      </c>
      <c r="D2262" t="s">
        <v>4531</v>
      </c>
      <c r="E2262" s="3" t="str">
        <f>HYPERLINK("http://genome.ucsc.edu/cgi-bin/hgTracks?db=mm10&amp;lastVirtModeType=default&amp;lastVirtModeExtraState=&amp;virtModeType=default&amp;virtMode=0&amp;nonVirtPosition=&amp;position=chr2:181767028-181827775","chr2:181767028-181827775")</f>
        <v>chr2:181767028-181827775</v>
      </c>
      <c r="F2262" t="s">
        <v>30</v>
      </c>
      <c r="G2262">
        <v>0.42657615535457499</v>
      </c>
      <c r="H2262">
        <v>0.13615389107859799</v>
      </c>
      <c r="I2262">
        <v>3.13304417505281</v>
      </c>
      <c r="J2262">
        <v>1.73003402391339E-3</v>
      </c>
      <c r="K2262">
        <v>1.0237245079197601E-2</v>
      </c>
      <c r="L2262" t="s">
        <v>26</v>
      </c>
      <c r="M2262" t="s">
        <v>27</v>
      </c>
      <c r="N2262">
        <v>1778.5418397390399</v>
      </c>
      <c r="O2262">
        <v>1475.42324713174</v>
      </c>
      <c r="P2262">
        <v>2005.8807841945099</v>
      </c>
      <c r="Q2262">
        <v>1433.1840134187401</v>
      </c>
      <c r="R2262">
        <v>1257.9885568474699</v>
      </c>
      <c r="S2262">
        <v>1735.0971711289999</v>
      </c>
      <c r="T2262">
        <v>2204.40121819459</v>
      </c>
      <c r="U2262">
        <v>1974.23871970646</v>
      </c>
      <c r="V2262">
        <v>1828.0992553523099</v>
      </c>
      <c r="W2262">
        <v>2016.7839435246999</v>
      </c>
    </row>
    <row r="2263" spans="1:23" x14ac:dyDescent="0.2">
      <c r="A2263" t="s">
        <v>4532</v>
      </c>
      <c r="B2263" s="3" t="str">
        <f>HYPERLINK("http://www.ncbi.nlm.nih.gov/gene/18557","Cdk18")</f>
        <v>Cdk18</v>
      </c>
      <c r="C2263">
        <v>18557</v>
      </c>
      <c r="D2263" t="s">
        <v>4533</v>
      </c>
      <c r="E2263" s="3" t="str">
        <f>HYPERLINK("http://genome.ucsc.edu/cgi-bin/hgTracks?db=mm10&amp;lastVirtModeType=default&amp;lastVirtModeExtraState=&amp;virtModeType=default&amp;virtMode=0&amp;nonVirtPosition=&amp;position=chr1:132113546-132139685","chr1:132113546-132139685")</f>
        <v>chr1:132113546-132139685</v>
      </c>
      <c r="F2263" t="s">
        <v>25</v>
      </c>
      <c r="G2263">
        <v>0.86470175194712395</v>
      </c>
      <c r="H2263">
        <v>0.27612705561506201</v>
      </c>
      <c r="I2263">
        <v>3.1315357708104101</v>
      </c>
      <c r="J2263">
        <v>1.7389460073382801E-3</v>
      </c>
      <c r="K2263">
        <v>1.0279009920805601E-2</v>
      </c>
      <c r="L2263" t="s">
        <v>26</v>
      </c>
      <c r="M2263" t="s">
        <v>27</v>
      </c>
      <c r="N2263">
        <v>31.107612220648001</v>
      </c>
      <c r="O2263">
        <v>19.953634624715299</v>
      </c>
      <c r="P2263">
        <v>39.473095417597598</v>
      </c>
      <c r="Q2263">
        <v>17.817361472183201</v>
      </c>
      <c r="R2263">
        <v>16.6872163103072</v>
      </c>
      <c r="S2263">
        <v>25.3563260916555</v>
      </c>
      <c r="T2263">
        <v>32.0806830090688</v>
      </c>
      <c r="U2263">
        <v>47.107648409481797</v>
      </c>
      <c r="V2263">
        <v>34.575720322558801</v>
      </c>
      <c r="W2263">
        <v>44.128329929280902</v>
      </c>
    </row>
    <row r="2264" spans="1:23" x14ac:dyDescent="0.2">
      <c r="A2264" t="s">
        <v>4534</v>
      </c>
      <c r="B2264" s="3" t="str">
        <f>HYPERLINK("http://www.ncbi.nlm.nih.gov/gene/83493","Sacm1l")</f>
        <v>Sacm1l</v>
      </c>
      <c r="C2264">
        <v>83493</v>
      </c>
      <c r="D2264" t="s">
        <v>4535</v>
      </c>
      <c r="E2264" s="3" t="str">
        <f>HYPERLINK("http://genome.ucsc.edu/cgi-bin/hgTracks?db=mm10&amp;lastVirtModeType=default&amp;lastVirtModeExtraState=&amp;virtModeType=default&amp;virtMode=0&amp;nonVirtPosition=&amp;position=chr9:123529881-123592598","chr9:123529881-123592598")</f>
        <v>chr9:123529881-123592598</v>
      </c>
      <c r="F2264" t="s">
        <v>30</v>
      </c>
      <c r="G2264">
        <v>-0.54167801245881197</v>
      </c>
      <c r="H2264">
        <v>0.17297636339067901</v>
      </c>
      <c r="I2264">
        <v>-3.1315146291715901</v>
      </c>
      <c r="J2264">
        <v>1.7390712162188499E-3</v>
      </c>
      <c r="K2264">
        <v>1.0279009920805601E-2</v>
      </c>
      <c r="L2264" t="s">
        <v>26</v>
      </c>
      <c r="M2264" t="s">
        <v>27</v>
      </c>
      <c r="N2264">
        <v>148.589754460661</v>
      </c>
      <c r="O2264">
        <v>186.17535098565301</v>
      </c>
      <c r="P2264">
        <v>120.400557066917</v>
      </c>
      <c r="Q2264">
        <v>177.060029629821</v>
      </c>
      <c r="R2264">
        <v>201.38436047211599</v>
      </c>
      <c r="S2264">
        <v>180.08166285502301</v>
      </c>
      <c r="T2264">
        <v>96.242049027206505</v>
      </c>
      <c r="U2264">
        <v>100.63906705661999</v>
      </c>
      <c r="V2264">
        <v>136.831574042467</v>
      </c>
      <c r="W2264">
        <v>147.889538141374</v>
      </c>
    </row>
    <row r="2265" spans="1:23" x14ac:dyDescent="0.2">
      <c r="A2265" t="s">
        <v>4536</v>
      </c>
      <c r="B2265" s="3" t="str">
        <f>HYPERLINK("http://www.ncbi.nlm.nih.gov/gene/268860","Abat")</f>
        <v>Abat</v>
      </c>
      <c r="C2265">
        <v>268860</v>
      </c>
      <c r="D2265" t="s">
        <v>4537</v>
      </c>
      <c r="E2265" s="3" t="str">
        <f>HYPERLINK("http://genome.ucsc.edu/cgi-bin/hgTracks?db=mm10&amp;lastVirtModeType=default&amp;lastVirtModeExtraState=&amp;virtModeType=default&amp;virtMode=0&amp;nonVirtPosition=&amp;position=chr16:8513428-8621567","chr16:8513428-8621567")</f>
        <v>chr16:8513428-8621567</v>
      </c>
      <c r="F2265" t="s">
        <v>30</v>
      </c>
      <c r="G2265">
        <v>-0.77234684712945001</v>
      </c>
      <c r="H2265">
        <v>0.24665419928446899</v>
      </c>
      <c r="I2265">
        <v>-3.1312941331223501</v>
      </c>
      <c r="J2265">
        <v>1.74037757243013E-3</v>
      </c>
      <c r="K2265">
        <v>1.0279009920805601E-2</v>
      </c>
      <c r="L2265" t="s">
        <v>26</v>
      </c>
      <c r="M2265" t="s">
        <v>27</v>
      </c>
      <c r="N2265">
        <v>491.89280280809902</v>
      </c>
      <c r="O2265">
        <v>663.861838473077</v>
      </c>
      <c r="P2265">
        <v>362.91602605936498</v>
      </c>
      <c r="Q2265">
        <v>993.31790207421295</v>
      </c>
      <c r="R2265">
        <v>596.18872817733802</v>
      </c>
      <c r="S2265">
        <v>402.07888516768099</v>
      </c>
      <c r="T2265">
        <v>311.64092065952599</v>
      </c>
      <c r="U2265">
        <v>329.75353886637203</v>
      </c>
      <c r="V2265">
        <v>314.12409739856599</v>
      </c>
      <c r="W2265">
        <v>496.14554731299597</v>
      </c>
    </row>
    <row r="2266" spans="1:23" x14ac:dyDescent="0.2">
      <c r="A2266" t="s">
        <v>4538</v>
      </c>
      <c r="B2266" s="3" t="str">
        <f>HYPERLINK("http://www.ncbi.nlm.nih.gov/gene/23950","Dnajb6")</f>
        <v>Dnajb6</v>
      </c>
      <c r="C2266">
        <v>23950</v>
      </c>
      <c r="D2266" t="s">
        <v>4539</v>
      </c>
      <c r="E2266" s="3" t="str">
        <f>HYPERLINK("http://genome.ucsc.edu/cgi-bin/hgTracks?db=mm10&amp;lastVirtModeType=default&amp;lastVirtModeExtraState=&amp;virtModeType=default&amp;virtMode=0&amp;nonVirtPosition=&amp;position=chr5:29735897-29786478","chr5:29735897-29786478")</f>
        <v>chr5:29735897-29786478</v>
      </c>
      <c r="F2266" t="s">
        <v>30</v>
      </c>
      <c r="G2266">
        <v>0.65308085807251903</v>
      </c>
      <c r="H2266">
        <v>0.208570394682839</v>
      </c>
      <c r="I2266">
        <v>3.1312251149815502</v>
      </c>
      <c r="J2266">
        <v>1.74078666435734E-3</v>
      </c>
      <c r="K2266">
        <v>1.0279009920805601E-2</v>
      </c>
      <c r="L2266" t="s">
        <v>26</v>
      </c>
      <c r="M2266" t="s">
        <v>27</v>
      </c>
      <c r="N2266">
        <v>60.470414592317098</v>
      </c>
      <c r="O2266">
        <v>45.0886190261077</v>
      </c>
      <c r="P2266">
        <v>72.006761266974294</v>
      </c>
      <c r="Q2266">
        <v>50.668121686520998</v>
      </c>
      <c r="R2266">
        <v>44.752080104914697</v>
      </c>
      <c r="S2266">
        <v>39.8456552868873</v>
      </c>
      <c r="T2266">
        <v>68.744320733718993</v>
      </c>
      <c r="U2266">
        <v>64.237702376566105</v>
      </c>
      <c r="V2266">
        <v>78.714937755612596</v>
      </c>
      <c r="W2266">
        <v>76.330084201999398</v>
      </c>
    </row>
    <row r="2267" spans="1:23" x14ac:dyDescent="0.2">
      <c r="A2267" t="s">
        <v>4540</v>
      </c>
      <c r="B2267" s="3" t="str">
        <f>HYPERLINK("http://www.ncbi.nlm.nih.gov/gene/93734","Mpv17l")</f>
        <v>Mpv17l</v>
      </c>
      <c r="C2267">
        <v>93734</v>
      </c>
      <c r="D2267" t="s">
        <v>4541</v>
      </c>
      <c r="E2267" s="3" t="str">
        <f>HYPERLINK("http://genome.ucsc.edu/cgi-bin/hgTracks?db=mm10&amp;lastVirtModeType=default&amp;lastVirtModeExtraState=&amp;virtModeType=default&amp;virtMode=0&amp;nonVirtPosition=&amp;position=chr16:13940664-13949619","chr16:13940664-13949619")</f>
        <v>chr16:13940664-13949619</v>
      </c>
      <c r="F2267" t="s">
        <v>30</v>
      </c>
      <c r="G2267">
        <v>-0.70798029787768701</v>
      </c>
      <c r="H2267">
        <v>0.22611683096448301</v>
      </c>
      <c r="I2267">
        <v>-3.1310375917522602</v>
      </c>
      <c r="J2267">
        <v>1.7418986192285E-3</v>
      </c>
      <c r="K2267">
        <v>1.0279009920805601E-2</v>
      </c>
      <c r="L2267" t="s">
        <v>26</v>
      </c>
      <c r="M2267" t="s">
        <v>27</v>
      </c>
      <c r="N2267">
        <v>59.178595245731103</v>
      </c>
      <c r="O2267">
        <v>76.038360614990594</v>
      </c>
      <c r="P2267">
        <v>46.533771218786498</v>
      </c>
      <c r="Q2267">
        <v>75.1669937107729</v>
      </c>
      <c r="R2267">
        <v>87.228630712969306</v>
      </c>
      <c r="S2267">
        <v>65.719457421229606</v>
      </c>
      <c r="T2267">
        <v>54.995456586975202</v>
      </c>
      <c r="U2267">
        <v>47.107648409481797</v>
      </c>
      <c r="V2267">
        <v>37.518334818095703</v>
      </c>
      <c r="W2267">
        <v>46.513645060593397</v>
      </c>
    </row>
    <row r="2268" spans="1:23" x14ac:dyDescent="0.2">
      <c r="A2268" t="s">
        <v>4542</v>
      </c>
      <c r="B2268" s="3" t="str">
        <f>HYPERLINK("http://www.ncbi.nlm.nih.gov/gene/50782","Rgs11")</f>
        <v>Rgs11</v>
      </c>
      <c r="C2268">
        <v>50782</v>
      </c>
      <c r="D2268" t="s">
        <v>4543</v>
      </c>
      <c r="E2268" s="3" t="str">
        <f>HYPERLINK("http://genome.ucsc.edu/cgi-bin/hgTracks?db=mm10&amp;lastVirtModeType=default&amp;lastVirtModeExtraState=&amp;virtModeType=default&amp;virtMode=0&amp;nonVirtPosition=&amp;position=chr17:26202961-26211324","chr17:26202961-26211324")</f>
        <v>chr17:26202961-26211324</v>
      </c>
      <c r="F2268" t="s">
        <v>30</v>
      </c>
      <c r="G2268">
        <v>1.1129282274728201</v>
      </c>
      <c r="H2268">
        <v>0.35546205534061198</v>
      </c>
      <c r="I2268">
        <v>3.1309339794549498</v>
      </c>
      <c r="J2268">
        <v>1.74251328825714E-3</v>
      </c>
      <c r="K2268">
        <v>1.0279009920805601E-2</v>
      </c>
      <c r="L2268" t="s">
        <v>26</v>
      </c>
      <c r="M2268" t="s">
        <v>27</v>
      </c>
      <c r="N2268">
        <v>15.622831295374199</v>
      </c>
      <c r="O2268">
        <v>7.2756774096524497</v>
      </c>
      <c r="P2268">
        <v>21.883196709665398</v>
      </c>
      <c r="Q2268">
        <v>7.2383030980744296</v>
      </c>
      <c r="R2268">
        <v>6.8265884905801997</v>
      </c>
      <c r="S2268">
        <v>7.7621406403027198</v>
      </c>
      <c r="T2268">
        <v>22.914773577906299</v>
      </c>
      <c r="U2268">
        <v>25.695080950626402</v>
      </c>
      <c r="V2268">
        <v>10.2991507343792</v>
      </c>
      <c r="W2268">
        <v>28.623781575749799</v>
      </c>
    </row>
    <row r="2269" spans="1:23" x14ac:dyDescent="0.2">
      <c r="A2269" t="s">
        <v>4544</v>
      </c>
      <c r="B2269" s="3" t="str">
        <f>HYPERLINK("http://www.ncbi.nlm.nih.gov/gene/66521","Rwdd1")</f>
        <v>Rwdd1</v>
      </c>
      <c r="C2269">
        <v>66521</v>
      </c>
      <c r="D2269" t="s">
        <v>4545</v>
      </c>
      <c r="E2269" s="3" t="str">
        <f>HYPERLINK("http://genome.ucsc.edu/cgi-bin/hgTracks?db=mm10&amp;lastVirtModeType=default&amp;lastVirtModeExtraState=&amp;virtModeType=default&amp;virtMode=0&amp;nonVirtPosition=&amp;position=chr10:33996554-34019616","chr10:33996554-34019616")</f>
        <v>chr10:33996554-34019616</v>
      </c>
      <c r="F2269" t="s">
        <v>25</v>
      </c>
      <c r="G2269">
        <v>-0.836580063473223</v>
      </c>
      <c r="H2269">
        <v>0.26720356936779299</v>
      </c>
      <c r="I2269">
        <v>-3.1308715877283402</v>
      </c>
      <c r="J2269">
        <v>1.74288351679612E-3</v>
      </c>
      <c r="K2269">
        <v>1.0279009920805601E-2</v>
      </c>
      <c r="L2269" t="s">
        <v>26</v>
      </c>
      <c r="M2269" t="s">
        <v>27</v>
      </c>
      <c r="N2269">
        <v>35.969556063890899</v>
      </c>
      <c r="O2269">
        <v>50.579557571719498</v>
      </c>
      <c r="P2269">
        <v>25.0120549330194</v>
      </c>
      <c r="Q2269">
        <v>41.759440950429401</v>
      </c>
      <c r="R2269">
        <v>60.301531666791803</v>
      </c>
      <c r="S2269">
        <v>49.677700097937397</v>
      </c>
      <c r="T2269">
        <v>18.3318188623251</v>
      </c>
      <c r="U2269">
        <v>25.695080950626402</v>
      </c>
      <c r="V2269">
        <v>25.012223212063802</v>
      </c>
      <c r="W2269">
        <v>31.009096707062199</v>
      </c>
    </row>
    <row r="2270" spans="1:23" x14ac:dyDescent="0.2">
      <c r="A2270" t="s">
        <v>4546</v>
      </c>
      <c r="B2270" s="3" t="str">
        <f>HYPERLINK("http://www.ncbi.nlm.nih.gov/gene/16467","Atcay")</f>
        <v>Atcay</v>
      </c>
      <c r="C2270">
        <v>16467</v>
      </c>
      <c r="D2270" t="s">
        <v>4547</v>
      </c>
      <c r="E2270" s="3" t="str">
        <f>HYPERLINK("http://genome.ucsc.edu/cgi-bin/hgTracks?db=mm10&amp;lastVirtModeType=default&amp;lastVirtModeExtraState=&amp;virtModeType=default&amp;virtMode=0&amp;nonVirtPosition=&amp;position=chr10:81204512-81230779","chr10:81204512-81230779")</f>
        <v>chr10:81204512-81230779</v>
      </c>
      <c r="F2270" t="s">
        <v>25</v>
      </c>
      <c r="G2270">
        <v>-0.38423763125798599</v>
      </c>
      <c r="H2270">
        <v>0.12272775961104899</v>
      </c>
      <c r="I2270">
        <v>-3.1308127230197802</v>
      </c>
      <c r="J2270">
        <v>1.74323288254421E-3</v>
      </c>
      <c r="K2270">
        <v>1.0279009920805601E-2</v>
      </c>
      <c r="L2270" t="s">
        <v>26</v>
      </c>
      <c r="M2270" t="s">
        <v>27</v>
      </c>
      <c r="N2270">
        <v>675.71628417609702</v>
      </c>
      <c r="O2270">
        <v>781.78152228886995</v>
      </c>
      <c r="P2270">
        <v>596.16735559151698</v>
      </c>
      <c r="Q2270">
        <v>892.53845124717702</v>
      </c>
      <c r="R2270">
        <v>731.96198815665502</v>
      </c>
      <c r="S2270">
        <v>720.84412746277906</v>
      </c>
      <c r="T2270">
        <v>595.78411302556401</v>
      </c>
      <c r="U2270">
        <v>642.37702376566097</v>
      </c>
      <c r="V2270">
        <v>590.72985997903697</v>
      </c>
      <c r="W2270">
        <v>555.77842559580802</v>
      </c>
    </row>
    <row r="2271" spans="1:23" x14ac:dyDescent="0.2">
      <c r="A2271" t="s">
        <v>4548</v>
      </c>
      <c r="B2271" s="3" t="str">
        <f>HYPERLINK("http://www.ncbi.nlm.nih.gov/gene/56248","Ak3")</f>
        <v>Ak3</v>
      </c>
      <c r="C2271">
        <v>56248</v>
      </c>
      <c r="D2271" t="s">
        <v>4549</v>
      </c>
      <c r="E2271" s="3" t="str">
        <f>HYPERLINK("http://genome.ucsc.edu/cgi-bin/hgTracks?db=mm10&amp;lastVirtModeType=default&amp;lastVirtModeExtraState=&amp;virtModeType=default&amp;virtMode=0&amp;nonVirtPosition=&amp;position=chr19:29020831-29047902","chr19:29020831-29047902")</f>
        <v>chr19:29020831-29047902</v>
      </c>
      <c r="F2271" t="s">
        <v>25</v>
      </c>
      <c r="G2271">
        <v>-0.43645853686442099</v>
      </c>
      <c r="H2271">
        <v>0.13942450877399901</v>
      </c>
      <c r="I2271">
        <v>-3.1304290809580801</v>
      </c>
      <c r="J2271">
        <v>1.74551140018102E-3</v>
      </c>
      <c r="K2271">
        <v>1.0287915123162E-2</v>
      </c>
      <c r="L2271" t="s">
        <v>26</v>
      </c>
      <c r="M2271" t="s">
        <v>27</v>
      </c>
      <c r="N2271">
        <v>381.86299030159199</v>
      </c>
      <c r="O2271">
        <v>455.57187164502102</v>
      </c>
      <c r="P2271">
        <v>326.58132929402001</v>
      </c>
      <c r="Q2271">
        <v>519.487445423341</v>
      </c>
      <c r="R2271">
        <v>432.729859319556</v>
      </c>
      <c r="S2271">
        <v>414.49831019216498</v>
      </c>
      <c r="T2271">
        <v>274.97728293487597</v>
      </c>
      <c r="U2271">
        <v>312.62348489928797</v>
      </c>
      <c r="V2271">
        <v>359.734622079389</v>
      </c>
      <c r="W2271">
        <v>358.989927262528</v>
      </c>
    </row>
    <row r="2272" spans="1:23" x14ac:dyDescent="0.2">
      <c r="A2272" t="s">
        <v>4550</v>
      </c>
      <c r="B2272" s="3" t="str">
        <f>HYPERLINK("http://www.ncbi.nlm.nih.gov/gene/18600","Padi2")</f>
        <v>Padi2</v>
      </c>
      <c r="C2272">
        <v>18600</v>
      </c>
      <c r="D2272" t="s">
        <v>4551</v>
      </c>
      <c r="E2272" s="3" t="str">
        <f>HYPERLINK("http://genome.ucsc.edu/cgi-bin/hgTracks?db=mm10&amp;lastVirtModeType=default&amp;lastVirtModeExtraState=&amp;virtModeType=default&amp;virtMode=0&amp;nonVirtPosition=&amp;position=chr4:140906359-140952586","chr4:140906359-140952586")</f>
        <v>chr4:140906359-140952586</v>
      </c>
      <c r="F2272" t="s">
        <v>30</v>
      </c>
      <c r="G2272">
        <v>0.88895368870210201</v>
      </c>
      <c r="H2272">
        <v>0.284166764667727</v>
      </c>
      <c r="I2272">
        <v>3.1282816966352298</v>
      </c>
      <c r="J2272">
        <v>1.7583157321472199E-3</v>
      </c>
      <c r="K2272">
        <v>1.0358823567612601E-2</v>
      </c>
      <c r="L2272" t="s">
        <v>26</v>
      </c>
      <c r="M2272" t="s">
        <v>27</v>
      </c>
      <c r="N2272">
        <v>143.325042417628</v>
      </c>
      <c r="O2272">
        <v>90.8461717179582</v>
      </c>
      <c r="P2272">
        <v>182.68419544238</v>
      </c>
      <c r="Q2272">
        <v>139.754929047437</v>
      </c>
      <c r="R2272">
        <v>58.784512002218399</v>
      </c>
      <c r="S2272">
        <v>73.999074104219204</v>
      </c>
      <c r="T2272">
        <v>123.739777320694</v>
      </c>
      <c r="U2272">
        <v>128.47540475313201</v>
      </c>
      <c r="V2272">
        <v>272.19184083716499</v>
      </c>
      <c r="W2272">
        <v>206.329758858529</v>
      </c>
    </row>
    <row r="2273" spans="1:23" x14ac:dyDescent="0.2">
      <c r="A2273" t="s">
        <v>4552</v>
      </c>
      <c r="B2273" s="3" t="str">
        <f>HYPERLINK("http://www.ncbi.nlm.nih.gov/gene/269224","Pask")</f>
        <v>Pask</v>
      </c>
      <c r="C2273">
        <v>269224</v>
      </c>
      <c r="D2273" t="s">
        <v>4553</v>
      </c>
      <c r="E2273" s="3" t="str">
        <f>HYPERLINK("http://genome.ucsc.edu/cgi-bin/hgTracks?db=mm10&amp;lastVirtModeType=default&amp;lastVirtModeExtraState=&amp;virtModeType=default&amp;virtMode=0&amp;nonVirtPosition=&amp;position=chr1:93309436-93342788","chr1:93309436-93342788")</f>
        <v>chr1:93309436-93342788</v>
      </c>
      <c r="F2273" t="s">
        <v>25</v>
      </c>
      <c r="G2273">
        <v>0.770900504828961</v>
      </c>
      <c r="H2273">
        <v>0.24653942512644</v>
      </c>
      <c r="I2273">
        <v>3.1268853021523699</v>
      </c>
      <c r="J2273">
        <v>1.76668836934488E-3</v>
      </c>
      <c r="K2273">
        <v>1.04035725390929E-2</v>
      </c>
      <c r="L2273" t="s">
        <v>26</v>
      </c>
      <c r="M2273" t="s">
        <v>27</v>
      </c>
      <c r="N2273">
        <v>110.400343741098</v>
      </c>
      <c r="O2273">
        <v>73.977347353583397</v>
      </c>
      <c r="P2273">
        <v>137.717591031734</v>
      </c>
      <c r="Q2273">
        <v>42.316233496435103</v>
      </c>
      <c r="R2273">
        <v>86.4701208806826</v>
      </c>
      <c r="S2273">
        <v>93.145687683632602</v>
      </c>
      <c r="T2273">
        <v>164.98636976092499</v>
      </c>
      <c r="U2273">
        <v>141.32294522844501</v>
      </c>
      <c r="V2273">
        <v>107.405429087098</v>
      </c>
      <c r="W2273">
        <v>137.155620050468</v>
      </c>
    </row>
    <row r="2274" spans="1:23" x14ac:dyDescent="0.2">
      <c r="A2274" t="s">
        <v>4554</v>
      </c>
      <c r="B2274" s="3" t="str">
        <f>HYPERLINK("http://www.ncbi.nlm.nih.gov/gene/20615","Snapin")</f>
        <v>Snapin</v>
      </c>
      <c r="C2274">
        <v>20615</v>
      </c>
      <c r="D2274" t="s">
        <v>4555</v>
      </c>
      <c r="E2274" s="3" t="str">
        <f>HYPERLINK("http://genome.ucsc.edu/cgi-bin/hgTracks?db=mm10&amp;lastVirtModeType=default&amp;lastVirtModeExtraState=&amp;virtModeType=default&amp;virtMode=0&amp;nonVirtPosition=&amp;position=chr3:90488025-90491013","chr3:90488025-90491013")</f>
        <v>chr3:90488025-90491013</v>
      </c>
      <c r="F2274" t="s">
        <v>25</v>
      </c>
      <c r="G2274">
        <v>-0.53840674766660002</v>
      </c>
      <c r="H2274">
        <v>0.17224539369207501</v>
      </c>
      <c r="I2274">
        <v>-3.1258121690563998</v>
      </c>
      <c r="J2274">
        <v>1.7731476543799199E-3</v>
      </c>
      <c r="K2274">
        <v>1.04370198856271E-2</v>
      </c>
      <c r="L2274" t="s">
        <v>26</v>
      </c>
      <c r="M2274" t="s">
        <v>27</v>
      </c>
      <c r="N2274">
        <v>173.44684869689601</v>
      </c>
      <c r="O2274">
        <v>213.50955932260999</v>
      </c>
      <c r="P2274">
        <v>143.399815727609</v>
      </c>
      <c r="Q2274">
        <v>249.443060610565</v>
      </c>
      <c r="R2274">
        <v>210.486478459556</v>
      </c>
      <c r="S2274">
        <v>180.59913889770999</v>
      </c>
      <c r="T2274">
        <v>151.237505614182</v>
      </c>
      <c r="U2274">
        <v>113.486607531933</v>
      </c>
      <c r="V2274">
        <v>147.86637840073001</v>
      </c>
      <c r="W2274">
        <v>161.00877136359199</v>
      </c>
    </row>
    <row r="2275" spans="1:23" x14ac:dyDescent="0.2">
      <c r="A2275" t="s">
        <v>4556</v>
      </c>
      <c r="B2275" s="3" t="str">
        <f>HYPERLINK("http://www.ncbi.nlm.nih.gov/gene/13629","Eef2")</f>
        <v>Eef2</v>
      </c>
      <c r="C2275">
        <v>13629</v>
      </c>
      <c r="D2275" t="s">
        <v>4557</v>
      </c>
      <c r="E2275" s="3" t="str">
        <f>HYPERLINK("http://genome.ucsc.edu/cgi-bin/hgTracks?db=mm10&amp;lastVirtModeType=default&amp;lastVirtModeExtraState=&amp;virtModeType=default&amp;virtMode=0&amp;nonVirtPosition=&amp;position=chr10:81176630-81182509","chr10:81176630-81182509")</f>
        <v>chr10:81176630-81182509</v>
      </c>
      <c r="F2275" t="s">
        <v>30</v>
      </c>
      <c r="G2275">
        <v>-0.42210296950919302</v>
      </c>
      <c r="H2275">
        <v>0.13510760926027399</v>
      </c>
      <c r="I2275">
        <v>-3.12419834693429</v>
      </c>
      <c r="J2275">
        <v>1.7829022771288501E-3</v>
      </c>
      <c r="K2275">
        <v>1.0488249071994299E-2</v>
      </c>
      <c r="L2275" t="s">
        <v>26</v>
      </c>
      <c r="M2275" t="s">
        <v>27</v>
      </c>
      <c r="N2275">
        <v>7319.50828737545</v>
      </c>
      <c r="O2275">
        <v>8600.5579778042102</v>
      </c>
      <c r="P2275">
        <v>6358.7210195538801</v>
      </c>
      <c r="Q2275">
        <v>7584.0712691439803</v>
      </c>
      <c r="R2275">
        <v>8746.7561310139608</v>
      </c>
      <c r="S2275">
        <v>9470.8465332546893</v>
      </c>
      <c r="T2275">
        <v>5811.1865793570396</v>
      </c>
      <c r="U2275">
        <v>6794.2076546948001</v>
      </c>
      <c r="V2275">
        <v>6659.8722570239397</v>
      </c>
      <c r="W2275">
        <v>6169.6175871397299</v>
      </c>
    </row>
    <row r="2276" spans="1:23" x14ac:dyDescent="0.2">
      <c r="A2276" t="s">
        <v>4558</v>
      </c>
      <c r="B2276" s="3" t="str">
        <f>HYPERLINK("http://www.ncbi.nlm.nih.gov/gene/269610","Chd5")</f>
        <v>Chd5</v>
      </c>
      <c r="C2276">
        <v>269610</v>
      </c>
      <c r="D2276" t="s">
        <v>4559</v>
      </c>
      <c r="E2276" s="3" t="str">
        <f>HYPERLINK("http://genome.ucsc.edu/cgi-bin/hgTracks?db=mm10&amp;lastVirtModeType=default&amp;lastVirtModeExtraState=&amp;virtModeType=default&amp;virtMode=0&amp;nonVirtPosition=&amp;position=chr4:152338650-152390194","chr4:152338650-152390194")</f>
        <v>chr4:152338650-152390194</v>
      </c>
      <c r="F2276" t="s">
        <v>30</v>
      </c>
      <c r="G2276">
        <v>0.58162585870151595</v>
      </c>
      <c r="H2276">
        <v>0.186173097849783</v>
      </c>
      <c r="I2276">
        <v>3.1241133408588002</v>
      </c>
      <c r="J2276">
        <v>1.78341745477791E-3</v>
      </c>
      <c r="K2276">
        <v>1.0488249071994299E-2</v>
      </c>
      <c r="L2276" t="s">
        <v>26</v>
      </c>
      <c r="M2276" t="s">
        <v>27</v>
      </c>
      <c r="N2276">
        <v>322.87632381004403</v>
      </c>
      <c r="O2276">
        <v>245.497718018011</v>
      </c>
      <c r="P2276">
        <v>380.91027815406801</v>
      </c>
      <c r="Q2276">
        <v>316.81495867725698</v>
      </c>
      <c r="R2276">
        <v>221.48487102771301</v>
      </c>
      <c r="S2276">
        <v>198.193324349063</v>
      </c>
      <c r="T2276">
        <v>435.38069798022002</v>
      </c>
      <c r="U2276">
        <v>413.26255195590801</v>
      </c>
      <c r="V2276">
        <v>295.73275680146099</v>
      </c>
      <c r="W2276">
        <v>379.26510587868398</v>
      </c>
    </row>
    <row r="2277" spans="1:23" x14ac:dyDescent="0.2">
      <c r="A2277" t="s">
        <v>4560</v>
      </c>
      <c r="B2277" s="3" t="str">
        <f>HYPERLINK("http://www.ncbi.nlm.nih.gov/gene/100041286","Snhg15")</f>
        <v>Snhg15</v>
      </c>
      <c r="C2277">
        <v>100041286</v>
      </c>
      <c r="D2277" t="s">
        <v>4561</v>
      </c>
      <c r="E2277" s="3" t="str">
        <f>HYPERLINK("http://genome.ucsc.edu/cgi-bin/hgTracks?db=mm10&amp;lastVirtModeType=default&amp;lastVirtModeExtraState=&amp;virtModeType=default&amp;virtMode=0&amp;nonVirtPosition=&amp;position=chr11:6525590-6528760","chr11:6525590-6528760")</f>
        <v>chr11:6525590-6528760</v>
      </c>
      <c r="F2277" t="s">
        <v>25</v>
      </c>
      <c r="G2277">
        <v>0.86041575149275096</v>
      </c>
      <c r="H2277">
        <v>0.27558841618763302</v>
      </c>
      <c r="I2277">
        <v>3.1221041994266701</v>
      </c>
      <c r="J2277">
        <v>1.79563372497816E-3</v>
      </c>
      <c r="K2277">
        <v>1.0555457072512099E-2</v>
      </c>
      <c r="L2277" t="s">
        <v>26</v>
      </c>
      <c r="M2277" t="s">
        <v>27</v>
      </c>
      <c r="N2277">
        <v>29.4633203673121</v>
      </c>
      <c r="O2277">
        <v>18.2528941388444</v>
      </c>
      <c r="P2277">
        <v>37.871140038662801</v>
      </c>
      <c r="Q2277">
        <v>14.4766061961489</v>
      </c>
      <c r="R2277">
        <v>20.1005105555973</v>
      </c>
      <c r="S2277">
        <v>20.181565664787101</v>
      </c>
      <c r="T2277">
        <v>41.246592440231403</v>
      </c>
      <c r="U2277">
        <v>42.825134917710699</v>
      </c>
      <c r="V2277">
        <v>31.6331058270219</v>
      </c>
      <c r="W2277">
        <v>35.779726969687196</v>
      </c>
    </row>
    <row r="2278" spans="1:23" x14ac:dyDescent="0.2">
      <c r="A2278" t="s">
        <v>4562</v>
      </c>
      <c r="B2278" s="3" t="str">
        <f>HYPERLINK("http://www.ncbi.nlm.nih.gov/gene/230770","Tmem39b")</f>
        <v>Tmem39b</v>
      </c>
      <c r="C2278">
        <v>230770</v>
      </c>
      <c r="D2278" t="s">
        <v>4563</v>
      </c>
      <c r="E2278" s="3" t="str">
        <f>HYPERLINK("http://genome.ucsc.edu/cgi-bin/hgTracks?db=mm10&amp;lastVirtModeType=default&amp;lastVirtModeExtraState=&amp;virtModeType=default&amp;virtMode=0&amp;nonVirtPosition=&amp;position=chr4:129676354-129696838","chr4:129676354-129696838")</f>
        <v>chr4:129676354-129696838</v>
      </c>
      <c r="F2278" t="s">
        <v>25</v>
      </c>
      <c r="G2278">
        <v>0.83302387985816295</v>
      </c>
      <c r="H2278">
        <v>0.26691460135446698</v>
      </c>
      <c r="I2278">
        <v>3.1209378416578</v>
      </c>
      <c r="J2278">
        <v>1.8027608188259201E-3</v>
      </c>
      <c r="K2278">
        <v>1.0592702994689699E-2</v>
      </c>
      <c r="L2278" t="s">
        <v>26</v>
      </c>
      <c r="M2278" t="s">
        <v>27</v>
      </c>
      <c r="N2278">
        <v>35.1538152381722</v>
      </c>
      <c r="O2278">
        <v>23.1692742753124</v>
      </c>
      <c r="P2278">
        <v>44.142220960316997</v>
      </c>
      <c r="Q2278">
        <v>28.396419846292002</v>
      </c>
      <c r="R2278">
        <v>17.824981058737201</v>
      </c>
      <c r="S2278">
        <v>23.286421920908101</v>
      </c>
      <c r="T2278">
        <v>36.663637724650101</v>
      </c>
      <c r="U2278">
        <v>55.672675393023901</v>
      </c>
      <c r="V2278">
        <v>44.874871056937998</v>
      </c>
      <c r="W2278">
        <v>39.357699666655897</v>
      </c>
    </row>
    <row r="2279" spans="1:23" x14ac:dyDescent="0.2">
      <c r="A2279" t="s">
        <v>4564</v>
      </c>
      <c r="B2279" s="3" t="str">
        <f>HYPERLINK("http://www.ncbi.nlm.nih.gov/gene/15078","H3f3a")</f>
        <v>H3f3a</v>
      </c>
      <c r="C2279">
        <v>15078</v>
      </c>
      <c r="D2279" t="s">
        <v>4565</v>
      </c>
      <c r="E2279" s="3" t="str">
        <f>HYPERLINK("http://genome.ucsc.edu/cgi-bin/hgTracks?db=mm10&amp;lastVirtModeType=default&amp;lastVirtModeExtraState=&amp;virtModeType=default&amp;virtMode=0&amp;nonVirtPosition=&amp;position=chr1:180802559-180813605","chr1:180802559-180813605")</f>
        <v>chr1:180802559-180813605</v>
      </c>
      <c r="F2279" t="s">
        <v>25</v>
      </c>
      <c r="G2279">
        <v>-0.69212680002919302</v>
      </c>
      <c r="H2279">
        <v>0.22197705053528499</v>
      </c>
      <c r="I2279">
        <v>-3.11801061578289</v>
      </c>
      <c r="J2279">
        <v>1.82076245200428E-3</v>
      </c>
      <c r="K2279">
        <v>1.06937850854339E-2</v>
      </c>
      <c r="L2279" t="s">
        <v>26</v>
      </c>
      <c r="M2279" t="s">
        <v>27</v>
      </c>
      <c r="N2279">
        <v>87.742663461318202</v>
      </c>
      <c r="O2279">
        <v>113.156466867003</v>
      </c>
      <c r="P2279">
        <v>68.682310907054799</v>
      </c>
      <c r="Q2279">
        <v>93.541147728961803</v>
      </c>
      <c r="R2279">
        <v>133.118475566314</v>
      </c>
      <c r="S2279">
        <v>112.80977730573299</v>
      </c>
      <c r="T2279">
        <v>91.659094311625296</v>
      </c>
      <c r="U2279">
        <v>47.107648409481797</v>
      </c>
      <c r="V2279">
        <v>78.714937755612596</v>
      </c>
      <c r="W2279">
        <v>57.247563151499499</v>
      </c>
    </row>
    <row r="2280" spans="1:23" x14ac:dyDescent="0.2">
      <c r="A2280" t="s">
        <v>4564</v>
      </c>
      <c r="B2280" s="3" t="str">
        <f>HYPERLINK("http://www.ncbi.nlm.nih.gov/gene/667250","Gm12657")</f>
        <v>Gm12657</v>
      </c>
      <c r="C2280">
        <v>667250</v>
      </c>
      <c r="D2280" t="s">
        <v>4566</v>
      </c>
      <c r="E2280" s="3" t="str">
        <f>HYPERLINK("http://genome.ucsc.edu/cgi-bin/hgTracks?db=mm10&amp;lastVirtModeType=default&amp;lastVirtModeExtraState=&amp;virtModeType=default&amp;virtMode=0&amp;nonVirtPosition=&amp;position=chr4:94593649-94600319","chr4:94593649-94600319")</f>
        <v>chr4:94593649-94600319</v>
      </c>
      <c r="F2280" t="s">
        <v>30</v>
      </c>
      <c r="G2280">
        <v>-0.69212680002919302</v>
      </c>
      <c r="H2280">
        <v>0.22197705053528499</v>
      </c>
      <c r="I2280">
        <v>-3.11801061578289</v>
      </c>
      <c r="J2280">
        <v>1.82076245200428E-3</v>
      </c>
      <c r="K2280">
        <v>1.06937850854339E-2</v>
      </c>
      <c r="L2280" t="s">
        <v>26</v>
      </c>
      <c r="M2280" t="s">
        <v>27</v>
      </c>
      <c r="N2280">
        <v>87.742663461318202</v>
      </c>
      <c r="O2280">
        <v>113.156466867003</v>
      </c>
      <c r="P2280">
        <v>68.682310907054799</v>
      </c>
      <c r="Q2280">
        <v>93.541147728961803</v>
      </c>
      <c r="R2280">
        <v>133.118475566314</v>
      </c>
      <c r="S2280">
        <v>112.80977730573299</v>
      </c>
      <c r="T2280">
        <v>91.659094311625296</v>
      </c>
      <c r="U2280">
        <v>47.107648409481797</v>
      </c>
      <c r="V2280">
        <v>78.714937755612596</v>
      </c>
      <c r="W2280">
        <v>57.247563151499499</v>
      </c>
    </row>
    <row r="2281" spans="1:23" x14ac:dyDescent="0.2">
      <c r="A2281" t="s">
        <v>4567</v>
      </c>
      <c r="B2281" s="3" t="str">
        <f>HYPERLINK("http://www.ncbi.nlm.nih.gov/gene/16480","Jup")</f>
        <v>Jup</v>
      </c>
      <c r="C2281">
        <v>16480</v>
      </c>
      <c r="D2281" t="s">
        <v>4568</v>
      </c>
      <c r="E2281" s="3" t="str">
        <f>HYPERLINK("http://genome.ucsc.edu/cgi-bin/hgTracks?db=mm10&amp;lastVirtModeType=default&amp;lastVirtModeExtraState=&amp;virtModeType=default&amp;virtMode=0&amp;nonVirtPosition=&amp;position=chr11:100368855-100397790","chr11:100368855-100397790")</f>
        <v>chr11:100368855-100397790</v>
      </c>
      <c r="F2281" t="s">
        <v>25</v>
      </c>
      <c r="G2281">
        <v>-0.72800756549297596</v>
      </c>
      <c r="H2281">
        <v>0.23353192451459201</v>
      </c>
      <c r="I2281">
        <v>-3.1173792063169801</v>
      </c>
      <c r="J2281">
        <v>1.82466704121083E-3</v>
      </c>
      <c r="K2281">
        <v>1.07120194427244E-2</v>
      </c>
      <c r="L2281" t="s">
        <v>26</v>
      </c>
      <c r="M2281" t="s">
        <v>27</v>
      </c>
      <c r="N2281">
        <v>145.021232902196</v>
      </c>
      <c r="O2281">
        <v>194.665024984403</v>
      </c>
      <c r="P2281">
        <v>107.788388840541</v>
      </c>
      <c r="Q2281">
        <v>253.89740097861099</v>
      </c>
      <c r="R2281">
        <v>201.76361538825901</v>
      </c>
      <c r="S2281">
        <v>128.33405858633799</v>
      </c>
      <c r="T2281">
        <v>68.744320733718993</v>
      </c>
      <c r="U2281">
        <v>119.91037776959</v>
      </c>
      <c r="V2281">
        <v>128.00373055585601</v>
      </c>
      <c r="W2281">
        <v>114.495126302999</v>
      </c>
    </row>
    <row r="2282" spans="1:23" x14ac:dyDescent="0.2">
      <c r="A2282" t="s">
        <v>4569</v>
      </c>
      <c r="B2282" s="3" t="str">
        <f>HYPERLINK("http://www.ncbi.nlm.nih.gov/gene/212127","Proser1")</f>
        <v>Proser1</v>
      </c>
      <c r="C2282">
        <v>212127</v>
      </c>
      <c r="D2282" t="s">
        <v>4570</v>
      </c>
      <c r="E2282" s="3" t="str">
        <f>HYPERLINK("http://genome.ucsc.edu/cgi-bin/hgTracks?db=mm10&amp;lastVirtModeType=default&amp;lastVirtModeExtraState=&amp;virtModeType=default&amp;virtMode=0&amp;nonVirtPosition=&amp;position=chr3:53463816-53481755","chr3:53463816-53481755")</f>
        <v>chr3:53463816-53481755</v>
      </c>
      <c r="F2282" t="s">
        <v>30</v>
      </c>
      <c r="G2282">
        <v>0.63544042778746601</v>
      </c>
      <c r="H2282">
        <v>0.203881369062274</v>
      </c>
      <c r="I2282">
        <v>3.1167165038673801</v>
      </c>
      <c r="J2282">
        <v>1.8287734186445499E-3</v>
      </c>
      <c r="K2282">
        <v>1.07314219321074E-2</v>
      </c>
      <c r="L2282" t="s">
        <v>26</v>
      </c>
      <c r="M2282" t="s">
        <v>27</v>
      </c>
      <c r="N2282">
        <v>119.916465317476</v>
      </c>
      <c r="O2282">
        <v>87.928496323239798</v>
      </c>
      <c r="P2282">
        <v>143.90744206315301</v>
      </c>
      <c r="Q2282">
        <v>81.848504262841601</v>
      </c>
      <c r="R2282">
        <v>70.162159486518803</v>
      </c>
      <c r="S2282">
        <v>111.77482522035901</v>
      </c>
      <c r="T2282">
        <v>174.152279192088</v>
      </c>
      <c r="U2282">
        <v>141.32294522844501</v>
      </c>
      <c r="V2282">
        <v>145.65941752907801</v>
      </c>
      <c r="W2282">
        <v>114.495126302999</v>
      </c>
    </row>
    <row r="2283" spans="1:23" x14ac:dyDescent="0.2">
      <c r="A2283" t="s">
        <v>4571</v>
      </c>
      <c r="B2283" s="3" t="str">
        <f>HYPERLINK("http://www.ncbi.nlm.nih.gov/gene/320705","Bend6")</f>
        <v>Bend6</v>
      </c>
      <c r="C2283">
        <v>320705</v>
      </c>
      <c r="D2283" t="s">
        <v>4572</v>
      </c>
      <c r="E2283" s="3" t="str">
        <f>HYPERLINK("http://genome.ucsc.edu/cgi-bin/hgTracks?db=mm10&amp;lastVirtModeType=default&amp;lastVirtModeExtraState=&amp;virtModeType=default&amp;virtMode=0&amp;nonVirtPosition=&amp;position=chr1:33852051-33907621","chr1:33852051-33907621")</f>
        <v>chr1:33852051-33907621</v>
      </c>
      <c r="F2283" t="s">
        <v>25</v>
      </c>
      <c r="G2283">
        <v>-0.83072903752071503</v>
      </c>
      <c r="H2283">
        <v>0.266579181089176</v>
      </c>
      <c r="I2283">
        <v>-3.11625624374178</v>
      </c>
      <c r="J2283">
        <v>1.8316303751100399E-3</v>
      </c>
      <c r="K2283">
        <v>1.07388646528579E-2</v>
      </c>
      <c r="L2283" t="s">
        <v>26</v>
      </c>
      <c r="M2283" t="s">
        <v>27</v>
      </c>
      <c r="N2283">
        <v>113.330264418993</v>
      </c>
      <c r="O2283">
        <v>157.57515334778</v>
      </c>
      <c r="P2283">
        <v>80.146597722403399</v>
      </c>
      <c r="Q2283">
        <v>154.23153524358599</v>
      </c>
      <c r="R2283">
        <v>222.24338086</v>
      </c>
      <c r="S2283">
        <v>96.250543939753697</v>
      </c>
      <c r="T2283">
        <v>54.995456586975202</v>
      </c>
      <c r="U2283">
        <v>96.356553564849094</v>
      </c>
      <c r="V2283">
        <v>65.473172525696498</v>
      </c>
      <c r="W2283">
        <v>103.761208212093</v>
      </c>
    </row>
    <row r="2284" spans="1:23" x14ac:dyDescent="0.2">
      <c r="A2284" t="s">
        <v>4573</v>
      </c>
      <c r="B2284" s="3" t="str">
        <f>HYPERLINK("http://www.ncbi.nlm.nih.gov/gene/67867","Lrrc28")</f>
        <v>Lrrc28</v>
      </c>
      <c r="C2284">
        <v>67867</v>
      </c>
      <c r="D2284" t="s">
        <v>4574</v>
      </c>
      <c r="E2284" s="3" t="str">
        <f>HYPERLINK("http://genome.ucsc.edu/cgi-bin/hgTracks?db=mm10&amp;lastVirtModeType=default&amp;lastVirtModeExtraState=&amp;virtModeType=default&amp;virtMode=0&amp;nonVirtPosition=&amp;position=chr7:67513409-67645236","chr7:67513409-67645236")</f>
        <v>chr7:67513409-67645236</v>
      </c>
      <c r="F2284" t="s">
        <v>25</v>
      </c>
      <c r="G2284">
        <v>-0.63622596788353702</v>
      </c>
      <c r="H2284">
        <v>0.20416372085203</v>
      </c>
      <c r="I2284">
        <v>-3.1162537850916698</v>
      </c>
      <c r="J2284">
        <v>1.8316456476086501E-3</v>
      </c>
      <c r="K2284">
        <v>1.07388646528579E-2</v>
      </c>
      <c r="L2284" t="s">
        <v>26</v>
      </c>
      <c r="M2284" t="s">
        <v>27</v>
      </c>
      <c r="N2284">
        <v>66.779817633277602</v>
      </c>
      <c r="O2284">
        <v>85.5810882736927</v>
      </c>
      <c r="P2284">
        <v>52.678864652966404</v>
      </c>
      <c r="Q2284">
        <v>94.097940274967499</v>
      </c>
      <c r="R2284">
        <v>81.919061886962396</v>
      </c>
      <c r="S2284">
        <v>80.726262659148205</v>
      </c>
      <c r="T2284">
        <v>50.4125018713939</v>
      </c>
      <c r="U2284">
        <v>55.672675393023901</v>
      </c>
      <c r="V2284">
        <v>58.116636286854202</v>
      </c>
      <c r="W2284">
        <v>46.513645060593397</v>
      </c>
    </row>
    <row r="2285" spans="1:23" x14ac:dyDescent="0.2">
      <c r="A2285" t="s">
        <v>4575</v>
      </c>
      <c r="B2285" s="3" t="str">
        <f>HYPERLINK("http://www.ncbi.nlm.nih.gov/gene/20719","Serpinb6a")</f>
        <v>Serpinb6a</v>
      </c>
      <c r="C2285">
        <v>20719</v>
      </c>
      <c r="D2285" t="s">
        <v>4576</v>
      </c>
      <c r="E2285" s="3" t="str">
        <f>HYPERLINK("http://genome.ucsc.edu/cgi-bin/hgTracks?db=mm10&amp;lastVirtModeType=default&amp;lastVirtModeExtraState=&amp;virtModeType=default&amp;virtMode=0&amp;nonVirtPosition=&amp;position=chr13:33917917-34002794","chr13:33917917-34002794")</f>
        <v>chr13:33917917-34002794</v>
      </c>
      <c r="F2285" t="s">
        <v>25</v>
      </c>
      <c r="G2285">
        <v>-0.60054532643876501</v>
      </c>
      <c r="H2285">
        <v>0.19276305400344401</v>
      </c>
      <c r="I2285">
        <v>-3.1154586626752399</v>
      </c>
      <c r="J2285">
        <v>1.836590884942E-3</v>
      </c>
      <c r="K2285">
        <v>1.0763145969478499E-2</v>
      </c>
      <c r="L2285" t="s">
        <v>26</v>
      </c>
      <c r="M2285" t="s">
        <v>27</v>
      </c>
      <c r="N2285">
        <v>101.71121312101501</v>
      </c>
      <c r="O2285">
        <v>129.9004430681</v>
      </c>
      <c r="P2285">
        <v>80.569290660700602</v>
      </c>
      <c r="Q2285">
        <v>156.458705427609</v>
      </c>
      <c r="R2285">
        <v>116.81051417214999</v>
      </c>
      <c r="S2285">
        <v>116.432109604541</v>
      </c>
      <c r="T2285">
        <v>64.161366018137699</v>
      </c>
      <c r="U2285">
        <v>83.509013089535898</v>
      </c>
      <c r="V2285">
        <v>87.542781242223398</v>
      </c>
      <c r="W2285">
        <v>87.064002292905499</v>
      </c>
    </row>
    <row r="2286" spans="1:23" x14ac:dyDescent="0.2">
      <c r="A2286" t="s">
        <v>4577</v>
      </c>
      <c r="B2286" s="3" t="str">
        <f>HYPERLINK("http://www.ncbi.nlm.nih.gov/gene/212377","Mms22l")</f>
        <v>Mms22l</v>
      </c>
      <c r="C2286">
        <v>212377</v>
      </c>
      <c r="D2286" t="s">
        <v>4578</v>
      </c>
      <c r="E2286" s="3" t="str">
        <f>HYPERLINK("http://genome.ucsc.edu/cgi-bin/hgTracks?db=mm10&amp;lastVirtModeType=default&amp;lastVirtModeExtraState=&amp;virtModeType=default&amp;virtMode=0&amp;nonVirtPosition=&amp;position=chr4:24496461-24602948","chr4:24496461-24602948")</f>
        <v>chr4:24496461-24602948</v>
      </c>
      <c r="F2286" t="s">
        <v>30</v>
      </c>
      <c r="G2286">
        <v>0.81089641007037605</v>
      </c>
      <c r="H2286">
        <v>0.260321197437823</v>
      </c>
      <c r="I2286">
        <v>3.1149841735959898</v>
      </c>
      <c r="J2286">
        <v>1.8395477957857699E-3</v>
      </c>
      <c r="K2286">
        <v>1.07757587635027E-2</v>
      </c>
      <c r="L2286" t="s">
        <v>26</v>
      </c>
      <c r="M2286" t="s">
        <v>27</v>
      </c>
      <c r="N2286">
        <v>149.54839217326901</v>
      </c>
      <c r="O2286">
        <v>98.260793938964994</v>
      </c>
      <c r="P2286">
        <v>188.01409084899601</v>
      </c>
      <c r="Q2286">
        <v>46.770573864480902</v>
      </c>
      <c r="R2286">
        <v>110.363180597713</v>
      </c>
      <c r="S2286">
        <v>137.64862735470101</v>
      </c>
      <c r="T2286">
        <v>215.39887163231899</v>
      </c>
      <c r="U2286">
        <v>177.72430990849901</v>
      </c>
      <c r="V2286">
        <v>172.878601612794</v>
      </c>
      <c r="W2286">
        <v>186.05458024237299</v>
      </c>
    </row>
    <row r="2287" spans="1:23" x14ac:dyDescent="0.2">
      <c r="A2287" t="s">
        <v>4579</v>
      </c>
      <c r="B2287" s="3" t="str">
        <f>HYPERLINK("http://www.ncbi.nlm.nih.gov/gene/545391","Gm16432")</f>
        <v>Gm16432</v>
      </c>
      <c r="C2287">
        <v>545391</v>
      </c>
      <c r="D2287" t="s">
        <v>4580</v>
      </c>
      <c r="E2287" s="3" t="str">
        <f>HYPERLINK("http://genome.ucsc.edu/cgi-bin/hgTracks?db=mm10&amp;lastVirtModeType=default&amp;lastVirtModeExtraState=&amp;virtModeType=default&amp;virtMode=0&amp;nonVirtPosition=&amp;position=chr1:177991434-178048291","chr1:177991434-178048291")</f>
        <v>chr1:177991434-178048291</v>
      </c>
      <c r="F2287" t="s">
        <v>30</v>
      </c>
      <c r="G2287">
        <v>-1.0826579732411601</v>
      </c>
      <c r="H2287">
        <v>0.347605921095611</v>
      </c>
      <c r="I2287">
        <v>-3.1146131510900399</v>
      </c>
      <c r="J2287">
        <v>1.8418629726121201E-3</v>
      </c>
      <c r="K2287">
        <v>1.07846030022951E-2</v>
      </c>
      <c r="L2287" t="s">
        <v>26</v>
      </c>
      <c r="M2287" t="s">
        <v>27</v>
      </c>
      <c r="N2287">
        <v>16.791744742038698</v>
      </c>
      <c r="O2287">
        <v>25.712622578078701</v>
      </c>
      <c r="P2287">
        <v>10.1010863650086</v>
      </c>
      <c r="Q2287">
        <v>26.169249662269099</v>
      </c>
      <c r="R2287">
        <v>33.3744326206143</v>
      </c>
      <c r="S2287">
        <v>17.5941854513528</v>
      </c>
      <c r="T2287">
        <v>13.7488641467438</v>
      </c>
      <c r="U2287">
        <v>8.5650269835421398</v>
      </c>
      <c r="V2287">
        <v>7.3565362388422999</v>
      </c>
      <c r="W2287">
        <v>10.733918090906201</v>
      </c>
    </row>
    <row r="2288" spans="1:23" x14ac:dyDescent="0.2">
      <c r="A2288" t="s">
        <v>4581</v>
      </c>
      <c r="B2288" s="3" t="str">
        <f>HYPERLINK("http://www.ncbi.nlm.nih.gov/gene/69890","Zfp219")</f>
        <v>Zfp219</v>
      </c>
      <c r="C2288">
        <v>69890</v>
      </c>
      <c r="D2288" t="s">
        <v>4582</v>
      </c>
      <c r="E2288" s="3" t="str">
        <f>HYPERLINK("http://genome.ucsc.edu/cgi-bin/hgTracks?db=mm10&amp;lastVirtModeType=default&amp;lastVirtModeExtraState=&amp;virtModeType=default&amp;virtMode=0&amp;nonVirtPosition=&amp;position=chr14:52006074-52014558","chr14:52006074-52014558")</f>
        <v>chr14:52006074-52014558</v>
      </c>
      <c r="F2288" t="s">
        <v>25</v>
      </c>
      <c r="G2288">
        <v>0.53579842229919294</v>
      </c>
      <c r="H2288">
        <v>0.17207901958649999</v>
      </c>
      <c r="I2288">
        <v>3.1136766329021301</v>
      </c>
      <c r="J2288">
        <v>1.8477187496622801E-3</v>
      </c>
      <c r="K2288">
        <v>1.0809303939472501E-2</v>
      </c>
      <c r="L2288" t="s">
        <v>26</v>
      </c>
      <c r="M2288" t="s">
        <v>27</v>
      </c>
      <c r="N2288">
        <v>422.45796950612498</v>
      </c>
      <c r="O2288">
        <v>332.95888020215602</v>
      </c>
      <c r="P2288">
        <v>489.58228648410102</v>
      </c>
      <c r="Q2288">
        <v>373.05100582383602</v>
      </c>
      <c r="R2288">
        <v>246.51569549317401</v>
      </c>
      <c r="S2288">
        <v>379.30993928945901</v>
      </c>
      <c r="T2288">
        <v>426.21478854905803</v>
      </c>
      <c r="U2288">
        <v>571.71555115143804</v>
      </c>
      <c r="V2288">
        <v>448.74871056938002</v>
      </c>
      <c r="W2288">
        <v>511.65009566652702</v>
      </c>
    </row>
    <row r="2289" spans="1:23" x14ac:dyDescent="0.2">
      <c r="A2289" t="s">
        <v>4583</v>
      </c>
      <c r="B2289" s="3" t="str">
        <f>HYPERLINK("http://www.ncbi.nlm.nih.gov/gene/67622","Mxra7")</f>
        <v>Mxra7</v>
      </c>
      <c r="C2289">
        <v>67622</v>
      </c>
      <c r="D2289" t="s">
        <v>4584</v>
      </c>
      <c r="E2289" s="3" t="str">
        <f>HYPERLINK("http://genome.ucsc.edu/cgi-bin/hgTracks?db=mm10&amp;lastVirtModeType=default&amp;lastVirtModeExtraState=&amp;virtModeType=default&amp;virtMode=0&amp;nonVirtPosition=&amp;position=chr11:116803399-116828046","chr11:116803399-116828046")</f>
        <v>chr11:116803399-116828046</v>
      </c>
      <c r="F2289" t="s">
        <v>25</v>
      </c>
      <c r="G2289">
        <v>0.807415590097735</v>
      </c>
      <c r="H2289">
        <v>0.25931797245739802</v>
      </c>
      <c r="I2289">
        <v>3.1136121513150501</v>
      </c>
      <c r="J2289">
        <v>1.84812256308203E-3</v>
      </c>
      <c r="K2289">
        <v>1.0809303939472501E-2</v>
      </c>
      <c r="L2289" t="s">
        <v>26</v>
      </c>
      <c r="M2289" t="s">
        <v>27</v>
      </c>
      <c r="N2289">
        <v>49.531562769534702</v>
      </c>
      <c r="O2289">
        <v>33.971878490428303</v>
      </c>
      <c r="P2289">
        <v>61.201325978864503</v>
      </c>
      <c r="Q2289">
        <v>42.873026042440799</v>
      </c>
      <c r="R2289">
        <v>31.098903123754301</v>
      </c>
      <c r="S2289">
        <v>27.943706305089801</v>
      </c>
      <c r="T2289">
        <v>32.0806830090688</v>
      </c>
      <c r="U2289">
        <v>77.0852428518793</v>
      </c>
      <c r="V2289">
        <v>58.116636286854202</v>
      </c>
      <c r="W2289">
        <v>77.522741767655603</v>
      </c>
    </row>
    <row r="2290" spans="1:23" x14ac:dyDescent="0.2">
      <c r="A2290" t="s">
        <v>4585</v>
      </c>
      <c r="B2290" s="3" t="str">
        <f>HYPERLINK("http://www.ncbi.nlm.nih.gov/gene/13047","Cux1")</f>
        <v>Cux1</v>
      </c>
      <c r="C2290">
        <v>13047</v>
      </c>
      <c r="D2290" t="s">
        <v>4586</v>
      </c>
      <c r="E2290" s="3" t="str">
        <f>HYPERLINK("http://genome.ucsc.edu/cgi-bin/hgTracks?db=mm10&amp;lastVirtModeType=default&amp;lastVirtModeExtraState=&amp;virtModeType=default&amp;virtMode=0&amp;nonVirtPosition=&amp;position=chr5:136248134-136565981","chr5:136248134-136565981")</f>
        <v>chr5:136248134-136565981</v>
      </c>
      <c r="F2290" t="s">
        <v>25</v>
      </c>
      <c r="G2290">
        <v>0.31844977812202901</v>
      </c>
      <c r="H2290">
        <v>0.102278632533864</v>
      </c>
      <c r="I2290">
        <v>3.1135513863718498</v>
      </c>
      <c r="J2290">
        <v>1.8485031753709301E-3</v>
      </c>
      <c r="K2290">
        <v>1.0809303939472501E-2</v>
      </c>
      <c r="L2290" t="s">
        <v>26</v>
      </c>
      <c r="M2290" t="s">
        <v>27</v>
      </c>
      <c r="N2290">
        <v>794.32142324657195</v>
      </c>
      <c r="O2290">
        <v>695.68274057460906</v>
      </c>
      <c r="P2290">
        <v>868.30043525054396</v>
      </c>
      <c r="Q2290">
        <v>755.01069238376294</v>
      </c>
      <c r="R2290">
        <v>657.24876967641603</v>
      </c>
      <c r="S2290">
        <v>674.78875966364899</v>
      </c>
      <c r="T2290">
        <v>847.84662238253395</v>
      </c>
      <c r="U2290">
        <v>880.05652255895495</v>
      </c>
      <c r="V2290">
        <v>899.70438201041304</v>
      </c>
      <c r="W2290">
        <v>845.59421405027399</v>
      </c>
    </row>
    <row r="2291" spans="1:23" x14ac:dyDescent="0.2">
      <c r="A2291" t="s">
        <v>4587</v>
      </c>
      <c r="B2291" s="3" t="str">
        <f>HYPERLINK("http://www.ncbi.nlm.nih.gov/gene/81905","Cacng8")</f>
        <v>Cacng8</v>
      </c>
      <c r="C2291">
        <v>81905</v>
      </c>
      <c r="D2291" t="s">
        <v>4588</v>
      </c>
      <c r="E2291" s="3" t="str">
        <f>HYPERLINK("http://genome.ucsc.edu/cgi-bin/hgTracks?db=mm10&amp;lastVirtModeType=default&amp;lastVirtModeExtraState=&amp;virtModeType=default&amp;virtMode=0&amp;nonVirtPosition=&amp;position=chr7:3394041-3415605","chr7:3394041-3415605")</f>
        <v>chr7:3394041-3415605</v>
      </c>
      <c r="F2291" t="s">
        <v>30</v>
      </c>
      <c r="G2291">
        <v>0.61177163365113196</v>
      </c>
      <c r="H2291">
        <v>0.196500953625216</v>
      </c>
      <c r="I2291">
        <v>3.1133265379360799</v>
      </c>
      <c r="J2291">
        <v>1.8499121808712E-3</v>
      </c>
      <c r="K2291">
        <v>1.08128214814693E-2</v>
      </c>
      <c r="L2291" t="s">
        <v>26</v>
      </c>
      <c r="M2291" t="s">
        <v>27</v>
      </c>
      <c r="N2291">
        <v>91.430465060454694</v>
      </c>
      <c r="O2291">
        <v>68.028342577084103</v>
      </c>
      <c r="P2291">
        <v>108.982056922982</v>
      </c>
      <c r="Q2291">
        <v>71.269445888732804</v>
      </c>
      <c r="R2291">
        <v>62.956316079795201</v>
      </c>
      <c r="S2291">
        <v>69.859265762724405</v>
      </c>
      <c r="T2291">
        <v>105.407958458369</v>
      </c>
      <c r="U2291">
        <v>141.32294522844501</v>
      </c>
      <c r="V2291">
        <v>89.014088489991806</v>
      </c>
      <c r="W2291">
        <v>100.183235515124</v>
      </c>
    </row>
    <row r="2292" spans="1:23" x14ac:dyDescent="0.2">
      <c r="A2292" t="s">
        <v>4589</v>
      </c>
      <c r="B2292" s="3" t="str">
        <f>HYPERLINK("http://www.ncbi.nlm.nih.gov/gene/268301","Sowahc")</f>
        <v>Sowahc</v>
      </c>
      <c r="C2292">
        <v>268301</v>
      </c>
      <c r="D2292" t="s">
        <v>4590</v>
      </c>
      <c r="E2292" s="3" t="str">
        <f>HYPERLINK("http://genome.ucsc.edu/cgi-bin/hgTracks?db=mm10&amp;lastVirtModeType=default&amp;lastVirtModeExtraState=&amp;virtModeType=default&amp;virtMode=0&amp;nonVirtPosition=&amp;position=chr10:59221921-59226433","chr10:59221921-59226433")</f>
        <v>chr10:59221921-59226433</v>
      </c>
      <c r="F2292" t="s">
        <v>30</v>
      </c>
      <c r="G2292">
        <v>-0.45422607369366602</v>
      </c>
      <c r="H2292">
        <v>0.14592253317620599</v>
      </c>
      <c r="I2292">
        <v>-3.1127891204107101</v>
      </c>
      <c r="J2292">
        <v>1.85328388918886E-3</v>
      </c>
      <c r="K2292">
        <v>1.0824515151102601E-2</v>
      </c>
      <c r="L2292" t="s">
        <v>26</v>
      </c>
      <c r="M2292" t="s">
        <v>27</v>
      </c>
      <c r="N2292">
        <v>339.616312572026</v>
      </c>
      <c r="O2292">
        <v>402.39817665433799</v>
      </c>
      <c r="P2292">
        <v>292.52991451029197</v>
      </c>
      <c r="Q2292">
        <v>479.39838211092899</v>
      </c>
      <c r="R2292">
        <v>372.807582568908</v>
      </c>
      <c r="S2292">
        <v>354.98856528317702</v>
      </c>
      <c r="T2292">
        <v>302.47501122836297</v>
      </c>
      <c r="U2292">
        <v>316.90599839105897</v>
      </c>
      <c r="V2292">
        <v>278.81272345212301</v>
      </c>
      <c r="W2292">
        <v>271.925924969623</v>
      </c>
    </row>
    <row r="2293" spans="1:23" x14ac:dyDescent="0.2">
      <c r="A2293" t="s">
        <v>4591</v>
      </c>
      <c r="B2293" s="3" t="str">
        <f>HYPERLINK("http://www.ncbi.nlm.nih.gov/gene/327762","Dna2")</f>
        <v>Dna2</v>
      </c>
      <c r="C2293">
        <v>327762</v>
      </c>
      <c r="D2293" t="s">
        <v>4592</v>
      </c>
      <c r="E2293" s="3" t="str">
        <f>HYPERLINK("http://genome.ucsc.edu/cgi-bin/hgTracks?db=mm10&amp;lastVirtModeType=default&amp;lastVirtModeExtraState=&amp;virtModeType=default&amp;virtMode=0&amp;nonVirtPosition=&amp;position=chr10:62947028-62974188","chr10:62947028-62974188")</f>
        <v>chr10:62947028-62974188</v>
      </c>
      <c r="F2293" t="s">
        <v>30</v>
      </c>
      <c r="G2293">
        <v>0.86918420764577398</v>
      </c>
      <c r="H2293">
        <v>0.279233540941634</v>
      </c>
      <c r="I2293">
        <v>3.1127500110291302</v>
      </c>
      <c r="J2293">
        <v>1.8535294781180101E-3</v>
      </c>
      <c r="K2293">
        <v>1.0824515151102601E-2</v>
      </c>
      <c r="L2293" t="s">
        <v>26</v>
      </c>
      <c r="M2293" t="s">
        <v>27</v>
      </c>
      <c r="N2293">
        <v>101.23642569857201</v>
      </c>
      <c r="O2293">
        <v>63.610737008819399</v>
      </c>
      <c r="P2293">
        <v>129.45569221588599</v>
      </c>
      <c r="Q2293">
        <v>27.8396273002862</v>
      </c>
      <c r="R2293">
        <v>78.126512725528997</v>
      </c>
      <c r="S2293">
        <v>84.866071000643004</v>
      </c>
      <c r="T2293">
        <v>128.322732036275</v>
      </c>
      <c r="U2293">
        <v>149.88797221198701</v>
      </c>
      <c r="V2293">
        <v>109.61238995875</v>
      </c>
      <c r="W2293">
        <v>129.99967465653</v>
      </c>
    </row>
    <row r="2294" spans="1:23" x14ac:dyDescent="0.2">
      <c r="A2294" t="s">
        <v>4593</v>
      </c>
      <c r="B2294" s="3" t="str">
        <f>HYPERLINK("http://www.ncbi.nlm.nih.gov/gene/101543","Wtip")</f>
        <v>Wtip</v>
      </c>
      <c r="C2294">
        <v>101543</v>
      </c>
      <c r="D2294" t="s">
        <v>4594</v>
      </c>
      <c r="E2294" s="3" t="str">
        <f>HYPERLINK("http://genome.ucsc.edu/cgi-bin/hgTracks?db=mm10&amp;lastVirtModeType=default&amp;lastVirtModeExtraState=&amp;virtModeType=default&amp;virtMode=0&amp;nonVirtPosition=&amp;position=chr7:34109549-34133268","chr7:34109549-34133268")</f>
        <v>chr7:34109549-34133268</v>
      </c>
      <c r="F2294" t="s">
        <v>25</v>
      </c>
      <c r="G2294">
        <v>0.71594257283774798</v>
      </c>
      <c r="H2294">
        <v>0.230028858956077</v>
      </c>
      <c r="I2294">
        <v>3.1124032701238402</v>
      </c>
      <c r="J2294">
        <v>1.85570815955758E-3</v>
      </c>
      <c r="K2294">
        <v>1.0832514369937001E-2</v>
      </c>
      <c r="L2294" t="s">
        <v>26</v>
      </c>
      <c r="M2294" t="s">
        <v>27</v>
      </c>
      <c r="N2294">
        <v>81.257223601374704</v>
      </c>
      <c r="O2294">
        <v>55.438304983986797</v>
      </c>
      <c r="P2294">
        <v>100.621412564415</v>
      </c>
      <c r="Q2294">
        <v>51.2249142325267</v>
      </c>
      <c r="R2294">
        <v>51.957923511638199</v>
      </c>
      <c r="S2294">
        <v>63.132077207795398</v>
      </c>
      <c r="T2294">
        <v>128.322732036275</v>
      </c>
      <c r="U2294">
        <v>117.769121023704</v>
      </c>
      <c r="V2294">
        <v>66.944479773464906</v>
      </c>
      <c r="W2294">
        <v>89.449317424217995</v>
      </c>
    </row>
    <row r="2295" spans="1:23" x14ac:dyDescent="0.2">
      <c r="A2295" t="s">
        <v>4595</v>
      </c>
      <c r="B2295" s="3" t="str">
        <f>HYPERLINK("http://www.ncbi.nlm.nih.gov/gene/22174","Tyro3")</f>
        <v>Tyro3</v>
      </c>
      <c r="C2295">
        <v>22174</v>
      </c>
      <c r="D2295" t="s">
        <v>4596</v>
      </c>
      <c r="E2295" s="3" t="str">
        <f>HYPERLINK("http://genome.ucsc.edu/cgi-bin/hgTracks?db=mm10&amp;lastVirtModeType=default&amp;lastVirtModeExtraState=&amp;virtModeType=default&amp;virtMode=0&amp;nonVirtPosition=&amp;position=chr2:119797739-119818103","chr2:119797739-119818103")</f>
        <v>chr2:119797739-119818103</v>
      </c>
      <c r="F2295" t="s">
        <v>30</v>
      </c>
      <c r="G2295">
        <v>-0.62853188766962298</v>
      </c>
      <c r="H2295">
        <v>0.20195382678105001</v>
      </c>
      <c r="I2295">
        <v>-3.1122553986117398</v>
      </c>
      <c r="J2295">
        <v>1.8566379978823299E-3</v>
      </c>
      <c r="K2295">
        <v>1.0833219795051099E-2</v>
      </c>
      <c r="L2295" t="s">
        <v>26</v>
      </c>
      <c r="M2295" t="s">
        <v>27</v>
      </c>
      <c r="N2295">
        <v>120.344175792922</v>
      </c>
      <c r="O2295">
        <v>152.98133376617801</v>
      </c>
      <c r="P2295">
        <v>95.866307312980098</v>
      </c>
      <c r="Q2295">
        <v>172.60568926177501</v>
      </c>
      <c r="R2295">
        <v>169.90620243221801</v>
      </c>
      <c r="S2295">
        <v>116.432109604541</v>
      </c>
      <c r="T2295">
        <v>82.493184880462707</v>
      </c>
      <c r="U2295">
        <v>122.051634515476</v>
      </c>
      <c r="V2295">
        <v>88.278434866107602</v>
      </c>
      <c r="W2295">
        <v>90.6419749898742</v>
      </c>
    </row>
    <row r="2296" spans="1:23" x14ac:dyDescent="0.2">
      <c r="A2296" t="s">
        <v>4597</v>
      </c>
      <c r="B2296" s="3" t="str">
        <f>HYPERLINK("http://www.ncbi.nlm.nih.gov/gene/70591","5730455P16Rik")</f>
        <v>5730455P16Rik</v>
      </c>
      <c r="C2296">
        <v>70591</v>
      </c>
      <c r="D2296" t="s">
        <v>4598</v>
      </c>
      <c r="E2296" s="3" t="str">
        <f>HYPERLINK("http://genome.ucsc.edu/cgi-bin/hgTracks?db=mm10&amp;lastVirtModeType=default&amp;lastVirtModeExtraState=&amp;virtModeType=default&amp;virtMode=0&amp;nonVirtPosition=&amp;position=chr11:80360491-80378015","chr11:80360491-80378015")</f>
        <v>chr11:80360491-80378015</v>
      </c>
      <c r="F2296" t="s">
        <v>25</v>
      </c>
      <c r="G2296">
        <v>-0.49795356356070303</v>
      </c>
      <c r="H2296">
        <v>0.16001628362860901</v>
      </c>
      <c r="I2296">
        <v>-3.1118930665608402</v>
      </c>
      <c r="J2296">
        <v>1.85891820604759E-3</v>
      </c>
      <c r="K2296">
        <v>1.08418003907593E-2</v>
      </c>
      <c r="L2296" t="s">
        <v>26</v>
      </c>
      <c r="M2296" t="s">
        <v>27</v>
      </c>
      <c r="N2296">
        <v>205.37216403235001</v>
      </c>
      <c r="O2296">
        <v>248.93168505722201</v>
      </c>
      <c r="P2296">
        <v>172.70252326369501</v>
      </c>
      <c r="Q2296">
        <v>221.04664076427301</v>
      </c>
      <c r="R2296">
        <v>299.61138375324202</v>
      </c>
      <c r="S2296">
        <v>226.137030654152</v>
      </c>
      <c r="T2296">
        <v>160.40341504534399</v>
      </c>
      <c r="U2296">
        <v>182.00682340027001</v>
      </c>
      <c r="V2296">
        <v>180.23513785163601</v>
      </c>
      <c r="W2296">
        <v>168.16471675752999</v>
      </c>
    </row>
    <row r="2297" spans="1:23" x14ac:dyDescent="0.2">
      <c r="A2297" t="s">
        <v>4599</v>
      </c>
      <c r="B2297" s="3" t="str">
        <f>HYPERLINK("http://www.ncbi.nlm.nih.gov/gene/319555","Nwd1")</f>
        <v>Nwd1</v>
      </c>
      <c r="C2297">
        <v>319555</v>
      </c>
      <c r="D2297" t="s">
        <v>4600</v>
      </c>
      <c r="E2297" s="3" t="str">
        <f>HYPERLINK("http://genome.ucsc.edu/cgi-bin/hgTracks?db=mm10&amp;lastVirtModeType=default&amp;lastVirtModeExtraState=&amp;virtModeType=default&amp;virtMode=0&amp;nonVirtPosition=&amp;position=chr8:72646710-72714748","chr8:72646710-72714748")</f>
        <v>chr8:72646710-72714748</v>
      </c>
      <c r="F2297" t="s">
        <v>30</v>
      </c>
      <c r="G2297">
        <v>-0.67666609146087597</v>
      </c>
      <c r="H2297">
        <v>0.21749813916468599</v>
      </c>
      <c r="I2297">
        <v>-3.11113508400418</v>
      </c>
      <c r="J2297">
        <v>1.8636966229893101E-3</v>
      </c>
      <c r="K2297">
        <v>1.0864937517827499E-2</v>
      </c>
      <c r="L2297" t="s">
        <v>26</v>
      </c>
      <c r="M2297" t="s">
        <v>27</v>
      </c>
      <c r="N2297">
        <v>168.68584933393501</v>
      </c>
      <c r="O2297">
        <v>217.83667401775801</v>
      </c>
      <c r="P2297">
        <v>131.82273082106801</v>
      </c>
      <c r="Q2297">
        <v>263.91966680671402</v>
      </c>
      <c r="R2297">
        <v>230.20773409901</v>
      </c>
      <c r="S2297">
        <v>159.382621147549</v>
      </c>
      <c r="T2297">
        <v>132.90568675185699</v>
      </c>
      <c r="U2297">
        <v>134.89917499078899</v>
      </c>
      <c r="V2297">
        <v>94.899317481065694</v>
      </c>
      <c r="W2297">
        <v>164.58674406056099</v>
      </c>
    </row>
    <row r="2298" spans="1:23" x14ac:dyDescent="0.2">
      <c r="A2298" t="s">
        <v>4601</v>
      </c>
      <c r="B2298" s="3" t="str">
        <f>HYPERLINK("http://www.ncbi.nlm.nih.gov/gene/67228","Dph7")</f>
        <v>Dph7</v>
      </c>
      <c r="C2298">
        <v>67228</v>
      </c>
      <c r="D2298" t="s">
        <v>4602</v>
      </c>
      <c r="E2298" s="3" t="str">
        <f>HYPERLINK("http://genome.ucsc.edu/cgi-bin/hgTracks?db=mm10&amp;lastVirtModeType=default&amp;lastVirtModeExtraState=&amp;virtModeType=default&amp;virtMode=0&amp;nonVirtPosition=&amp;position=chr2:24962421-24973471","chr2:24962421-24973471")</f>
        <v>chr2:24962421-24973471</v>
      </c>
      <c r="F2298" t="s">
        <v>30</v>
      </c>
      <c r="G2298">
        <v>-0.67585902628547601</v>
      </c>
      <c r="H2298">
        <v>0.217281515851485</v>
      </c>
      <c r="I2298">
        <v>-3.11052241897757</v>
      </c>
      <c r="J2298">
        <v>1.86756718361022E-3</v>
      </c>
      <c r="K2298">
        <v>1.0882764210498001E-2</v>
      </c>
      <c r="L2298" t="s">
        <v>26</v>
      </c>
      <c r="M2298" t="s">
        <v>27</v>
      </c>
      <c r="N2298">
        <v>63.8109401488679</v>
      </c>
      <c r="O2298">
        <v>84.266614167689497</v>
      </c>
      <c r="P2298">
        <v>48.469184634751699</v>
      </c>
      <c r="Q2298">
        <v>77.950956440801505</v>
      </c>
      <c r="R2298">
        <v>96.710003616552896</v>
      </c>
      <c r="S2298">
        <v>78.138882445714003</v>
      </c>
      <c r="T2298">
        <v>36.663637724650101</v>
      </c>
      <c r="U2298">
        <v>51.390161901252803</v>
      </c>
      <c r="V2298">
        <v>58.116636286854202</v>
      </c>
      <c r="W2298">
        <v>47.706302626249602</v>
      </c>
    </row>
    <row r="2299" spans="1:23" x14ac:dyDescent="0.2">
      <c r="A2299" t="s">
        <v>4603</v>
      </c>
      <c r="B2299" s="3" t="str">
        <f>HYPERLINK("http://www.ncbi.nlm.nih.gov/gene/12607","Cebpz")</f>
        <v>Cebpz</v>
      </c>
      <c r="C2299">
        <v>12607</v>
      </c>
      <c r="D2299" t="s">
        <v>4604</v>
      </c>
      <c r="E2299" s="3" t="str">
        <f>HYPERLINK("http://genome.ucsc.edu/cgi-bin/hgTracks?db=mm10&amp;lastVirtModeType=default&amp;lastVirtModeExtraState=&amp;virtModeType=default&amp;virtMode=0&amp;nonVirtPosition=&amp;position=chr17:78919002-78937070","chr17:78919002-78937070")</f>
        <v>chr17:78919002-78937070</v>
      </c>
      <c r="F2299" t="s">
        <v>25</v>
      </c>
      <c r="G2299">
        <v>-0.49463229119848401</v>
      </c>
      <c r="H2299">
        <v>0.15902749745696301</v>
      </c>
      <c r="I2299">
        <v>-3.11035700811644</v>
      </c>
      <c r="J2299">
        <v>1.8686134452810801E-3</v>
      </c>
      <c r="K2299">
        <v>1.0884124682800801E-2</v>
      </c>
      <c r="L2299" t="s">
        <v>26</v>
      </c>
      <c r="M2299" t="s">
        <v>27</v>
      </c>
      <c r="N2299">
        <v>267.27355352474899</v>
      </c>
      <c r="O2299">
        <v>328.13057155602201</v>
      </c>
      <c r="P2299">
        <v>221.630790001294</v>
      </c>
      <c r="Q2299">
        <v>297.88401211306302</v>
      </c>
      <c r="R2299">
        <v>362.56769983303701</v>
      </c>
      <c r="S2299">
        <v>323.94000272196701</v>
      </c>
      <c r="T2299">
        <v>160.40341504534399</v>
      </c>
      <c r="U2299">
        <v>214.12567458855401</v>
      </c>
      <c r="V2299">
        <v>266.30661184609102</v>
      </c>
      <c r="W2299">
        <v>245.68745852518501</v>
      </c>
    </row>
    <row r="2300" spans="1:23" x14ac:dyDescent="0.2">
      <c r="A2300" t="s">
        <v>4605</v>
      </c>
      <c r="B2300" s="3" t="str">
        <f>HYPERLINK("http://www.ncbi.nlm.nih.gov/gene/100303751","Snora31")</f>
        <v>Snora31</v>
      </c>
      <c r="C2300">
        <v>100303751</v>
      </c>
      <c r="D2300" t="s">
        <v>4606</v>
      </c>
      <c r="E2300" s="3" t="str">
        <f>HYPERLINK("http://genome.ucsc.edu/cgi-bin/hgTracks?db=mm10&amp;lastVirtModeType=default&amp;lastVirtModeExtraState=&amp;virtModeType=default&amp;virtMode=0&amp;nonVirtPosition=&amp;position=chr14:75847922-75848034","chr14:75847922-75848034")</f>
        <v>chr14:75847922-75848034</v>
      </c>
      <c r="F2300" t="s">
        <v>30</v>
      </c>
      <c r="G2300">
        <v>1.1896789474889</v>
      </c>
      <c r="H2300">
        <v>0.38252741873574497</v>
      </c>
      <c r="I2300">
        <v>3.1100488206068899</v>
      </c>
      <c r="J2300">
        <v>1.8705642383510101E-3</v>
      </c>
      <c r="K2300">
        <v>1.08907503111993E-2</v>
      </c>
      <c r="L2300" t="s">
        <v>26</v>
      </c>
      <c r="M2300" t="s">
        <v>27</v>
      </c>
      <c r="N2300">
        <v>11.1677562537719</v>
      </c>
      <c r="O2300">
        <v>3.9301962738831402</v>
      </c>
      <c r="P2300">
        <v>16.595926238688499</v>
      </c>
      <c r="Q2300">
        <v>3.3407552760343502</v>
      </c>
      <c r="R2300">
        <v>3.7925491614334499</v>
      </c>
      <c r="S2300">
        <v>4.6572843841816303</v>
      </c>
      <c r="T2300">
        <v>32.0806830090688</v>
      </c>
      <c r="U2300">
        <v>10.7062837294277</v>
      </c>
      <c r="V2300">
        <v>8.0921898627265296</v>
      </c>
      <c r="W2300">
        <v>15.504548353531099</v>
      </c>
    </row>
    <row r="2301" spans="1:23" x14ac:dyDescent="0.2">
      <c r="A2301" t="s">
        <v>4607</v>
      </c>
      <c r="B2301" s="3" t="str">
        <f>HYPERLINK("http://www.ncbi.nlm.nih.gov/gene/14020","Evi5")</f>
        <v>Evi5</v>
      </c>
      <c r="C2301">
        <v>14020</v>
      </c>
      <c r="D2301" t="s">
        <v>4608</v>
      </c>
      <c r="E2301" s="3" t="str">
        <f>HYPERLINK("http://genome.ucsc.edu/cgi-bin/hgTracks?db=mm10&amp;lastVirtModeType=default&amp;lastVirtModeExtraState=&amp;virtModeType=default&amp;virtMode=0&amp;nonVirtPosition=&amp;position=chr5:107744794-107875107","chr5:107744794-107875107")</f>
        <v>chr5:107744794-107875107</v>
      </c>
      <c r="F2301" t="s">
        <v>25</v>
      </c>
      <c r="G2301">
        <v>-0.459729685467822</v>
      </c>
      <c r="H2301">
        <v>0.14785165512894</v>
      </c>
      <c r="I2301">
        <v>-3.1093983024193799</v>
      </c>
      <c r="J2301">
        <v>1.8746880906171401E-3</v>
      </c>
      <c r="K2301">
        <v>1.09095165390542E-2</v>
      </c>
      <c r="L2301" t="s">
        <v>26</v>
      </c>
      <c r="M2301" t="s">
        <v>27</v>
      </c>
      <c r="N2301">
        <v>663.80416888813704</v>
      </c>
      <c r="O2301">
        <v>793.05596638516602</v>
      </c>
      <c r="P2301">
        <v>566.86532076536503</v>
      </c>
      <c r="Q2301">
        <v>976.61412569404195</v>
      </c>
      <c r="R2301">
        <v>712.24073251720097</v>
      </c>
      <c r="S2301">
        <v>690.31304094425502</v>
      </c>
      <c r="T2301">
        <v>536.20570172300802</v>
      </c>
      <c r="U2301">
        <v>554.58549718435404</v>
      </c>
      <c r="V2301">
        <v>620.89165855829003</v>
      </c>
      <c r="W2301">
        <v>555.77842559580802</v>
      </c>
    </row>
    <row r="2302" spans="1:23" x14ac:dyDescent="0.2">
      <c r="A2302" t="s">
        <v>4609</v>
      </c>
      <c r="B2302" s="3" t="str">
        <f>HYPERLINK("http://www.ncbi.nlm.nih.gov/gene/108911","Rcc2")</f>
        <v>Rcc2</v>
      </c>
      <c r="C2302">
        <v>108911</v>
      </c>
      <c r="D2302" t="s">
        <v>4610</v>
      </c>
      <c r="E2302" s="3" t="str">
        <f>HYPERLINK("http://genome.ucsc.edu/cgi-bin/hgTracks?db=mm10&amp;lastVirtModeType=default&amp;lastVirtModeExtraState=&amp;virtModeType=default&amp;virtMode=0&amp;nonVirtPosition=&amp;position=chr4:140701472-140723220","chr4:140701472-140723220")</f>
        <v>chr4:140701472-140723220</v>
      </c>
      <c r="F2302" t="s">
        <v>30</v>
      </c>
      <c r="G2302">
        <v>0.53349369889690301</v>
      </c>
      <c r="H2302">
        <v>0.17158091318034699</v>
      </c>
      <c r="I2302">
        <v>3.1092834803609701</v>
      </c>
      <c r="J2302">
        <v>1.8754168525803E-3</v>
      </c>
      <c r="K2302">
        <v>1.09095165390542E-2</v>
      </c>
      <c r="L2302" t="s">
        <v>26</v>
      </c>
      <c r="M2302" t="s">
        <v>27</v>
      </c>
      <c r="N2302">
        <v>1372.4382928016</v>
      </c>
      <c r="O2302">
        <v>1080.95855504013</v>
      </c>
      <c r="P2302">
        <v>1591.0480961227099</v>
      </c>
      <c r="Q2302">
        <v>807.90598425430699</v>
      </c>
      <c r="R2302">
        <v>1086.9445896668301</v>
      </c>
      <c r="S2302">
        <v>1348.02509119924</v>
      </c>
      <c r="T2302">
        <v>1351.97164109647</v>
      </c>
      <c r="U2302">
        <v>1794.3731530520799</v>
      </c>
      <c r="V2302">
        <v>1602.9892464437401</v>
      </c>
      <c r="W2302">
        <v>1614.8583438985499</v>
      </c>
    </row>
    <row r="2303" spans="1:23" x14ac:dyDescent="0.2">
      <c r="A2303" t="s">
        <v>4611</v>
      </c>
      <c r="B2303" s="3" t="str">
        <f>HYPERLINK("http://www.ncbi.nlm.nih.gov/gene/56332","Amotl2")</f>
        <v>Amotl2</v>
      </c>
      <c r="C2303">
        <v>56332</v>
      </c>
      <c r="D2303" t="s">
        <v>4612</v>
      </c>
      <c r="E2303" s="3" t="str">
        <f>HYPERLINK("http://genome.ucsc.edu/cgi-bin/hgTracks?db=mm10&amp;lastVirtModeType=default&amp;lastVirtModeExtraState=&amp;virtModeType=default&amp;virtMode=0&amp;nonVirtPosition=&amp;position=chr9:102717803-102733417","chr9:102717803-102733417")</f>
        <v>chr9:102717803-102733417</v>
      </c>
      <c r="F2303" t="s">
        <v>30</v>
      </c>
      <c r="G2303">
        <v>0.55095942108267104</v>
      </c>
      <c r="H2303">
        <v>0.177243308701521</v>
      </c>
      <c r="I2303">
        <v>3.1084920785951402</v>
      </c>
      <c r="J2303">
        <v>1.8804468678559499E-3</v>
      </c>
      <c r="K2303">
        <v>1.09340269246457E-2</v>
      </c>
      <c r="L2303" t="s">
        <v>26</v>
      </c>
      <c r="M2303" t="s">
        <v>27</v>
      </c>
      <c r="N2303">
        <v>321.57420930956698</v>
      </c>
      <c r="O2303">
        <v>251.885778279211</v>
      </c>
      <c r="P2303">
        <v>373.84053258233399</v>
      </c>
      <c r="Q2303">
        <v>300.11118229708597</v>
      </c>
      <c r="R2303">
        <v>181.28384991651899</v>
      </c>
      <c r="S2303">
        <v>274.26230262402902</v>
      </c>
      <c r="T2303">
        <v>334.55569423743202</v>
      </c>
      <c r="U2303">
        <v>383.28495751351102</v>
      </c>
      <c r="V2303">
        <v>355.32070033608301</v>
      </c>
      <c r="W2303">
        <v>422.20077824230901</v>
      </c>
    </row>
    <row r="2304" spans="1:23" x14ac:dyDescent="0.2">
      <c r="A2304" t="s">
        <v>4613</v>
      </c>
      <c r="B2304" s="3" t="str">
        <f>HYPERLINK("http://www.ncbi.nlm.nih.gov/gene/12495","Entpd1")</f>
        <v>Entpd1</v>
      </c>
      <c r="C2304">
        <v>12495</v>
      </c>
      <c r="D2304" t="s">
        <v>4614</v>
      </c>
      <c r="E2304" s="3" t="str">
        <f>HYPERLINK("http://genome.ucsc.edu/cgi-bin/hgTracks?db=mm10&amp;lastVirtModeType=default&amp;lastVirtModeExtraState=&amp;virtModeType=default&amp;virtMode=0&amp;nonVirtPosition=&amp;position=chr19:40659769-40741602","chr19:40659769-40741602")</f>
        <v>chr19:40659769-40741602</v>
      </c>
      <c r="F2304" t="s">
        <v>30</v>
      </c>
      <c r="G2304">
        <v>-0.48434012854562503</v>
      </c>
      <c r="H2304">
        <v>0.15582181060530101</v>
      </c>
      <c r="I2304">
        <v>-3.1082948315397601</v>
      </c>
      <c r="J2304">
        <v>1.8817024643539499E-3</v>
      </c>
      <c r="K2304">
        <v>1.09365788629183E-2</v>
      </c>
      <c r="L2304" t="s">
        <v>26</v>
      </c>
      <c r="M2304" t="s">
        <v>27</v>
      </c>
      <c r="N2304">
        <v>311.86538207108703</v>
      </c>
      <c r="O2304">
        <v>374.07343064469899</v>
      </c>
      <c r="P2304">
        <v>265.20934564087702</v>
      </c>
      <c r="Q2304">
        <v>453.22913244865998</v>
      </c>
      <c r="R2304">
        <v>348.15601301958998</v>
      </c>
      <c r="S2304">
        <v>320.83514646584598</v>
      </c>
      <c r="T2304">
        <v>288.72614708162001</v>
      </c>
      <c r="U2304">
        <v>237.67949879329399</v>
      </c>
      <c r="V2304">
        <v>249.386578496754</v>
      </c>
      <c r="W2304">
        <v>285.04515819184098</v>
      </c>
    </row>
    <row r="2305" spans="1:23" x14ac:dyDescent="0.2">
      <c r="A2305" t="s">
        <v>4615</v>
      </c>
      <c r="B2305" s="3" t="str">
        <f>HYPERLINK("http://www.ncbi.nlm.nih.gov/gene/67636","Lyrm5")</f>
        <v>Lyrm5</v>
      </c>
      <c r="C2305">
        <v>67636</v>
      </c>
      <c r="D2305" t="s">
        <v>4616</v>
      </c>
      <c r="E2305" s="3" t="str">
        <f>HYPERLINK("http://genome.ucsc.edu/cgi-bin/hgTracks?db=mm10&amp;lastVirtModeType=default&amp;lastVirtModeExtraState=&amp;virtModeType=default&amp;virtMode=0&amp;nonVirtPosition=&amp;position=chr6:145211133-145216542","chr6:145211133-145216542")</f>
        <v>chr6:145211133-145216542</v>
      </c>
      <c r="F2305" t="s">
        <v>30</v>
      </c>
      <c r="G2305">
        <v>-0.61157942758448702</v>
      </c>
      <c r="H2305">
        <v>0.19676833607091601</v>
      </c>
      <c r="I2305">
        <v>-3.1081191201620602</v>
      </c>
      <c r="J2305">
        <v>1.8828216217818101E-3</v>
      </c>
      <c r="K2305">
        <v>1.0938335938082499E-2</v>
      </c>
      <c r="L2305" t="s">
        <v>26</v>
      </c>
      <c r="M2305" t="s">
        <v>27</v>
      </c>
      <c r="N2305">
        <v>80.106760218328304</v>
      </c>
      <c r="O2305">
        <v>102.731316824082</v>
      </c>
      <c r="P2305">
        <v>63.138342764013203</v>
      </c>
      <c r="Q2305">
        <v>94.097940274967499</v>
      </c>
      <c r="R2305">
        <v>116.81051417214999</v>
      </c>
      <c r="S2305">
        <v>97.285496025127401</v>
      </c>
      <c r="T2305">
        <v>50.4125018713939</v>
      </c>
      <c r="U2305">
        <v>66.378959122451604</v>
      </c>
      <c r="V2305">
        <v>71.3584015167703</v>
      </c>
      <c r="W2305">
        <v>64.403508545436907</v>
      </c>
    </row>
    <row r="2306" spans="1:23" x14ac:dyDescent="0.2">
      <c r="A2306" t="s">
        <v>4617</v>
      </c>
      <c r="B2306" s="3" t="str">
        <f>HYPERLINK("http://www.ncbi.nlm.nih.gov/gene/12006","Axin2")</f>
        <v>Axin2</v>
      </c>
      <c r="C2306">
        <v>12006</v>
      </c>
      <c r="D2306" t="s">
        <v>4618</v>
      </c>
      <c r="E2306" s="3" t="str">
        <f>HYPERLINK("http://genome.ucsc.edu/cgi-bin/hgTracks?db=mm10&amp;lastVirtModeType=default&amp;lastVirtModeExtraState=&amp;virtModeType=default&amp;virtMode=0&amp;nonVirtPosition=&amp;position=chr11:108920348-108950781","chr11:108920348-108950781")</f>
        <v>chr11:108920348-108950781</v>
      </c>
      <c r="F2306" t="s">
        <v>30</v>
      </c>
      <c r="G2306">
        <v>0.712867626471403</v>
      </c>
      <c r="H2306">
        <v>0.229377506703168</v>
      </c>
      <c r="I2306">
        <v>3.1078357974912798</v>
      </c>
      <c r="J2306">
        <v>1.88462747497188E-3</v>
      </c>
      <c r="K2306">
        <v>1.09393471788885E-2</v>
      </c>
      <c r="L2306" t="s">
        <v>26</v>
      </c>
      <c r="M2306" t="s">
        <v>27</v>
      </c>
      <c r="N2306">
        <v>174.373080776878</v>
      </c>
      <c r="O2306">
        <v>123.899372903388</v>
      </c>
      <c r="P2306">
        <v>212.22836168199501</v>
      </c>
      <c r="Q2306">
        <v>136.414173771403</v>
      </c>
      <c r="R2306">
        <v>106.94988635242299</v>
      </c>
      <c r="S2306">
        <v>128.33405858633799</v>
      </c>
      <c r="T2306">
        <v>210.81591691673799</v>
      </c>
      <c r="U2306">
        <v>152.02922895787299</v>
      </c>
      <c r="V2306">
        <v>164.05075812618301</v>
      </c>
      <c r="W2306">
        <v>322.017542727185</v>
      </c>
    </row>
    <row r="2307" spans="1:23" x14ac:dyDescent="0.2">
      <c r="A2307" t="s">
        <v>4619</v>
      </c>
      <c r="B2307" s="3" t="str">
        <f>HYPERLINK("http://www.ncbi.nlm.nih.gov/gene/68964","Ctc1")</f>
        <v>Ctc1</v>
      </c>
      <c r="C2307">
        <v>68964</v>
      </c>
      <c r="D2307" t="s">
        <v>4620</v>
      </c>
      <c r="E2307" s="3" t="str">
        <f>HYPERLINK("http://genome.ucsc.edu/cgi-bin/hgTracks?db=mm10&amp;lastVirtModeType=default&amp;lastVirtModeExtraState=&amp;virtModeType=default&amp;virtMode=0&amp;nonVirtPosition=&amp;position=chr11:69015910-69036473","chr11:69015910-69036473")</f>
        <v>chr11:69015910-69036473</v>
      </c>
      <c r="F2307" t="s">
        <v>30</v>
      </c>
      <c r="G2307">
        <v>0.42879668171742902</v>
      </c>
      <c r="H2307">
        <v>0.13797305945291999</v>
      </c>
      <c r="I2307">
        <v>3.1078290458851998</v>
      </c>
      <c r="J2307">
        <v>1.8846705280255E-3</v>
      </c>
      <c r="K2307">
        <v>1.09393471788885E-2</v>
      </c>
      <c r="L2307" t="s">
        <v>26</v>
      </c>
      <c r="M2307" t="s">
        <v>27</v>
      </c>
      <c r="N2307">
        <v>288.25790347161097</v>
      </c>
      <c r="O2307">
        <v>236.88700428937599</v>
      </c>
      <c r="P2307">
        <v>326.786077858287</v>
      </c>
      <c r="Q2307">
        <v>225.500981132319</v>
      </c>
      <c r="R2307">
        <v>215.037537453276</v>
      </c>
      <c r="S2307">
        <v>270.12249428253398</v>
      </c>
      <c r="T2307">
        <v>362.05342253091999</v>
      </c>
      <c r="U2307">
        <v>340.45982259580001</v>
      </c>
      <c r="V2307">
        <v>295.73275680146099</v>
      </c>
      <c r="W2307">
        <v>308.89830950496599</v>
      </c>
    </row>
    <row r="2308" spans="1:23" x14ac:dyDescent="0.2">
      <c r="A2308" t="s">
        <v>4621</v>
      </c>
      <c r="B2308" s="3" t="str">
        <f>HYPERLINK("http://www.ncbi.nlm.nih.gov/gene/12121","Bicd1")</f>
        <v>Bicd1</v>
      </c>
      <c r="C2308">
        <v>12121</v>
      </c>
      <c r="D2308" t="s">
        <v>4622</v>
      </c>
      <c r="E2308" s="3" t="str">
        <f>HYPERLINK("http://genome.ucsc.edu/cgi-bin/hgTracks?db=mm10&amp;lastVirtModeType=default&amp;lastVirtModeExtraState=&amp;virtModeType=default&amp;virtMode=0&amp;nonVirtPosition=&amp;position=chr6:149408983-149563326","chr6:149408983-149563326")</f>
        <v>chr6:149408983-149563326</v>
      </c>
      <c r="F2308" t="s">
        <v>30</v>
      </c>
      <c r="G2308">
        <v>-0.35461762026735399</v>
      </c>
      <c r="H2308">
        <v>0.114112735333029</v>
      </c>
      <c r="I2308">
        <v>-3.1076077462557499</v>
      </c>
      <c r="J2308">
        <v>1.88608219241029E-3</v>
      </c>
      <c r="K2308">
        <v>1.09393471788885E-2</v>
      </c>
      <c r="L2308" t="s">
        <v>26</v>
      </c>
      <c r="M2308" t="s">
        <v>27</v>
      </c>
      <c r="N2308">
        <v>592.03960810890806</v>
      </c>
      <c r="O2308">
        <v>672.54843446386496</v>
      </c>
      <c r="P2308">
        <v>531.65798834268901</v>
      </c>
      <c r="Q2308">
        <v>674.27577321293302</v>
      </c>
      <c r="R2308">
        <v>687.20990805173994</v>
      </c>
      <c r="S2308">
        <v>656.15962212692295</v>
      </c>
      <c r="T2308">
        <v>632.44775075021403</v>
      </c>
      <c r="U2308">
        <v>471.076484094818</v>
      </c>
      <c r="V2308">
        <v>509.07230772788699</v>
      </c>
      <c r="W2308">
        <v>514.03541079783895</v>
      </c>
    </row>
    <row r="2309" spans="1:23" x14ac:dyDescent="0.2">
      <c r="A2309" t="s">
        <v>4623</v>
      </c>
      <c r="B2309" s="3" t="str">
        <f>HYPERLINK("http://www.ncbi.nlm.nih.gov/gene/12331","Cap1")</f>
        <v>Cap1</v>
      </c>
      <c r="C2309">
        <v>12331</v>
      </c>
      <c r="D2309" t="s">
        <v>4624</v>
      </c>
      <c r="E2309" s="3" t="str">
        <f>HYPERLINK("http://genome.ucsc.edu/cgi-bin/hgTracks?db=mm10&amp;lastVirtModeType=default&amp;lastVirtModeExtraState=&amp;virtModeType=default&amp;virtMode=0&amp;nonVirtPosition=&amp;position=chr4:122859047-122886057","chr4:122859047-122886057")</f>
        <v>chr4:122859047-122886057</v>
      </c>
      <c r="F2309" t="s">
        <v>25</v>
      </c>
      <c r="G2309">
        <v>-0.49607170907841602</v>
      </c>
      <c r="H2309">
        <v>0.159632837051599</v>
      </c>
      <c r="I2309">
        <v>-3.1075793567339001</v>
      </c>
      <c r="J2309">
        <v>1.8862633586777401E-3</v>
      </c>
      <c r="K2309">
        <v>1.09393471788885E-2</v>
      </c>
      <c r="L2309" t="s">
        <v>26</v>
      </c>
      <c r="M2309" t="s">
        <v>27</v>
      </c>
      <c r="N2309">
        <v>737.01280748514296</v>
      </c>
      <c r="O2309">
        <v>893.76383524937103</v>
      </c>
      <c r="P2309">
        <v>619.44953666197102</v>
      </c>
      <c r="Q2309">
        <v>1114.6986771034601</v>
      </c>
      <c r="R2309">
        <v>828.67199177320799</v>
      </c>
      <c r="S2309">
        <v>737.92083687144498</v>
      </c>
      <c r="T2309">
        <v>549.95456586975195</v>
      </c>
      <c r="U2309">
        <v>575.99806464320898</v>
      </c>
      <c r="V2309">
        <v>676.80133397349198</v>
      </c>
      <c r="W2309">
        <v>675.04418216143199</v>
      </c>
    </row>
    <row r="2310" spans="1:23" x14ac:dyDescent="0.2">
      <c r="A2310" t="s">
        <v>4625</v>
      </c>
      <c r="B2310" s="3" t="str">
        <f>HYPERLINK("http://www.ncbi.nlm.nih.gov/gene/66297","Pantr1")</f>
        <v>Pantr1</v>
      </c>
      <c r="C2310">
        <v>66297</v>
      </c>
      <c r="D2310" t="s">
        <v>4626</v>
      </c>
      <c r="E2310" s="3" t="str">
        <f>HYPERLINK("http://genome.ucsc.edu/cgi-bin/hgTracks?db=mm10&amp;lastVirtModeType=default&amp;lastVirtModeExtraState=&amp;virtModeType=default&amp;virtMode=0&amp;nonVirtPosition=&amp;position=chr1:42648199-42694825","chr1:42648199-42694825")</f>
        <v>chr1:42648199-42694825</v>
      </c>
      <c r="F2310" t="s">
        <v>25</v>
      </c>
      <c r="G2310">
        <v>-0.60074121134701397</v>
      </c>
      <c r="H2310">
        <v>0.19333435222682399</v>
      </c>
      <c r="I2310">
        <v>-3.1072657519353402</v>
      </c>
      <c r="J2310">
        <v>1.8882656752714699E-3</v>
      </c>
      <c r="K2310">
        <v>1.09439094616051E-2</v>
      </c>
      <c r="L2310" t="s">
        <v>26</v>
      </c>
      <c r="M2310" t="s">
        <v>27</v>
      </c>
      <c r="N2310">
        <v>98.066949947076694</v>
      </c>
      <c r="O2310">
        <v>122.308136788399</v>
      </c>
      <c r="P2310">
        <v>79.886059816084796</v>
      </c>
      <c r="Q2310">
        <v>112.472094293156</v>
      </c>
      <c r="R2310">
        <v>128.18816165645001</v>
      </c>
      <c r="S2310">
        <v>126.26415441559099</v>
      </c>
      <c r="T2310">
        <v>77.910230164881497</v>
      </c>
      <c r="U2310">
        <v>89.932783327192496</v>
      </c>
      <c r="V2310">
        <v>61.059250782391103</v>
      </c>
      <c r="W2310">
        <v>90.6419749898742</v>
      </c>
    </row>
    <row r="2311" spans="1:23" x14ac:dyDescent="0.2">
      <c r="A2311" t="s">
        <v>4627</v>
      </c>
      <c r="B2311" s="3" t="str">
        <f>HYPERLINK("http://www.ncbi.nlm.nih.gov/gene/227743","Mapkap1")</f>
        <v>Mapkap1</v>
      </c>
      <c r="C2311">
        <v>227743</v>
      </c>
      <c r="D2311" t="s">
        <v>4628</v>
      </c>
      <c r="E2311" s="3" t="str">
        <f>HYPERLINK("http://genome.ucsc.edu/cgi-bin/hgTracks?db=mm10&amp;lastVirtModeType=default&amp;lastVirtModeExtraState=&amp;virtModeType=default&amp;virtMode=0&amp;nonVirtPosition=&amp;position=chr2:34406850-34624958","chr2:34406850-34624958")</f>
        <v>chr2:34406850-34624958</v>
      </c>
      <c r="F2311" t="s">
        <v>30</v>
      </c>
      <c r="G2311">
        <v>-0.42201097003860699</v>
      </c>
      <c r="H2311">
        <v>0.13581711660284401</v>
      </c>
      <c r="I2311">
        <v>-3.1072001865026402</v>
      </c>
      <c r="J2311">
        <v>1.88868454676793E-3</v>
      </c>
      <c r="K2311">
        <v>1.09439094616051E-2</v>
      </c>
      <c r="L2311" t="s">
        <v>26</v>
      </c>
      <c r="M2311" t="s">
        <v>27</v>
      </c>
      <c r="N2311">
        <v>322.72915310322298</v>
      </c>
      <c r="O2311">
        <v>377.85623473869202</v>
      </c>
      <c r="P2311">
        <v>281.38384187662098</v>
      </c>
      <c r="Q2311">
        <v>409.799313860214</v>
      </c>
      <c r="R2311">
        <v>356.87887609088699</v>
      </c>
      <c r="S2311">
        <v>366.89051426497502</v>
      </c>
      <c r="T2311">
        <v>320.80683009068798</v>
      </c>
      <c r="U2311">
        <v>244.103269030951</v>
      </c>
      <c r="V2311">
        <v>308.97452203137698</v>
      </c>
      <c r="W2311">
        <v>251.65074635346701</v>
      </c>
    </row>
    <row r="2312" spans="1:23" x14ac:dyDescent="0.2">
      <c r="A2312" t="s">
        <v>4629</v>
      </c>
      <c r="B2312" s="3" t="str">
        <f>HYPERLINK("http://www.ncbi.nlm.nih.gov/gene/66111","Tmed3")</f>
        <v>Tmed3</v>
      </c>
      <c r="C2312">
        <v>66111</v>
      </c>
      <c r="D2312" t="s">
        <v>4630</v>
      </c>
      <c r="E2312" s="3" t="str">
        <f>HYPERLINK("http://genome.ucsc.edu/cgi-bin/hgTracks?db=mm10&amp;lastVirtModeType=default&amp;lastVirtModeExtraState=&amp;virtModeType=default&amp;virtMode=0&amp;nonVirtPosition=&amp;position=chr9:89699202-89705043","chr9:89699202-89705043")</f>
        <v>chr9:89699202-89705043</v>
      </c>
      <c r="F2312" t="s">
        <v>25</v>
      </c>
      <c r="G2312">
        <v>-0.47839287604414799</v>
      </c>
      <c r="H2312">
        <v>0.15399274113094799</v>
      </c>
      <c r="I2312">
        <v>-3.10659367792762</v>
      </c>
      <c r="J2312">
        <v>1.89256333724803E-3</v>
      </c>
      <c r="K2312">
        <v>1.09616417167337E-2</v>
      </c>
      <c r="L2312" t="s">
        <v>26</v>
      </c>
      <c r="M2312" t="s">
        <v>27</v>
      </c>
      <c r="N2312">
        <v>182.694568190864</v>
      </c>
      <c r="O2312">
        <v>224.05771769508601</v>
      </c>
      <c r="P2312">
        <v>151.672206062697</v>
      </c>
      <c r="Q2312">
        <v>231.625699138382</v>
      </c>
      <c r="R2312">
        <v>225.27742018914699</v>
      </c>
      <c r="S2312">
        <v>215.27003375772901</v>
      </c>
      <c r="T2312">
        <v>105.407958458369</v>
      </c>
      <c r="U2312">
        <v>160.59425594141501</v>
      </c>
      <c r="V2312">
        <v>177.292523356099</v>
      </c>
      <c r="W2312">
        <v>163.394086494905</v>
      </c>
    </row>
    <row r="2313" spans="1:23" x14ac:dyDescent="0.2">
      <c r="A2313" t="s">
        <v>4631</v>
      </c>
      <c r="B2313" s="3" t="str">
        <f>HYPERLINK("http://www.ncbi.nlm.nih.gov/gene/16319","Incenp")</f>
        <v>Incenp</v>
      </c>
      <c r="C2313">
        <v>16319</v>
      </c>
      <c r="D2313" t="s">
        <v>4632</v>
      </c>
      <c r="E2313" s="3" t="str">
        <f>HYPERLINK("http://genome.ucsc.edu/cgi-bin/hgTracks?db=mm10&amp;lastVirtModeType=default&amp;lastVirtModeExtraState=&amp;virtModeType=default&amp;virtMode=0&amp;nonVirtPosition=&amp;position=chr19:9872296-9899533","chr19:9872296-9899533")</f>
        <v>chr19:9872296-9899533</v>
      </c>
      <c r="F2313" t="s">
        <v>25</v>
      </c>
      <c r="G2313">
        <v>0.78092813181344001</v>
      </c>
      <c r="H2313">
        <v>0.25142021603166997</v>
      </c>
      <c r="I2313">
        <v>3.1060673804968499</v>
      </c>
      <c r="J2313">
        <v>1.8959350828043099E-3</v>
      </c>
      <c r="K2313">
        <v>1.0972903166234799E-2</v>
      </c>
      <c r="L2313" t="s">
        <v>26</v>
      </c>
      <c r="M2313" t="s">
        <v>27</v>
      </c>
      <c r="N2313">
        <v>347.53478624591298</v>
      </c>
      <c r="O2313">
        <v>234.19933584164599</v>
      </c>
      <c r="P2313">
        <v>432.53637404911399</v>
      </c>
      <c r="Q2313">
        <v>110.244924109134</v>
      </c>
      <c r="R2313">
        <v>261.685892138908</v>
      </c>
      <c r="S2313">
        <v>330.66719127689601</v>
      </c>
      <c r="T2313">
        <v>476.627290420451</v>
      </c>
      <c r="U2313">
        <v>438.95763290653503</v>
      </c>
      <c r="V2313">
        <v>384.01119166756803</v>
      </c>
      <c r="W2313">
        <v>430.54938120190297</v>
      </c>
    </row>
    <row r="2314" spans="1:23" x14ac:dyDescent="0.2">
      <c r="A2314" t="s">
        <v>4633</v>
      </c>
      <c r="B2314" s="3" t="str">
        <f>HYPERLINK("http://www.ncbi.nlm.nih.gov/gene/77220","Tmem200a")</f>
        <v>Tmem200a</v>
      </c>
      <c r="C2314">
        <v>77220</v>
      </c>
      <c r="D2314" t="s">
        <v>4634</v>
      </c>
      <c r="E2314" s="3" t="str">
        <f>HYPERLINK("http://genome.ucsc.edu/cgi-bin/hgTracks?db=mm10&amp;lastVirtModeType=default&amp;lastVirtModeExtraState=&amp;virtModeType=default&amp;virtMode=0&amp;nonVirtPosition=&amp;position=chr10:25991185-26079052","chr10:25991185-26079052")</f>
        <v>chr10:25991185-26079052</v>
      </c>
      <c r="F2314" t="s">
        <v>25</v>
      </c>
      <c r="G2314">
        <v>-1.13456702619781</v>
      </c>
      <c r="H2314">
        <v>0.36527831873119099</v>
      </c>
      <c r="I2314">
        <v>-3.1060344072398798</v>
      </c>
      <c r="J2314">
        <v>1.8961465108406699E-3</v>
      </c>
      <c r="K2314">
        <v>1.0972903166234799E-2</v>
      </c>
      <c r="L2314" t="s">
        <v>26</v>
      </c>
      <c r="M2314" t="s">
        <v>27</v>
      </c>
      <c r="N2314">
        <v>35.1743422380125</v>
      </c>
      <c r="O2314">
        <v>56.746239282342202</v>
      </c>
      <c r="P2314">
        <v>18.995419454765099</v>
      </c>
      <c r="Q2314">
        <v>112.472094293156</v>
      </c>
      <c r="R2314">
        <v>30.340393291467599</v>
      </c>
      <c r="S2314">
        <v>27.4262302624029</v>
      </c>
      <c r="T2314">
        <v>22.914773577906299</v>
      </c>
      <c r="U2314">
        <v>19.2713107129698</v>
      </c>
      <c r="V2314">
        <v>14.7130724776846</v>
      </c>
      <c r="W2314">
        <v>19.0825210504998</v>
      </c>
    </row>
    <row r="2315" spans="1:23" x14ac:dyDescent="0.2">
      <c r="A2315" t="s">
        <v>4635</v>
      </c>
      <c r="B2315" s="3" t="str">
        <f>HYPERLINK("http://www.ncbi.nlm.nih.gov/gene/22644","Rnf103")</f>
        <v>Rnf103</v>
      </c>
      <c r="C2315">
        <v>22644</v>
      </c>
      <c r="D2315" t="s">
        <v>4636</v>
      </c>
      <c r="E2315" s="3" t="str">
        <f>HYPERLINK("http://genome.ucsc.edu/cgi-bin/hgTracks?db=mm10&amp;lastVirtModeType=default&amp;lastVirtModeExtraState=&amp;virtModeType=default&amp;virtMode=0&amp;nonVirtPosition=&amp;position=chr6:71493876-71510880","chr6:71493876-71510880")</f>
        <v>chr6:71493876-71510880</v>
      </c>
      <c r="F2315" t="s">
        <v>30</v>
      </c>
      <c r="G2315">
        <v>-0.52599287469157296</v>
      </c>
      <c r="H2315">
        <v>0.169373544861116</v>
      </c>
      <c r="I2315">
        <v>-3.1055196673298702</v>
      </c>
      <c r="J2315">
        <v>1.8994498868680899E-3</v>
      </c>
      <c r="K2315">
        <v>1.0987271462224901E-2</v>
      </c>
      <c r="L2315" t="s">
        <v>26</v>
      </c>
      <c r="M2315" t="s">
        <v>27</v>
      </c>
      <c r="N2315">
        <v>179.33790372434001</v>
      </c>
      <c r="O2315">
        <v>221.19631182795999</v>
      </c>
      <c r="P2315">
        <v>147.94409764662501</v>
      </c>
      <c r="Q2315">
        <v>262.80608171470197</v>
      </c>
      <c r="R2315">
        <v>205.176909633549</v>
      </c>
      <c r="S2315">
        <v>195.60594413562799</v>
      </c>
      <c r="T2315">
        <v>119.15682260511301</v>
      </c>
      <c r="U2315">
        <v>173.44179641672801</v>
      </c>
      <c r="V2315">
        <v>159.63683638287799</v>
      </c>
      <c r="W2315">
        <v>139.54093518177999</v>
      </c>
    </row>
    <row r="2316" spans="1:23" x14ac:dyDescent="0.2">
      <c r="A2316" t="s">
        <v>4637</v>
      </c>
      <c r="B2316" s="3" t="str">
        <f>HYPERLINK("http://www.ncbi.nlm.nih.gov/gene/102423","Hinfp")</f>
        <v>Hinfp</v>
      </c>
      <c r="C2316">
        <v>102423</v>
      </c>
      <c r="D2316" t="s">
        <v>4638</v>
      </c>
      <c r="E2316" s="3" t="str">
        <f>HYPERLINK("http://genome.ucsc.edu/cgi-bin/hgTracks?db=mm10&amp;lastVirtModeType=default&amp;lastVirtModeExtraState=&amp;virtModeType=default&amp;virtMode=0&amp;nonVirtPosition=&amp;position=chr9:44295672-44305671","chr9:44295672-44305671")</f>
        <v>chr9:44295672-44305671</v>
      </c>
      <c r="F2316" t="s">
        <v>25</v>
      </c>
      <c r="G2316">
        <v>0.46218656756384402</v>
      </c>
      <c r="H2316">
        <v>0.14889606681979001</v>
      </c>
      <c r="I2316">
        <v>3.10408849229866</v>
      </c>
      <c r="J2316">
        <v>1.90866234104677E-3</v>
      </c>
      <c r="K2316">
        <v>1.1035793354472001E-2</v>
      </c>
      <c r="L2316" t="s">
        <v>26</v>
      </c>
      <c r="M2316" t="s">
        <v>27</v>
      </c>
      <c r="N2316">
        <v>160.07380460859</v>
      </c>
      <c r="O2316">
        <v>130.32708757699899</v>
      </c>
      <c r="P2316">
        <v>182.383842382284</v>
      </c>
      <c r="Q2316">
        <v>133.073418495368</v>
      </c>
      <c r="R2316">
        <v>118.706788752867</v>
      </c>
      <c r="S2316">
        <v>139.201055482762</v>
      </c>
      <c r="T2316">
        <v>197.06705276999401</v>
      </c>
      <c r="U2316">
        <v>160.59425594141501</v>
      </c>
      <c r="V2316">
        <v>175.085562484447</v>
      </c>
      <c r="W2316">
        <v>196.78849833327999</v>
      </c>
    </row>
    <row r="2317" spans="1:23" x14ac:dyDescent="0.2">
      <c r="A2317" t="s">
        <v>4639</v>
      </c>
      <c r="B2317" s="3" t="str">
        <f>HYPERLINK("http://www.ncbi.nlm.nih.gov/gene/226040","Tmem252")</f>
        <v>Tmem252</v>
      </c>
      <c r="C2317">
        <v>226040</v>
      </c>
      <c r="D2317" t="s">
        <v>4640</v>
      </c>
      <c r="E2317" s="3" t="str">
        <f>HYPERLINK("http://genome.ucsc.edu/cgi-bin/hgTracks?db=mm10&amp;lastVirtModeType=default&amp;lastVirtModeExtraState=&amp;virtModeType=default&amp;virtMode=0&amp;nonVirtPosition=&amp;position=chr19:24674007-24679661","chr19:24674007-24679661")</f>
        <v>chr19:24674007-24679661</v>
      </c>
      <c r="F2317" t="s">
        <v>30</v>
      </c>
      <c r="G2317">
        <v>-0.86040480491569804</v>
      </c>
      <c r="H2317">
        <v>0.27720521384645602</v>
      </c>
      <c r="I2317">
        <v>-3.1038550573304802</v>
      </c>
      <c r="J2317">
        <v>1.9101688451556599E-3</v>
      </c>
      <c r="K2317">
        <v>1.10393094889091E-2</v>
      </c>
      <c r="L2317" t="s">
        <v>26</v>
      </c>
      <c r="M2317" t="s">
        <v>27</v>
      </c>
      <c r="N2317">
        <v>35.812570360213599</v>
      </c>
      <c r="O2317">
        <v>51.272374794332499</v>
      </c>
      <c r="P2317">
        <v>24.2177170346244</v>
      </c>
      <c r="Q2317">
        <v>38.418685674395</v>
      </c>
      <c r="R2317">
        <v>55.371217756928303</v>
      </c>
      <c r="S2317">
        <v>60.027220951674302</v>
      </c>
      <c r="T2317">
        <v>13.7488641467438</v>
      </c>
      <c r="U2317">
        <v>27.836337696512</v>
      </c>
      <c r="V2317">
        <v>24.276569588179601</v>
      </c>
      <c r="W2317">
        <v>31.009096707062199</v>
      </c>
    </row>
    <row r="2318" spans="1:23" x14ac:dyDescent="0.2">
      <c r="A2318" t="s">
        <v>4641</v>
      </c>
      <c r="B2318" s="3" t="str">
        <f>HYPERLINK("http://www.ncbi.nlm.nih.gov/gene/227723","Prrc2b")</f>
        <v>Prrc2b</v>
      </c>
      <c r="C2318">
        <v>227723</v>
      </c>
      <c r="D2318" t="s">
        <v>4642</v>
      </c>
      <c r="E2318" s="3" t="str">
        <f>HYPERLINK("http://genome.ucsc.edu/cgi-bin/hgTracks?db=mm10&amp;lastVirtModeType=default&amp;lastVirtModeExtraState=&amp;virtModeType=default&amp;virtMode=0&amp;nonVirtPosition=&amp;position=chr2:32151147-32234537","chr2:32151147-32234537")</f>
        <v>chr2:32151147-32234537</v>
      </c>
      <c r="F2318" t="s">
        <v>30</v>
      </c>
      <c r="G2318">
        <v>0.505317955545176</v>
      </c>
      <c r="H2318">
        <v>0.16280943094665301</v>
      </c>
      <c r="I2318">
        <v>3.1037388473567802</v>
      </c>
      <c r="J2318">
        <v>1.91091922898151E-3</v>
      </c>
      <c r="K2318">
        <v>1.10393094889091E-2</v>
      </c>
      <c r="L2318" t="s">
        <v>26</v>
      </c>
      <c r="M2318" t="s">
        <v>27</v>
      </c>
      <c r="N2318">
        <v>2389.58059873302</v>
      </c>
      <c r="O2318">
        <v>1908.87134239701</v>
      </c>
      <c r="P2318">
        <v>2750.1125409850301</v>
      </c>
      <c r="Q2318">
        <v>1755.01010501005</v>
      </c>
      <c r="R2318">
        <v>1536.36166529669</v>
      </c>
      <c r="S2318">
        <v>2435.2422568842999</v>
      </c>
      <c r="T2318">
        <v>2497.7103199917901</v>
      </c>
      <c r="U2318">
        <v>2999.90070098564</v>
      </c>
      <c r="V2318">
        <v>2726.3323301149599</v>
      </c>
      <c r="W2318">
        <v>2776.5068128477301</v>
      </c>
    </row>
    <row r="2319" spans="1:23" x14ac:dyDescent="0.2">
      <c r="A2319" t="s">
        <v>4643</v>
      </c>
      <c r="B2319" s="3" t="str">
        <f>HYPERLINK("http://www.ncbi.nlm.nih.gov/gene/320394","Cenpt")</f>
        <v>Cenpt</v>
      </c>
      <c r="C2319">
        <v>320394</v>
      </c>
      <c r="D2319" t="s">
        <v>4644</v>
      </c>
      <c r="E2319" s="3" t="str">
        <f>HYPERLINK("http://genome.ucsc.edu/cgi-bin/hgTracks?db=mm10&amp;lastVirtModeType=default&amp;lastVirtModeExtraState=&amp;virtModeType=default&amp;virtMode=0&amp;nonVirtPosition=&amp;position=chr8:105844677-105852008","chr8:105844677-105852008")</f>
        <v>chr8:105844677-105852008</v>
      </c>
      <c r="F2319" t="s">
        <v>25</v>
      </c>
      <c r="G2319">
        <v>0.53182288212737105</v>
      </c>
      <c r="H2319">
        <v>0.17136886243701999</v>
      </c>
      <c r="I2319">
        <v>3.10338106097204</v>
      </c>
      <c r="J2319">
        <v>1.9132312050886701E-3</v>
      </c>
      <c r="K2319">
        <v>1.1047899554697E-2</v>
      </c>
      <c r="L2319" t="s">
        <v>26</v>
      </c>
      <c r="M2319" t="s">
        <v>27</v>
      </c>
      <c r="N2319">
        <v>153.267043618023</v>
      </c>
      <c r="O2319">
        <v>119.081512136543</v>
      </c>
      <c r="P2319">
        <v>178.90619222913199</v>
      </c>
      <c r="Q2319">
        <v>94.097940274967499</v>
      </c>
      <c r="R2319">
        <v>127.05039690802001</v>
      </c>
      <c r="S2319">
        <v>136.096199226641</v>
      </c>
      <c r="T2319">
        <v>201.650007485576</v>
      </c>
      <c r="U2319">
        <v>177.72430990849901</v>
      </c>
      <c r="V2319">
        <v>163.31510450229899</v>
      </c>
      <c r="W2319">
        <v>172.93534702015501</v>
      </c>
    </row>
    <row r="2320" spans="1:23" x14ac:dyDescent="0.2">
      <c r="A2320" t="s">
        <v>4645</v>
      </c>
      <c r="B2320" s="3" t="str">
        <f>HYPERLINK("http://www.ncbi.nlm.nih.gov/gene/77519","Zfp266")</f>
        <v>Zfp266</v>
      </c>
      <c r="C2320">
        <v>77519</v>
      </c>
      <c r="D2320" t="s">
        <v>4646</v>
      </c>
      <c r="E2320" s="3" t="str">
        <f>HYPERLINK("http://genome.ucsc.edu/cgi-bin/hgTracks?db=mm10&amp;lastVirtModeType=default&amp;lastVirtModeExtraState=&amp;virtModeType=default&amp;virtMode=0&amp;nonVirtPosition=&amp;position=chr9:20495068-20521419","chr9:20495068-20521419")</f>
        <v>chr9:20495068-20521419</v>
      </c>
      <c r="F2320" t="s">
        <v>25</v>
      </c>
      <c r="G2320">
        <v>-0.49894310403546199</v>
      </c>
      <c r="H2320">
        <v>0.16079531495478</v>
      </c>
      <c r="I2320">
        <v>-3.1029704079113101</v>
      </c>
      <c r="J2320">
        <v>1.91588796582419E-3</v>
      </c>
      <c r="K2320">
        <v>1.1058472306186101E-2</v>
      </c>
      <c r="L2320" t="s">
        <v>26</v>
      </c>
      <c r="M2320" t="s">
        <v>27</v>
      </c>
      <c r="N2320">
        <v>882.11815917777506</v>
      </c>
      <c r="O2320">
        <v>1067.69031653618</v>
      </c>
      <c r="P2320">
        <v>742.93904115896703</v>
      </c>
      <c r="Q2320">
        <v>1241.09058504676</v>
      </c>
      <c r="R2320">
        <v>998.95744912156999</v>
      </c>
      <c r="S2320">
        <v>963.02291544022398</v>
      </c>
      <c r="T2320">
        <v>797.43412051114001</v>
      </c>
      <c r="U2320">
        <v>556.72675393023906</v>
      </c>
      <c r="V2320">
        <v>861.45039356843404</v>
      </c>
      <c r="W2320">
        <v>756.14489662605604</v>
      </c>
    </row>
    <row r="2321" spans="1:23" x14ac:dyDescent="0.2">
      <c r="A2321" t="s">
        <v>4647</v>
      </c>
      <c r="B2321" s="3" t="str">
        <f>HYPERLINK("http://www.ncbi.nlm.nih.gov/gene/22110","Tspyl1")</f>
        <v>Tspyl1</v>
      </c>
      <c r="C2321">
        <v>22110</v>
      </c>
      <c r="D2321" t="s">
        <v>4648</v>
      </c>
      <c r="E2321" s="3" t="str">
        <f>HYPERLINK("http://genome.ucsc.edu/cgi-bin/hgTracks?db=mm10&amp;lastVirtModeType=default&amp;lastVirtModeExtraState=&amp;virtModeType=default&amp;virtMode=0&amp;nonVirtPosition=&amp;position=chr10:34282189-34284885","chr10:34282189-34284885")</f>
        <v>chr10:34282189-34284885</v>
      </c>
      <c r="F2321" t="s">
        <v>30</v>
      </c>
      <c r="G2321">
        <v>-0.43740263544680702</v>
      </c>
      <c r="H2321">
        <v>0.14096939411248099</v>
      </c>
      <c r="I2321">
        <v>-3.1028198581728899</v>
      </c>
      <c r="J2321">
        <v>1.9168628106921901E-3</v>
      </c>
      <c r="K2321">
        <v>1.10593321404477E-2</v>
      </c>
      <c r="L2321" t="s">
        <v>26</v>
      </c>
      <c r="M2321" t="s">
        <v>27</v>
      </c>
      <c r="N2321">
        <v>274.68399511587802</v>
      </c>
      <c r="O2321">
        <v>326.94699508955699</v>
      </c>
      <c r="P2321">
        <v>235.486745135619</v>
      </c>
      <c r="Q2321">
        <v>373.60779836984102</v>
      </c>
      <c r="R2321">
        <v>300.36989358552898</v>
      </c>
      <c r="S2321">
        <v>306.86329331330103</v>
      </c>
      <c r="T2321">
        <v>215.39887163231899</v>
      </c>
      <c r="U2321">
        <v>222.690701572096</v>
      </c>
      <c r="V2321">
        <v>239.087427762375</v>
      </c>
      <c r="W2321">
        <v>264.769979575685</v>
      </c>
    </row>
    <row r="2322" spans="1:23" x14ac:dyDescent="0.2">
      <c r="A2322" t="s">
        <v>4649</v>
      </c>
      <c r="B2322" s="3" t="str">
        <f>HYPERLINK("http://www.ncbi.nlm.nih.gov/gene/17863","Myb")</f>
        <v>Myb</v>
      </c>
      <c r="C2322">
        <v>17863</v>
      </c>
      <c r="D2322" t="s">
        <v>4650</v>
      </c>
      <c r="E2322" s="3" t="str">
        <f>HYPERLINK("http://genome.ucsc.edu/cgi-bin/hgTracks?db=mm10&amp;lastVirtModeType=default&amp;lastVirtModeExtraState=&amp;virtModeType=default&amp;virtMode=0&amp;nonVirtPosition=&amp;position=chr10:21124929-21160984","chr10:21124929-21160984")</f>
        <v>chr10:21124929-21160984</v>
      </c>
      <c r="F2322" t="s">
        <v>25</v>
      </c>
      <c r="G2322">
        <v>0.79933467747956699</v>
      </c>
      <c r="H2322">
        <v>0.25765225586700602</v>
      </c>
      <c r="I2322">
        <v>3.1023779504269702</v>
      </c>
      <c r="J2322">
        <v>1.91972689841391E-3</v>
      </c>
      <c r="K2322">
        <v>1.1071086518803E-2</v>
      </c>
      <c r="L2322" t="s">
        <v>26</v>
      </c>
      <c r="M2322" t="s">
        <v>27</v>
      </c>
      <c r="N2322">
        <v>40.3745906201585</v>
      </c>
      <c r="O2322">
        <v>27.3362765430652</v>
      </c>
      <c r="P2322">
        <v>50.1533261779784</v>
      </c>
      <c r="Q2322">
        <v>22.271701840228999</v>
      </c>
      <c r="R2322">
        <v>23.513804800887399</v>
      </c>
      <c r="S2322">
        <v>36.223322988079303</v>
      </c>
      <c r="T2322">
        <v>41.246592440231403</v>
      </c>
      <c r="U2322">
        <v>55.672675393023901</v>
      </c>
      <c r="V2322">
        <v>50.024446424127703</v>
      </c>
      <c r="W2322">
        <v>53.669590454530798</v>
      </c>
    </row>
    <row r="2323" spans="1:23" x14ac:dyDescent="0.2">
      <c r="A2323" t="s">
        <v>4651</v>
      </c>
      <c r="B2323" s="3" t="str">
        <f>HYPERLINK("http://www.ncbi.nlm.nih.gov/gene/98682","Mfsd6")</f>
        <v>Mfsd6</v>
      </c>
      <c r="C2323">
        <v>98682</v>
      </c>
      <c r="D2323" t="s">
        <v>4652</v>
      </c>
      <c r="E2323" s="3" t="str">
        <f>HYPERLINK("http://genome.ucsc.edu/cgi-bin/hgTracks?db=mm10&amp;lastVirtModeType=default&amp;lastVirtModeExtraState=&amp;virtModeType=default&amp;virtMode=0&amp;nonVirtPosition=&amp;position=chr1:52656304-52727318","chr1:52656304-52727318")</f>
        <v>chr1:52656304-52727318</v>
      </c>
      <c r="F2323" t="s">
        <v>25</v>
      </c>
      <c r="G2323">
        <v>-0.47436547080640501</v>
      </c>
      <c r="H2323">
        <v>0.15292131210732099</v>
      </c>
      <c r="I2323">
        <v>-3.1020232841939799</v>
      </c>
      <c r="J2323">
        <v>1.92202839940749E-3</v>
      </c>
      <c r="K2323">
        <v>1.10795877298604E-2</v>
      </c>
      <c r="L2323" t="s">
        <v>26</v>
      </c>
      <c r="M2323" t="s">
        <v>27</v>
      </c>
      <c r="N2323">
        <v>210.325250880531</v>
      </c>
      <c r="O2323">
        <v>251.68417875256301</v>
      </c>
      <c r="P2323">
        <v>179.306054976507</v>
      </c>
      <c r="Q2323">
        <v>287.304953738954</v>
      </c>
      <c r="R2323">
        <v>257.134833145188</v>
      </c>
      <c r="S2323">
        <v>210.61274937354699</v>
      </c>
      <c r="T2323">
        <v>178.735233907669</v>
      </c>
      <c r="U2323">
        <v>184.14808014615599</v>
      </c>
      <c r="V2323">
        <v>170.671640741141</v>
      </c>
      <c r="W2323">
        <v>183.66926511106101</v>
      </c>
    </row>
    <row r="2324" spans="1:23" x14ac:dyDescent="0.2">
      <c r="A2324" t="s">
        <v>4653</v>
      </c>
      <c r="B2324" s="3" t="str">
        <f>HYPERLINK("http://www.ncbi.nlm.nih.gov/gene/19732","Rgl2")</f>
        <v>Rgl2</v>
      </c>
      <c r="C2324">
        <v>19732</v>
      </c>
      <c r="D2324" t="s">
        <v>4654</v>
      </c>
      <c r="E2324" s="3" t="str">
        <f>HYPERLINK("http://genome.ucsc.edu/cgi-bin/hgTracks?db=mm10&amp;lastVirtModeType=default&amp;lastVirtModeExtraState=&amp;virtModeType=default&amp;virtMode=0&amp;nonVirtPosition=&amp;position=chr17:33929893-33937687","chr17:33929893-33937687")</f>
        <v>chr17:33929893-33937687</v>
      </c>
      <c r="F2324" t="s">
        <v>30</v>
      </c>
      <c r="G2324">
        <v>0.43611584671674197</v>
      </c>
      <c r="H2324">
        <v>0.14060196957757801</v>
      </c>
      <c r="I2324">
        <v>3.10177622708273</v>
      </c>
      <c r="J2324">
        <v>1.9236330999347401E-3</v>
      </c>
      <c r="K2324">
        <v>1.10840666270336E-2</v>
      </c>
      <c r="L2324" t="s">
        <v>26</v>
      </c>
      <c r="M2324" t="s">
        <v>27</v>
      </c>
      <c r="N2324">
        <v>295.13466537492599</v>
      </c>
      <c r="O2324">
        <v>241.84507568720599</v>
      </c>
      <c r="P2324">
        <v>335.10185764071502</v>
      </c>
      <c r="Q2324">
        <v>222.71701840228999</v>
      </c>
      <c r="R2324">
        <v>223.38114560842999</v>
      </c>
      <c r="S2324">
        <v>279.43706305089802</v>
      </c>
      <c r="T2324">
        <v>371.21933196208198</v>
      </c>
      <c r="U2324">
        <v>338.31856584991499</v>
      </c>
      <c r="V2324">
        <v>295.73275680146099</v>
      </c>
      <c r="W2324">
        <v>335.13677594940299</v>
      </c>
    </row>
    <row r="2325" spans="1:23" x14ac:dyDescent="0.2">
      <c r="A2325" t="s">
        <v>4655</v>
      </c>
      <c r="B2325" s="3" t="str">
        <f>HYPERLINK("http://www.ncbi.nlm.nih.gov/gene/71782","Ankle2")</f>
        <v>Ankle2</v>
      </c>
      <c r="C2325">
        <v>71782</v>
      </c>
      <c r="D2325" t="s">
        <v>4656</v>
      </c>
      <c r="E2325" s="3" t="str">
        <f>HYPERLINK("http://genome.ucsc.edu/cgi-bin/hgTracks?db=mm10&amp;lastVirtModeType=default&amp;lastVirtModeExtraState=&amp;virtModeType=default&amp;virtMode=0&amp;nonVirtPosition=&amp;position=chr5:110231003-110256651","chr5:110231003-110256651")</f>
        <v>chr5:110231003-110256651</v>
      </c>
      <c r="F2325" t="s">
        <v>30</v>
      </c>
      <c r="G2325">
        <v>-0.34365440943557601</v>
      </c>
      <c r="H2325">
        <v>0.11080792133022201</v>
      </c>
      <c r="I2325">
        <v>-3.1013523700299501</v>
      </c>
      <c r="J2325">
        <v>1.9263890284682401E-3</v>
      </c>
      <c r="K2325">
        <v>1.1095172249556201E-2</v>
      </c>
      <c r="L2325" t="s">
        <v>26</v>
      </c>
      <c r="M2325" t="s">
        <v>27</v>
      </c>
      <c r="N2325">
        <v>388.441514861428</v>
      </c>
      <c r="O2325">
        <v>442.82158787754503</v>
      </c>
      <c r="P2325">
        <v>347.65646009933999</v>
      </c>
      <c r="Q2325">
        <v>458.24026536271202</v>
      </c>
      <c r="R2325">
        <v>456.24366412044401</v>
      </c>
      <c r="S2325">
        <v>413.98083414947803</v>
      </c>
      <c r="T2325">
        <v>357.47046781533902</v>
      </c>
      <c r="U2325">
        <v>336.17730910402901</v>
      </c>
      <c r="V2325">
        <v>358.26331483161999</v>
      </c>
      <c r="W2325">
        <v>338.71474864637202</v>
      </c>
    </row>
    <row r="2326" spans="1:23" x14ac:dyDescent="0.2">
      <c r="A2326" t="s">
        <v>4657</v>
      </c>
      <c r="B2326" s="3" t="str">
        <f>HYPERLINK("http://www.ncbi.nlm.nih.gov/gene/12943","Pcdha10")</f>
        <v>Pcdha10</v>
      </c>
      <c r="C2326">
        <v>12943</v>
      </c>
      <c r="D2326" t="s">
        <v>4658</v>
      </c>
      <c r="E2326" s="3" t="str">
        <f>HYPERLINK("http://genome.ucsc.edu/cgi-bin/hgTracks?db=mm10&amp;lastVirtModeType=default&amp;lastVirtModeExtraState=&amp;virtModeType=default&amp;virtMode=0&amp;nonVirtPosition=&amp;position=chr18:37005319-37187657","chr18:37005319-37187657")</f>
        <v>chr18:37005319-37187657</v>
      </c>
      <c r="F2326" t="s">
        <v>30</v>
      </c>
      <c r="G2326">
        <v>1.0204186930008301</v>
      </c>
      <c r="H2326">
        <v>0.32916291877771098</v>
      </c>
      <c r="I2326">
        <v>3.1000414529983402</v>
      </c>
      <c r="J2326">
        <v>1.9349356049482101E-3</v>
      </c>
      <c r="K2326">
        <v>1.1139605625907699E-2</v>
      </c>
      <c r="L2326" t="s">
        <v>26</v>
      </c>
      <c r="M2326" t="s">
        <v>27</v>
      </c>
      <c r="N2326">
        <v>40.859875680726503</v>
      </c>
      <c r="O2326">
        <v>22.055613233212</v>
      </c>
      <c r="P2326">
        <v>54.963072516362502</v>
      </c>
      <c r="Q2326">
        <v>12.8062285581317</v>
      </c>
      <c r="R2326">
        <v>14.0324318973038</v>
      </c>
      <c r="S2326">
        <v>39.328179244200399</v>
      </c>
      <c r="T2326">
        <v>68.744320733718993</v>
      </c>
      <c r="U2326">
        <v>36.401364680054101</v>
      </c>
      <c r="V2326">
        <v>51.495753671896097</v>
      </c>
      <c r="W2326">
        <v>63.210850979780702</v>
      </c>
    </row>
    <row r="2327" spans="1:23" x14ac:dyDescent="0.2">
      <c r="A2327" t="s">
        <v>4659</v>
      </c>
      <c r="B2327" s="3" t="str">
        <f>HYPERLINK("http://www.ncbi.nlm.nih.gov/gene/213499","Fbxo42")</f>
        <v>Fbxo42</v>
      </c>
      <c r="C2327">
        <v>213499</v>
      </c>
      <c r="D2327" t="s">
        <v>4660</v>
      </c>
      <c r="E2327" s="3" t="str">
        <f>HYPERLINK("http://genome.ucsc.edu/cgi-bin/hgTracks?db=mm10&amp;lastVirtModeType=default&amp;lastVirtModeExtraState=&amp;virtModeType=default&amp;virtMode=0&amp;nonVirtPosition=&amp;position=chr4:141147921-141204062","chr4:141147921-141204062")</f>
        <v>chr4:141147921-141204062</v>
      </c>
      <c r="F2327" t="s">
        <v>30</v>
      </c>
      <c r="G2327">
        <v>0.41826148607734398</v>
      </c>
      <c r="H2327">
        <v>0.13498611527297499</v>
      </c>
      <c r="I2327">
        <v>3.0985519157397698</v>
      </c>
      <c r="J2327">
        <v>1.9446889495282301E-3</v>
      </c>
      <c r="K2327">
        <v>1.11909453043114E-2</v>
      </c>
      <c r="L2327" t="s">
        <v>26</v>
      </c>
      <c r="M2327" t="s">
        <v>27</v>
      </c>
      <c r="N2327">
        <v>232.60323377779301</v>
      </c>
      <c r="O2327">
        <v>194.490276525691</v>
      </c>
      <c r="P2327">
        <v>261.18795171686997</v>
      </c>
      <c r="Q2327">
        <v>195.434183648009</v>
      </c>
      <c r="R2327">
        <v>174.83651634208201</v>
      </c>
      <c r="S2327">
        <v>213.20012958698101</v>
      </c>
      <c r="T2327">
        <v>242.89659992580701</v>
      </c>
      <c r="U2327">
        <v>289.069660694547</v>
      </c>
      <c r="V2327">
        <v>251.59353936840699</v>
      </c>
      <c r="W2327">
        <v>261.192006878717</v>
      </c>
    </row>
    <row r="2328" spans="1:23" x14ac:dyDescent="0.2">
      <c r="A2328" t="s">
        <v>4661</v>
      </c>
      <c r="B2328" s="3" t="str">
        <f>HYPERLINK("http://www.ncbi.nlm.nih.gov/gene/54645","Gripap1")</f>
        <v>Gripap1</v>
      </c>
      <c r="C2328">
        <v>54645</v>
      </c>
      <c r="D2328" t="s">
        <v>4662</v>
      </c>
      <c r="E2328" s="3" t="str">
        <f>HYPERLINK("http://genome.ucsc.edu/cgi-bin/hgTracks?db=mm10&amp;lastVirtModeType=default&amp;lastVirtModeExtraState=&amp;virtModeType=default&amp;virtMode=0&amp;nonVirtPosition=&amp;position=chrX:7789992-7820567","chrX:7789992-7820567")</f>
        <v>chrX:7789992-7820567</v>
      </c>
      <c r="F2328" t="s">
        <v>30</v>
      </c>
      <c r="G2328">
        <v>0.45216903816605197</v>
      </c>
      <c r="H2328">
        <v>0.14595849963018101</v>
      </c>
      <c r="I2328">
        <v>3.0979287901131101</v>
      </c>
      <c r="J2328">
        <v>1.9487824902209999E-3</v>
      </c>
      <c r="K2328">
        <v>1.12052646100687E-2</v>
      </c>
      <c r="L2328" t="s">
        <v>26</v>
      </c>
      <c r="M2328" t="s">
        <v>27</v>
      </c>
      <c r="N2328">
        <v>281.81356104942398</v>
      </c>
      <c r="O2328">
        <v>229.852612175941</v>
      </c>
      <c r="P2328">
        <v>320.78427270453699</v>
      </c>
      <c r="Q2328">
        <v>224.38739604030701</v>
      </c>
      <c r="R2328">
        <v>240.068361918737</v>
      </c>
      <c r="S2328">
        <v>225.10207856877901</v>
      </c>
      <c r="T2328">
        <v>343.72160366859498</v>
      </c>
      <c r="U2328">
        <v>295.49343093220398</v>
      </c>
      <c r="V2328">
        <v>267.04226546997597</v>
      </c>
      <c r="W2328">
        <v>376.879790747372</v>
      </c>
    </row>
    <row r="2329" spans="1:23" x14ac:dyDescent="0.2">
      <c r="A2329" t="s">
        <v>4663</v>
      </c>
      <c r="B2329" s="3" t="str">
        <f>HYPERLINK("http://www.ncbi.nlm.nih.gov/gene/80795","Selk")</f>
        <v>Selk</v>
      </c>
      <c r="C2329">
        <v>80795</v>
      </c>
      <c r="D2329" t="s">
        <v>4664</v>
      </c>
      <c r="E2329" s="3" t="str">
        <f>HYPERLINK("http://genome.ucsc.edu/cgi-bin/hgTracks?db=mm10&amp;lastVirtModeType=default&amp;lastVirtModeExtraState=&amp;virtModeType=default&amp;virtMode=0&amp;nonVirtPosition=&amp;position=chr14:29968379-29975074","chr14:29968379-29975074")</f>
        <v>chr14:29968379-29975074</v>
      </c>
      <c r="F2329" t="s">
        <v>30</v>
      </c>
      <c r="G2329">
        <v>-0.41233633645004603</v>
      </c>
      <c r="H2329">
        <v>0.13310109669011899</v>
      </c>
      <c r="I2329">
        <v>-3.09791839965099</v>
      </c>
      <c r="J2329">
        <v>1.94885081598462E-3</v>
      </c>
      <c r="K2329">
        <v>1.12052646100687E-2</v>
      </c>
      <c r="L2329" t="s">
        <v>26</v>
      </c>
      <c r="M2329" t="s">
        <v>27</v>
      </c>
      <c r="N2329">
        <v>247.68489923230899</v>
      </c>
      <c r="O2329">
        <v>293.71257385523899</v>
      </c>
      <c r="P2329">
        <v>213.16414326511199</v>
      </c>
      <c r="Q2329">
        <v>288.97533137697098</v>
      </c>
      <c r="R2329">
        <v>292.02628543037503</v>
      </c>
      <c r="S2329">
        <v>300.13610475837203</v>
      </c>
      <c r="T2329">
        <v>164.98636976092499</v>
      </c>
      <c r="U2329">
        <v>244.103269030951</v>
      </c>
      <c r="V2329">
        <v>232.46654514741701</v>
      </c>
      <c r="W2329">
        <v>211.100389121154</v>
      </c>
    </row>
    <row r="2330" spans="1:23" x14ac:dyDescent="0.2">
      <c r="A2330" t="s">
        <v>4665</v>
      </c>
      <c r="B2330" s="3" t="str">
        <f>HYPERLINK("http://www.ncbi.nlm.nih.gov/gene/320404","Itpkb")</f>
        <v>Itpkb</v>
      </c>
      <c r="C2330">
        <v>320404</v>
      </c>
      <c r="D2330" t="s">
        <v>4666</v>
      </c>
      <c r="E2330" s="3" t="str">
        <f>HYPERLINK("http://genome.ucsc.edu/cgi-bin/hgTracks?db=mm10&amp;lastVirtModeType=default&amp;lastVirtModeExtraState=&amp;virtModeType=default&amp;virtMode=0&amp;nonVirtPosition=&amp;position=chr1:180330475-180423659","chr1:180330475-180423659")</f>
        <v>chr1:180330475-180423659</v>
      </c>
      <c r="F2330" t="s">
        <v>30</v>
      </c>
      <c r="G2330">
        <v>-0.742094870527091</v>
      </c>
      <c r="H2330">
        <v>0.23961538243394701</v>
      </c>
      <c r="I2330">
        <v>-3.0970251700416598</v>
      </c>
      <c r="J2330">
        <v>1.95473275735968E-3</v>
      </c>
      <c r="K2330">
        <v>1.12342602376839E-2</v>
      </c>
      <c r="L2330" t="s">
        <v>26</v>
      </c>
      <c r="M2330" t="s">
        <v>27</v>
      </c>
      <c r="N2330">
        <v>719.26336655728505</v>
      </c>
      <c r="O2330">
        <v>959.04156590162097</v>
      </c>
      <c r="P2330">
        <v>539.429717049033</v>
      </c>
      <c r="Q2330">
        <v>1449.88778979891</v>
      </c>
      <c r="R2330">
        <v>569.26162913116002</v>
      </c>
      <c r="S2330">
        <v>857.97527877479297</v>
      </c>
      <c r="T2330">
        <v>481.210245136033</v>
      </c>
      <c r="U2330">
        <v>458.228943619505</v>
      </c>
      <c r="V2330">
        <v>563.51067589531999</v>
      </c>
      <c r="W2330">
        <v>654.76900354527595</v>
      </c>
    </row>
    <row r="2331" spans="1:23" x14ac:dyDescent="0.2">
      <c r="A2331" t="s">
        <v>4667</v>
      </c>
      <c r="B2331" s="3" t="str">
        <f>HYPERLINK("http://www.ncbi.nlm.nih.gov/gene/11958","Atp5k")</f>
        <v>Atp5k</v>
      </c>
      <c r="C2331">
        <v>11958</v>
      </c>
      <c r="D2331" t="s">
        <v>4668</v>
      </c>
      <c r="E2331" s="3" t="str">
        <f>HYPERLINK("http://genome.ucsc.edu/cgi-bin/hgTracks?db=mm10&amp;lastVirtModeType=default&amp;lastVirtModeExtraState=&amp;virtModeType=default&amp;virtMode=0&amp;nonVirtPosition=&amp;position=chr5:108433252-108434378","chr5:108433252-108434378")</f>
        <v>chr5:108433252-108434378</v>
      </c>
      <c r="F2331" t="s">
        <v>25</v>
      </c>
      <c r="G2331">
        <v>-0.49296059037709999</v>
      </c>
      <c r="H2331">
        <v>0.159205172020881</v>
      </c>
      <c r="I2331">
        <v>-3.09638552642275</v>
      </c>
      <c r="J2331">
        <v>1.9589548376344702E-3</v>
      </c>
      <c r="K2331">
        <v>1.12536955086929E-2</v>
      </c>
      <c r="L2331" t="s">
        <v>26</v>
      </c>
      <c r="M2331" t="s">
        <v>27</v>
      </c>
      <c r="N2331">
        <v>191.848794409253</v>
      </c>
      <c r="O2331">
        <v>229.113388284618</v>
      </c>
      <c r="P2331">
        <v>163.900349002729</v>
      </c>
      <c r="Q2331">
        <v>243.87513515050799</v>
      </c>
      <c r="R2331">
        <v>249.928989738464</v>
      </c>
      <c r="S2331">
        <v>193.53603996488101</v>
      </c>
      <c r="T2331">
        <v>197.06705276999401</v>
      </c>
      <c r="U2331">
        <v>139.18168848255999</v>
      </c>
      <c r="V2331">
        <v>155.95856826345701</v>
      </c>
      <c r="W2331">
        <v>163.394086494905</v>
      </c>
    </row>
    <row r="2332" spans="1:23" x14ac:dyDescent="0.2">
      <c r="A2332" t="s">
        <v>4669</v>
      </c>
      <c r="B2332" s="3" t="str">
        <f>HYPERLINK("http://www.ncbi.nlm.nih.gov/gene/74105","Gga2")</f>
        <v>Gga2</v>
      </c>
      <c r="C2332">
        <v>74105</v>
      </c>
      <c r="D2332" t="s">
        <v>4670</v>
      </c>
      <c r="E2332" s="3" t="str">
        <f>HYPERLINK("http://genome.ucsc.edu/cgi-bin/hgTracks?db=mm10&amp;lastVirtModeType=default&amp;lastVirtModeExtraState=&amp;virtModeType=default&amp;virtMode=0&amp;nonVirtPosition=&amp;position=chr7:121986721-122021198","chr7:121986721-122021198")</f>
        <v>chr7:121986721-122021198</v>
      </c>
      <c r="F2332" t="s">
        <v>25</v>
      </c>
      <c r="G2332">
        <v>0.48590574247585999</v>
      </c>
      <c r="H2332">
        <v>0.156934734967596</v>
      </c>
      <c r="I2332">
        <v>3.0962281395268598</v>
      </c>
      <c r="J2332">
        <v>1.9599949801450901E-3</v>
      </c>
      <c r="K2332">
        <v>1.1254842529641099E-2</v>
      </c>
      <c r="L2332" t="s">
        <v>26</v>
      </c>
      <c r="M2332" t="s">
        <v>27</v>
      </c>
      <c r="N2332">
        <v>150.580555073651</v>
      </c>
      <c r="O2332">
        <v>123.103921325825</v>
      </c>
      <c r="P2332">
        <v>171.18803038452</v>
      </c>
      <c r="Q2332">
        <v>116.369642115197</v>
      </c>
      <c r="R2332">
        <v>115.29349450757699</v>
      </c>
      <c r="S2332">
        <v>137.64862735470101</v>
      </c>
      <c r="T2332">
        <v>137.48864146743799</v>
      </c>
      <c r="U2332">
        <v>188.43059363792699</v>
      </c>
      <c r="V2332">
        <v>169.20033349337299</v>
      </c>
      <c r="W2332">
        <v>189.63255293934199</v>
      </c>
    </row>
    <row r="2333" spans="1:23" x14ac:dyDescent="0.2">
      <c r="A2333" t="s">
        <v>4671</v>
      </c>
      <c r="B2333" s="3" t="str">
        <f>HYPERLINK("http://www.ncbi.nlm.nih.gov/gene/67302","Zc3h13")</f>
        <v>Zc3h13</v>
      </c>
      <c r="C2333">
        <v>67302</v>
      </c>
      <c r="D2333" t="s">
        <v>4672</v>
      </c>
      <c r="E2333" s="3" t="str">
        <f>HYPERLINK("http://genome.ucsc.edu/cgi-bin/hgTracks?db=mm10&amp;lastVirtModeType=default&amp;lastVirtModeExtraState=&amp;virtModeType=default&amp;virtMode=0&amp;nonVirtPosition=&amp;position=chr14:75284372-75344426","chr14:75284372-75344426")</f>
        <v>chr14:75284372-75344426</v>
      </c>
      <c r="F2333" t="s">
        <v>30</v>
      </c>
      <c r="G2333">
        <v>0.461729942111753</v>
      </c>
      <c r="H2333">
        <v>0.14914965862534799</v>
      </c>
      <c r="I2333">
        <v>3.0957492384986298</v>
      </c>
      <c r="J2333">
        <v>1.9631630727427098E-3</v>
      </c>
      <c r="K2333">
        <v>1.1266923467524399E-2</v>
      </c>
      <c r="L2333" t="s">
        <v>26</v>
      </c>
      <c r="M2333" t="s">
        <v>27</v>
      </c>
      <c r="N2333">
        <v>341.50954179253102</v>
      </c>
      <c r="O2333">
        <v>279.21525577539398</v>
      </c>
      <c r="P2333">
        <v>388.23025630538399</v>
      </c>
      <c r="Q2333">
        <v>274.49872518082202</v>
      </c>
      <c r="R2333">
        <v>238.17208733801999</v>
      </c>
      <c r="S2333">
        <v>324.97495480734</v>
      </c>
      <c r="T2333">
        <v>371.21933196208198</v>
      </c>
      <c r="U2333">
        <v>396.13249798882401</v>
      </c>
      <c r="V2333">
        <v>344.28589597782002</v>
      </c>
      <c r="W2333">
        <v>441.28329929280898</v>
      </c>
    </row>
    <row r="2334" spans="1:23" x14ac:dyDescent="0.2">
      <c r="A2334" t="s">
        <v>4673</v>
      </c>
      <c r="B2334" s="3" t="str">
        <f>HYPERLINK("http://www.ncbi.nlm.nih.gov/gene/11517","Adcyap1r1")</f>
        <v>Adcyap1r1</v>
      </c>
      <c r="C2334">
        <v>11517</v>
      </c>
      <c r="D2334" t="s">
        <v>4674</v>
      </c>
      <c r="E2334" s="3" t="str">
        <f>HYPERLINK("http://genome.ucsc.edu/cgi-bin/hgTracks?db=mm10&amp;lastVirtModeType=default&amp;lastVirtModeExtraState=&amp;virtModeType=default&amp;virtMode=0&amp;nonVirtPosition=&amp;position=chr6:55451977-55501455","chr6:55451977-55501455")</f>
        <v>chr6:55451977-55501455</v>
      </c>
      <c r="F2334" t="s">
        <v>30</v>
      </c>
      <c r="G2334">
        <v>-0.61712222761262603</v>
      </c>
      <c r="H2334">
        <v>0.199351046420499</v>
      </c>
      <c r="I2334">
        <v>-3.0956558226983502</v>
      </c>
      <c r="J2334">
        <v>1.9637815975806E-3</v>
      </c>
      <c r="K2334">
        <v>1.1266923467524399E-2</v>
      </c>
      <c r="L2334" t="s">
        <v>26</v>
      </c>
      <c r="M2334" t="s">
        <v>27</v>
      </c>
      <c r="N2334">
        <v>869.33868297152401</v>
      </c>
      <c r="O2334">
        <v>1100.1972012019801</v>
      </c>
      <c r="P2334">
        <v>696.19479429868204</v>
      </c>
      <c r="Q2334">
        <v>1557.3487511780099</v>
      </c>
      <c r="R2334">
        <v>798.33159848174</v>
      </c>
      <c r="S2334">
        <v>944.91125394618405</v>
      </c>
      <c r="T2334">
        <v>687.44320733718996</v>
      </c>
      <c r="U2334">
        <v>783.69996899410603</v>
      </c>
      <c r="V2334">
        <v>657.67433975250196</v>
      </c>
      <c r="W2334">
        <v>655.96166111093203</v>
      </c>
    </row>
    <row r="2335" spans="1:23" x14ac:dyDescent="0.2">
      <c r="A2335" t="s">
        <v>4675</v>
      </c>
      <c r="B2335" s="3" t="str">
        <f>HYPERLINK("http://www.ncbi.nlm.nih.gov/gene/20658","Son")</f>
        <v>Son</v>
      </c>
      <c r="C2335">
        <v>20658</v>
      </c>
      <c r="D2335" t="s">
        <v>4676</v>
      </c>
      <c r="E2335" s="3" t="str">
        <f>HYPERLINK("http://genome.ucsc.edu/cgi-bin/hgTracks?db=mm10&amp;lastVirtModeType=default&amp;lastVirtModeExtraState=&amp;virtModeType=default&amp;virtMode=0&amp;nonVirtPosition=&amp;position=chr16:91647823-91679192","chr16:91647823-91679192")</f>
        <v>chr16:91647823-91679192</v>
      </c>
      <c r="F2335" t="s">
        <v>30</v>
      </c>
      <c r="G2335">
        <v>0.39510753937215098</v>
      </c>
      <c r="H2335">
        <v>0.127654333073495</v>
      </c>
      <c r="I2335">
        <v>3.0951361372486601</v>
      </c>
      <c r="J2335">
        <v>1.9672258067928499E-3</v>
      </c>
      <c r="K2335">
        <v>1.12793925329249E-2</v>
      </c>
      <c r="L2335" t="s">
        <v>26</v>
      </c>
      <c r="M2335" t="s">
        <v>27</v>
      </c>
      <c r="N2335">
        <v>3123.9816244941098</v>
      </c>
      <c r="O2335">
        <v>2635.0077180665098</v>
      </c>
      <c r="P2335">
        <v>3490.7120543148199</v>
      </c>
      <c r="Q2335">
        <v>2525.05419613596</v>
      </c>
      <c r="R2335">
        <v>2337.7273031075802</v>
      </c>
      <c r="S2335">
        <v>3042.2416549559798</v>
      </c>
      <c r="T2335">
        <v>3629.7001347403602</v>
      </c>
      <c r="U2335">
        <v>3199.0375783529898</v>
      </c>
      <c r="V2335">
        <v>3669.4402759345398</v>
      </c>
      <c r="W2335">
        <v>3464.67022823138</v>
      </c>
    </row>
    <row r="2336" spans="1:23" x14ac:dyDescent="0.2">
      <c r="A2336" t="s">
        <v>4677</v>
      </c>
      <c r="B2336" s="3" t="str">
        <f>HYPERLINK("http://www.ncbi.nlm.nih.gov/gene/56258","Hnrnph2")</f>
        <v>Hnrnph2</v>
      </c>
      <c r="C2336">
        <v>56258</v>
      </c>
      <c r="D2336" t="s">
        <v>4678</v>
      </c>
      <c r="E2336" s="3" t="str">
        <f>HYPERLINK("http://genome.ucsc.edu/cgi-bin/hgTracks?db=mm10&amp;lastVirtModeType=default&amp;lastVirtModeExtraState=&amp;virtModeType=default&amp;virtMode=0&amp;nonVirtPosition=&amp;position=chrX:134601178-134607057","chrX:134601178-134607057")</f>
        <v>chrX:134601178-134607057</v>
      </c>
      <c r="F2336" t="s">
        <v>30</v>
      </c>
      <c r="G2336">
        <v>-0.42852384421044198</v>
      </c>
      <c r="H2336">
        <v>0.13845704401009701</v>
      </c>
      <c r="I2336">
        <v>-3.0949948937173</v>
      </c>
      <c r="J2336">
        <v>1.9681628545360902E-3</v>
      </c>
      <c r="K2336">
        <v>1.12793925329249E-2</v>
      </c>
      <c r="L2336" t="s">
        <v>26</v>
      </c>
      <c r="M2336" t="s">
        <v>27</v>
      </c>
      <c r="N2336">
        <v>214.70253968095</v>
      </c>
      <c r="O2336">
        <v>253.35311226284401</v>
      </c>
      <c r="P2336">
        <v>185.71461024452901</v>
      </c>
      <c r="Q2336">
        <v>260.57891153067902</v>
      </c>
      <c r="R2336">
        <v>266.61620604877101</v>
      </c>
      <c r="S2336">
        <v>232.864219209081</v>
      </c>
      <c r="T2336">
        <v>178.735233907669</v>
      </c>
      <c r="U2336">
        <v>179.86556665438499</v>
      </c>
      <c r="V2336">
        <v>174.349908860563</v>
      </c>
      <c r="W2336">
        <v>209.907731555498</v>
      </c>
    </row>
    <row r="2337" spans="1:23" x14ac:dyDescent="0.2">
      <c r="A2337" t="s">
        <v>4679</v>
      </c>
      <c r="B2337" s="3" t="str">
        <f>HYPERLINK("http://www.ncbi.nlm.nih.gov/gene/195733","Grhl1")</f>
        <v>Grhl1</v>
      </c>
      <c r="C2337">
        <v>195733</v>
      </c>
      <c r="D2337" t="s">
        <v>4680</v>
      </c>
      <c r="E2337" s="3" t="str">
        <f>HYPERLINK("http://genome.ucsc.edu/cgi-bin/hgTracks?db=mm10&amp;lastVirtModeType=default&amp;lastVirtModeExtraState=&amp;virtModeType=default&amp;virtMode=0&amp;nonVirtPosition=&amp;position=chr12:24580718-24617391","chr12:24580718-24617391")</f>
        <v>chr12:24580718-24617391</v>
      </c>
      <c r="F2337" t="s">
        <v>30</v>
      </c>
      <c r="G2337">
        <v>1.0165427050204601</v>
      </c>
      <c r="H2337">
        <v>0.32845261446671697</v>
      </c>
      <c r="I2337">
        <v>3.09494478121582</v>
      </c>
      <c r="J2337">
        <v>1.9684954128707699E-3</v>
      </c>
      <c r="K2337">
        <v>1.12793925329249E-2</v>
      </c>
      <c r="L2337" t="s">
        <v>26</v>
      </c>
      <c r="M2337" t="s">
        <v>27</v>
      </c>
      <c r="N2337">
        <v>18.788595941513702</v>
      </c>
      <c r="O2337">
        <v>9.8353001351207894</v>
      </c>
      <c r="P2337">
        <v>25.5035677963083</v>
      </c>
      <c r="Q2337">
        <v>10.0222658281031</v>
      </c>
      <c r="R2337">
        <v>13.2739220650171</v>
      </c>
      <c r="S2337">
        <v>6.2097125122421701</v>
      </c>
      <c r="T2337">
        <v>32.0806830090688</v>
      </c>
      <c r="U2337">
        <v>23.553824204740899</v>
      </c>
      <c r="V2337">
        <v>21.3339550926427</v>
      </c>
      <c r="W2337">
        <v>25.045808878780999</v>
      </c>
    </row>
    <row r="2338" spans="1:23" x14ac:dyDescent="0.2">
      <c r="A2338" t="s">
        <v>4681</v>
      </c>
      <c r="B2338" s="3" t="str">
        <f>HYPERLINK("http://www.ncbi.nlm.nih.gov/gene/192236","Hps1")</f>
        <v>Hps1</v>
      </c>
      <c r="C2338">
        <v>192236</v>
      </c>
      <c r="D2338" t="s">
        <v>4682</v>
      </c>
      <c r="E2338" s="3" t="str">
        <f>HYPERLINK("http://genome.ucsc.edu/cgi-bin/hgTracks?db=mm10&amp;lastVirtModeType=default&amp;lastVirtModeExtraState=&amp;virtModeType=default&amp;virtMode=0&amp;nonVirtPosition=&amp;position=chr19:42755195-42779976","chr19:42755195-42779976")</f>
        <v>chr19:42755195-42779976</v>
      </c>
      <c r="F2338" t="s">
        <v>25</v>
      </c>
      <c r="G2338">
        <v>0.85597033439878201</v>
      </c>
      <c r="H2338">
        <v>0.27658162758900201</v>
      </c>
      <c r="I2338">
        <v>3.0948199338487701</v>
      </c>
      <c r="J2338">
        <v>1.9693241536836901E-3</v>
      </c>
      <c r="K2338">
        <v>1.12793925329249E-2</v>
      </c>
      <c r="L2338" t="s">
        <v>26</v>
      </c>
      <c r="M2338" t="s">
        <v>27</v>
      </c>
      <c r="N2338">
        <v>91.227873322518505</v>
      </c>
      <c r="O2338">
        <v>57.276870890413598</v>
      </c>
      <c r="P2338">
        <v>116.691125146597</v>
      </c>
      <c r="Q2338">
        <v>34.521137852354897</v>
      </c>
      <c r="R2338">
        <v>47.786119434061398</v>
      </c>
      <c r="S2338">
        <v>89.523355384824598</v>
      </c>
      <c r="T2338">
        <v>155.82046032976299</v>
      </c>
      <c r="U2338">
        <v>94.215296818963594</v>
      </c>
      <c r="V2338">
        <v>92.692356609412997</v>
      </c>
      <c r="W2338">
        <v>124.03638682824899</v>
      </c>
    </row>
    <row r="2339" spans="1:23" x14ac:dyDescent="0.2">
      <c r="A2339" t="s">
        <v>4683</v>
      </c>
      <c r="B2339" s="3" t="str">
        <f>HYPERLINK("http://www.ncbi.nlm.nih.gov/gene/76788","Klhdc10")</f>
        <v>Klhdc10</v>
      </c>
      <c r="C2339">
        <v>76788</v>
      </c>
      <c r="D2339" t="s">
        <v>4684</v>
      </c>
      <c r="E2339" s="3" t="str">
        <f>HYPERLINK("http://genome.ucsc.edu/cgi-bin/hgTracks?db=mm10&amp;lastVirtModeType=default&amp;lastVirtModeExtraState=&amp;virtModeType=default&amp;virtMode=0&amp;nonVirtPosition=&amp;position=chr6:30401854-30455174","chr6:30401854-30455174")</f>
        <v>chr6:30401854-30455174</v>
      </c>
      <c r="F2339" t="s">
        <v>30</v>
      </c>
      <c r="G2339">
        <v>-0.30422939791069398</v>
      </c>
      <c r="H2339">
        <v>9.8311158910509594E-2</v>
      </c>
      <c r="I2339">
        <v>-3.0945561143026201</v>
      </c>
      <c r="J2339">
        <v>1.97107644984697E-3</v>
      </c>
      <c r="K2339">
        <v>1.12846022829845E-2</v>
      </c>
      <c r="L2339" t="s">
        <v>26</v>
      </c>
      <c r="M2339" t="s">
        <v>27</v>
      </c>
      <c r="N2339">
        <v>888.81548903341695</v>
      </c>
      <c r="O2339">
        <v>999.13594324063297</v>
      </c>
      <c r="P2339">
        <v>806.07514837800602</v>
      </c>
      <c r="Q2339">
        <v>1030.6230026566</v>
      </c>
      <c r="R2339">
        <v>926.14050522204798</v>
      </c>
      <c r="S2339">
        <v>1040.6443218432501</v>
      </c>
      <c r="T2339">
        <v>811.18298465788405</v>
      </c>
      <c r="U2339">
        <v>796.54750946941897</v>
      </c>
      <c r="V2339">
        <v>815.10421526372704</v>
      </c>
      <c r="W2339">
        <v>801.465884120993</v>
      </c>
    </row>
    <row r="2340" spans="1:23" x14ac:dyDescent="0.2">
      <c r="A2340" t="s">
        <v>4685</v>
      </c>
      <c r="B2340" s="3" t="str">
        <f>HYPERLINK("http://www.ncbi.nlm.nih.gov/gene/241656","Pak7")</f>
        <v>Pak7</v>
      </c>
      <c r="C2340">
        <v>241656</v>
      </c>
      <c r="D2340" t="s">
        <v>4686</v>
      </c>
      <c r="E2340" s="3" t="str">
        <f>HYPERLINK("http://genome.ucsc.edu/cgi-bin/hgTracks?db=mm10&amp;lastVirtModeType=default&amp;lastVirtModeExtraState=&amp;virtModeType=default&amp;virtMode=0&amp;nonVirtPosition=&amp;position=chr2:136081087-136387967","chr2:136081087-136387967")</f>
        <v>chr2:136081087-136387967</v>
      </c>
      <c r="F2340" t="s">
        <v>25</v>
      </c>
      <c r="G2340">
        <v>-0.75625406484239999</v>
      </c>
      <c r="H2340">
        <v>0.244409186200748</v>
      </c>
      <c r="I2340">
        <v>-3.09421293282014</v>
      </c>
      <c r="J2340">
        <v>1.9733580118793002E-3</v>
      </c>
      <c r="K2340">
        <v>1.1292836383365701E-2</v>
      </c>
      <c r="L2340" t="s">
        <v>26</v>
      </c>
      <c r="M2340" t="s">
        <v>27</v>
      </c>
      <c r="N2340">
        <v>62.045521527914801</v>
      </c>
      <c r="O2340">
        <v>83.059555321688293</v>
      </c>
      <c r="P2340">
        <v>46.284996182584599</v>
      </c>
      <c r="Q2340">
        <v>104.676998649076</v>
      </c>
      <c r="R2340">
        <v>77.747257809385601</v>
      </c>
      <c r="S2340">
        <v>66.754409506603395</v>
      </c>
      <c r="T2340">
        <v>50.4125018713939</v>
      </c>
      <c r="U2340">
        <v>44.966391663596198</v>
      </c>
      <c r="V2340">
        <v>55.174021791317301</v>
      </c>
      <c r="W2340">
        <v>34.587069404030998</v>
      </c>
    </row>
    <row r="2341" spans="1:23" x14ac:dyDescent="0.2">
      <c r="A2341" t="s">
        <v>4687</v>
      </c>
      <c r="B2341" s="3" t="str">
        <f>HYPERLINK("http://www.ncbi.nlm.nih.gov/gene/22770","Zhx1")</f>
        <v>Zhx1</v>
      </c>
      <c r="C2341">
        <v>22770</v>
      </c>
      <c r="D2341" t="s">
        <v>4688</v>
      </c>
      <c r="E2341" s="3" t="str">
        <f>HYPERLINK("http://genome.ucsc.edu/cgi-bin/hgTracks?db=mm10&amp;lastVirtModeType=default&amp;lastVirtModeExtraState=&amp;virtModeType=default&amp;virtMode=0&amp;nonVirtPosition=&amp;position=chr15:58047002-58076508","chr15:58047002-58076508")</f>
        <v>chr15:58047002-58076508</v>
      </c>
      <c r="F2341" t="s">
        <v>25</v>
      </c>
      <c r="G2341">
        <v>-0.52209713776566802</v>
      </c>
      <c r="H2341">
        <v>0.16874604675629401</v>
      </c>
      <c r="I2341">
        <v>-3.0939814460938999</v>
      </c>
      <c r="J2341">
        <v>1.9748983662355099E-3</v>
      </c>
      <c r="K2341">
        <v>1.1296823589175499E-2</v>
      </c>
      <c r="L2341" t="s">
        <v>26</v>
      </c>
      <c r="M2341" t="s">
        <v>27</v>
      </c>
      <c r="N2341">
        <v>619.48434262318199</v>
      </c>
      <c r="O2341">
        <v>758.676674281484</v>
      </c>
      <c r="P2341">
        <v>515.09009387945503</v>
      </c>
      <c r="Q2341">
        <v>951.00166857777799</v>
      </c>
      <c r="R2341">
        <v>724.75614474993199</v>
      </c>
      <c r="S2341">
        <v>600.27220951674303</v>
      </c>
      <c r="T2341">
        <v>439.96365269580099</v>
      </c>
      <c r="U2341">
        <v>558.86801067612498</v>
      </c>
      <c r="V2341">
        <v>579.69505562077302</v>
      </c>
      <c r="W2341">
        <v>481.833656525121</v>
      </c>
    </row>
    <row r="2342" spans="1:23" x14ac:dyDescent="0.2">
      <c r="A2342" t="s">
        <v>4689</v>
      </c>
      <c r="B2342" s="3" t="str">
        <f>HYPERLINK("http://www.ncbi.nlm.nih.gov/gene/67095","Trak1")</f>
        <v>Trak1</v>
      </c>
      <c r="C2342">
        <v>67095</v>
      </c>
      <c r="D2342" t="s">
        <v>4690</v>
      </c>
      <c r="E2342" s="3" t="str">
        <f>HYPERLINK("http://genome.ucsc.edu/cgi-bin/hgTracks?db=mm10&amp;lastVirtModeType=default&amp;lastVirtModeExtraState=&amp;virtModeType=default&amp;virtMode=0&amp;nonVirtPosition=&amp;position=chr9:121366957-121474918","chr9:121366957-121474918")</f>
        <v>chr9:121366957-121474918</v>
      </c>
      <c r="F2342" t="s">
        <v>30</v>
      </c>
      <c r="G2342">
        <v>0.47543420396765101</v>
      </c>
      <c r="H2342">
        <v>0.15367354966588101</v>
      </c>
      <c r="I2342">
        <v>3.0937933365979098</v>
      </c>
      <c r="J2342">
        <v>1.9761508934521398E-3</v>
      </c>
      <c r="K2342">
        <v>1.12991616627744E-2</v>
      </c>
      <c r="L2342" t="s">
        <v>26</v>
      </c>
      <c r="M2342" t="s">
        <v>27</v>
      </c>
      <c r="N2342">
        <v>661.26055079039304</v>
      </c>
      <c r="O2342">
        <v>534.757821020552</v>
      </c>
      <c r="P2342">
        <v>756.137598117773</v>
      </c>
      <c r="Q2342">
        <v>440.422903890528</v>
      </c>
      <c r="R2342">
        <v>496.823940147781</v>
      </c>
      <c r="S2342">
        <v>667.02661902334705</v>
      </c>
      <c r="T2342">
        <v>788.26821107997705</v>
      </c>
      <c r="U2342">
        <v>817.96007692827402</v>
      </c>
      <c r="V2342">
        <v>700.34224993778696</v>
      </c>
      <c r="W2342">
        <v>717.979854525056</v>
      </c>
    </row>
    <row r="2343" spans="1:23" x14ac:dyDescent="0.2">
      <c r="A2343" t="s">
        <v>4691</v>
      </c>
      <c r="B2343" s="3" t="str">
        <f>HYPERLINK("http://www.ncbi.nlm.nih.gov/gene/330485","Tmem145")</f>
        <v>Tmem145</v>
      </c>
      <c r="C2343">
        <v>330485</v>
      </c>
      <c r="D2343" t="s">
        <v>4692</v>
      </c>
      <c r="E2343" s="3" t="str">
        <f>HYPERLINK("http://genome.ucsc.edu/cgi-bin/hgTracks?db=mm10&amp;lastVirtModeType=default&amp;lastVirtModeExtraState=&amp;virtModeType=default&amp;virtMode=0&amp;nonVirtPosition=&amp;position=chr7:25306107-25316195","chr7:25306107-25316195")</f>
        <v>chr7:25306107-25316195</v>
      </c>
      <c r="F2343" t="s">
        <v>30</v>
      </c>
      <c r="G2343">
        <v>0.85998889534046696</v>
      </c>
      <c r="H2343">
        <v>0.27804020253115203</v>
      </c>
      <c r="I2343">
        <v>3.0930379402385699</v>
      </c>
      <c r="J2343">
        <v>1.9811880476828798E-3</v>
      </c>
      <c r="K2343">
        <v>1.1323128103508899E-2</v>
      </c>
      <c r="L2343" t="s">
        <v>26</v>
      </c>
      <c r="M2343" t="s">
        <v>27</v>
      </c>
      <c r="N2343">
        <v>39.905087217615701</v>
      </c>
      <c r="O2343">
        <v>25.045940407589299</v>
      </c>
      <c r="P2343">
        <v>51.049447325135603</v>
      </c>
      <c r="Q2343">
        <v>18.3741540181889</v>
      </c>
      <c r="R2343">
        <v>34.512197369044401</v>
      </c>
      <c r="S2343">
        <v>22.2514698355345</v>
      </c>
      <c r="T2343">
        <v>45.829547155812598</v>
      </c>
      <c r="U2343">
        <v>64.237702376566105</v>
      </c>
      <c r="V2343">
        <v>40.460949313632703</v>
      </c>
      <c r="W2343">
        <v>53.669590454530798</v>
      </c>
    </row>
    <row r="2344" spans="1:23" x14ac:dyDescent="0.2">
      <c r="A2344" t="s">
        <v>4693</v>
      </c>
      <c r="B2344" s="3" t="str">
        <f>HYPERLINK("http://www.ncbi.nlm.nih.gov/gene/67287","Parp6")</f>
        <v>Parp6</v>
      </c>
      <c r="C2344">
        <v>67287</v>
      </c>
      <c r="D2344" t="s">
        <v>4694</v>
      </c>
      <c r="E2344" s="3" t="str">
        <f>HYPERLINK("http://genome.ucsc.edu/cgi-bin/hgTracks?db=mm10&amp;lastVirtModeType=default&amp;lastVirtModeExtraState=&amp;virtModeType=default&amp;virtMode=0&amp;nonVirtPosition=&amp;position=chr9:59617283-59650290","chr9:59617283-59650290")</f>
        <v>chr9:59617283-59650290</v>
      </c>
      <c r="F2344" t="s">
        <v>30</v>
      </c>
      <c r="G2344">
        <v>0.46251008744123201</v>
      </c>
      <c r="H2344">
        <v>0.14957118018170601</v>
      </c>
      <c r="I2344">
        <v>3.0922406768426498</v>
      </c>
      <c r="J2344">
        <v>1.98651716190001E-3</v>
      </c>
      <c r="K2344">
        <v>1.13487420285849E-2</v>
      </c>
      <c r="L2344" t="s">
        <v>26</v>
      </c>
      <c r="M2344" t="s">
        <v>27</v>
      </c>
      <c r="N2344">
        <v>163.94159759031399</v>
      </c>
      <c r="O2344">
        <v>132.617355463194</v>
      </c>
      <c r="P2344">
        <v>187.43477918565401</v>
      </c>
      <c r="Q2344">
        <v>135.30058867939101</v>
      </c>
      <c r="R2344">
        <v>141.46208372146799</v>
      </c>
      <c r="S2344">
        <v>121.08939398872199</v>
      </c>
      <c r="T2344">
        <v>210.81591691673799</v>
      </c>
      <c r="U2344">
        <v>162.735512687301</v>
      </c>
      <c r="V2344">
        <v>175.82121610833099</v>
      </c>
      <c r="W2344">
        <v>200.36647103024799</v>
      </c>
    </row>
    <row r="2345" spans="1:23" x14ac:dyDescent="0.2">
      <c r="A2345" t="s">
        <v>4695</v>
      </c>
      <c r="B2345" s="3" t="str">
        <f>HYPERLINK("http://www.ncbi.nlm.nih.gov/gene/21339","Taf1a")</f>
        <v>Taf1a</v>
      </c>
      <c r="C2345">
        <v>21339</v>
      </c>
      <c r="D2345" t="s">
        <v>4696</v>
      </c>
      <c r="E2345" s="3" t="str">
        <f>HYPERLINK("http://genome.ucsc.edu/cgi-bin/hgTracks?db=mm10&amp;lastVirtModeType=default&amp;lastVirtModeExtraState=&amp;virtModeType=default&amp;virtMode=0&amp;nonVirtPosition=&amp;position=chr1:183388984-183410206","chr1:183388984-183410206")</f>
        <v>chr1:183388984-183410206</v>
      </c>
      <c r="F2345" t="s">
        <v>30</v>
      </c>
      <c r="G2345">
        <v>0.698414719506388</v>
      </c>
      <c r="H2345">
        <v>0.225959029503398</v>
      </c>
      <c r="I2345">
        <v>3.0908909506353002</v>
      </c>
      <c r="J2345">
        <v>1.9955690806164601E-3</v>
      </c>
      <c r="K2345">
        <v>1.1395592988714299E-2</v>
      </c>
      <c r="L2345" t="s">
        <v>26</v>
      </c>
      <c r="M2345" t="s">
        <v>27</v>
      </c>
      <c r="N2345">
        <v>62.535856553461798</v>
      </c>
      <c r="O2345">
        <v>44.392226723525503</v>
      </c>
      <c r="P2345">
        <v>76.143578925913999</v>
      </c>
      <c r="Q2345">
        <v>36.191515490372097</v>
      </c>
      <c r="R2345">
        <v>40.580276027337902</v>
      </c>
      <c r="S2345">
        <v>56.404888652866397</v>
      </c>
      <c r="T2345">
        <v>87.076139596044001</v>
      </c>
      <c r="U2345">
        <v>62.096445630680499</v>
      </c>
      <c r="V2345">
        <v>74.301016012307201</v>
      </c>
      <c r="W2345">
        <v>81.100714464624303</v>
      </c>
    </row>
    <row r="2346" spans="1:23" x14ac:dyDescent="0.2">
      <c r="A2346" t="s">
        <v>4697</v>
      </c>
      <c r="B2346" s="3" t="str">
        <f>HYPERLINK("http://www.ncbi.nlm.nih.gov/gene/20194","S100a10")</f>
        <v>S100a10</v>
      </c>
      <c r="C2346">
        <v>20194</v>
      </c>
      <c r="D2346" t="s">
        <v>4698</v>
      </c>
      <c r="E2346" s="3" t="str">
        <f>HYPERLINK("http://genome.ucsc.edu/cgi-bin/hgTracks?db=mm10&amp;lastVirtModeType=default&amp;lastVirtModeExtraState=&amp;virtModeType=default&amp;virtMode=0&amp;nonVirtPosition=&amp;position=chr3:93555116-93564645","chr3:93555116-93564645")</f>
        <v>chr3:93555116-93564645</v>
      </c>
      <c r="F2346" t="s">
        <v>30</v>
      </c>
      <c r="G2346">
        <v>-0.74686733990218401</v>
      </c>
      <c r="H2346">
        <v>0.24165439810745501</v>
      </c>
      <c r="I2346">
        <v>-3.0906424453738999</v>
      </c>
      <c r="J2346">
        <v>1.9972397983197298E-3</v>
      </c>
      <c r="K2346">
        <v>1.1400272011636599E-2</v>
      </c>
      <c r="L2346" t="s">
        <v>26</v>
      </c>
      <c r="M2346" t="s">
        <v>27</v>
      </c>
      <c r="N2346">
        <v>247.925582141169</v>
      </c>
      <c r="O2346">
        <v>332.48697754304197</v>
      </c>
      <c r="P2346">
        <v>184.504535589764</v>
      </c>
      <c r="Q2346">
        <v>190.979843279964</v>
      </c>
      <c r="R2346">
        <v>382.66821038863498</v>
      </c>
      <c r="S2346">
        <v>423.812878960528</v>
      </c>
      <c r="T2346">
        <v>132.90568675185699</v>
      </c>
      <c r="U2346">
        <v>229.11447180975199</v>
      </c>
      <c r="V2346">
        <v>212.603897302543</v>
      </c>
      <c r="W2346">
        <v>163.394086494905</v>
      </c>
    </row>
    <row r="2347" spans="1:23" x14ac:dyDescent="0.2">
      <c r="A2347" t="s">
        <v>4699</v>
      </c>
      <c r="B2347" s="3" t="str">
        <f>HYPERLINK("http://www.ncbi.nlm.nih.gov/gene/217216","BC030867")</f>
        <v>BC030867</v>
      </c>
      <c r="C2347">
        <v>217216</v>
      </c>
      <c r="D2347" t="s">
        <v>4700</v>
      </c>
      <c r="E2347" s="3" t="str">
        <f>HYPERLINK("http://genome.ucsc.edu/cgi-bin/hgTracks?db=mm10&amp;lastVirtModeType=default&amp;lastVirtModeExtraState=&amp;virtModeType=default&amp;virtMode=0&amp;nonVirtPosition=&amp;position=chr11:102248881-102265183","chr11:102248881-102265183")</f>
        <v>chr11:102248881-102265183</v>
      </c>
      <c r="F2347" t="s">
        <v>30</v>
      </c>
      <c r="G2347">
        <v>0.81790226161080104</v>
      </c>
      <c r="H2347">
        <v>0.26466078874184601</v>
      </c>
      <c r="I2347">
        <v>3.0903794457009401</v>
      </c>
      <c r="J2347">
        <v>1.9990093611161898E-3</v>
      </c>
      <c r="K2347">
        <v>1.1405511016065999E-2</v>
      </c>
      <c r="L2347" t="s">
        <v>26</v>
      </c>
      <c r="M2347" t="s">
        <v>27</v>
      </c>
      <c r="N2347">
        <v>57.955230311961003</v>
      </c>
      <c r="O2347">
        <v>37.703550055976201</v>
      </c>
      <c r="P2347">
        <v>73.143990503949595</v>
      </c>
      <c r="Q2347">
        <v>21.7149092942233</v>
      </c>
      <c r="R2347">
        <v>41.718040775767903</v>
      </c>
      <c r="S2347">
        <v>49.677700097937397</v>
      </c>
      <c r="T2347">
        <v>73.327275449300203</v>
      </c>
      <c r="U2347">
        <v>83.509013089535898</v>
      </c>
      <c r="V2347">
        <v>61.7949044062753</v>
      </c>
      <c r="W2347">
        <v>73.944769070686903</v>
      </c>
    </row>
    <row r="2348" spans="1:23" x14ac:dyDescent="0.2">
      <c r="A2348" t="s">
        <v>4701</v>
      </c>
      <c r="B2348" s="3" t="str">
        <f>HYPERLINK("http://www.ncbi.nlm.nih.gov/gene/58521","Eid1")</f>
        <v>Eid1</v>
      </c>
      <c r="C2348">
        <v>58521</v>
      </c>
      <c r="D2348" t="s">
        <v>4702</v>
      </c>
      <c r="E2348" s="3" t="str">
        <f>HYPERLINK("http://genome.ucsc.edu/cgi-bin/hgTracks?db=mm10&amp;lastVirtModeType=default&amp;lastVirtModeExtraState=&amp;virtModeType=default&amp;virtMode=0&amp;nonVirtPosition=&amp;position=chr2:125673099-125675642","chr2:125673099-125675642")</f>
        <v>chr2:125673099-125675642</v>
      </c>
      <c r="F2348" t="s">
        <v>30</v>
      </c>
      <c r="G2348">
        <v>-0.47669603158070301</v>
      </c>
      <c r="H2348">
        <v>0.15426772271894901</v>
      </c>
      <c r="I2348">
        <v>-3.0900568387151699</v>
      </c>
      <c r="J2348">
        <v>2.0011819498497001E-3</v>
      </c>
      <c r="K2348">
        <v>1.14130440759954E-2</v>
      </c>
      <c r="L2348" t="s">
        <v>26</v>
      </c>
      <c r="M2348" t="s">
        <v>27</v>
      </c>
      <c r="N2348">
        <v>714.80412295403505</v>
      </c>
      <c r="O2348">
        <v>858.15447131495898</v>
      </c>
      <c r="P2348">
        <v>607.29136168334196</v>
      </c>
      <c r="Q2348">
        <v>901.44713198326895</v>
      </c>
      <c r="R2348">
        <v>1008.05956710901</v>
      </c>
      <c r="S2348">
        <v>664.95671485259902</v>
      </c>
      <c r="T2348">
        <v>563.70343001649496</v>
      </c>
      <c r="U2348">
        <v>665.93084797040103</v>
      </c>
      <c r="V2348">
        <v>628.24819479713301</v>
      </c>
      <c r="W2348">
        <v>571.28297394933895</v>
      </c>
    </row>
    <row r="2349" spans="1:23" x14ac:dyDescent="0.2">
      <c r="A2349" t="s">
        <v>4703</v>
      </c>
      <c r="B2349" s="3" t="str">
        <f>HYPERLINK("http://www.ncbi.nlm.nih.gov/gene/18131","Notch3")</f>
        <v>Notch3</v>
      </c>
      <c r="C2349">
        <v>18131</v>
      </c>
      <c r="D2349" t="s">
        <v>4704</v>
      </c>
      <c r="E2349" s="3" t="str">
        <f>HYPERLINK("http://genome.ucsc.edu/cgi-bin/hgTracks?db=mm10&amp;lastVirtModeType=default&amp;lastVirtModeExtraState=&amp;virtModeType=default&amp;virtMode=0&amp;nonVirtPosition=&amp;position=chr17:32120892-32166852","chr17:32120892-32166852")</f>
        <v>chr17:32120892-32166852</v>
      </c>
      <c r="F2349" t="s">
        <v>25</v>
      </c>
      <c r="G2349">
        <v>0.60196167555860502</v>
      </c>
      <c r="H2349">
        <v>0.19481583368775701</v>
      </c>
      <c r="I2349">
        <v>3.0899011859755001</v>
      </c>
      <c r="J2349">
        <v>2.0022309641963298E-3</v>
      </c>
      <c r="K2349">
        <v>1.1414165534930999E-2</v>
      </c>
      <c r="L2349" t="s">
        <v>26</v>
      </c>
      <c r="M2349" t="s">
        <v>27</v>
      </c>
      <c r="N2349">
        <v>121.924713251965</v>
      </c>
      <c r="O2349">
        <v>93.8460425174368</v>
      </c>
      <c r="P2349">
        <v>142.98371630286101</v>
      </c>
      <c r="Q2349">
        <v>104.120206103071</v>
      </c>
      <c r="R2349">
        <v>69.782904570375393</v>
      </c>
      <c r="S2349">
        <v>107.63501687886399</v>
      </c>
      <c r="T2349">
        <v>114.573867889532</v>
      </c>
      <c r="U2349">
        <v>154.170485703759</v>
      </c>
      <c r="V2349">
        <v>149.33768564849899</v>
      </c>
      <c r="W2349">
        <v>153.85282596965499</v>
      </c>
    </row>
    <row r="2350" spans="1:23" x14ac:dyDescent="0.2">
      <c r="A2350" t="s">
        <v>4705</v>
      </c>
      <c r="B2350" s="3" t="str">
        <f>HYPERLINK("http://www.ncbi.nlm.nih.gov/gene/381760","Ssbp1")</f>
        <v>Ssbp1</v>
      </c>
      <c r="C2350">
        <v>381760</v>
      </c>
      <c r="D2350" t="s">
        <v>4706</v>
      </c>
      <c r="E2350" s="3" t="str">
        <f>HYPERLINK("http://genome.ucsc.edu/cgi-bin/hgTracks?db=mm10&amp;lastVirtModeType=default&amp;lastVirtModeExtraState=&amp;virtModeType=default&amp;virtMode=0&amp;nonVirtPosition=&amp;position=chr6:40471467-40481823","chr6:40471467-40481823")</f>
        <v>chr6:40471467-40481823</v>
      </c>
      <c r="F2350" t="s">
        <v>30</v>
      </c>
      <c r="G2350">
        <v>0.55579773561442203</v>
      </c>
      <c r="H2350">
        <v>0.179888089572625</v>
      </c>
      <c r="I2350">
        <v>3.08968613172155</v>
      </c>
      <c r="J2350">
        <v>2.00368114258704E-3</v>
      </c>
      <c r="K2350">
        <v>1.14175719916524E-2</v>
      </c>
      <c r="L2350" t="s">
        <v>26</v>
      </c>
      <c r="M2350" t="s">
        <v>27</v>
      </c>
      <c r="N2350">
        <v>95.956809960988494</v>
      </c>
      <c r="O2350">
        <v>74.594852391332495</v>
      </c>
      <c r="P2350">
        <v>111.97827813823</v>
      </c>
      <c r="Q2350">
        <v>64.587935336664103</v>
      </c>
      <c r="R2350">
        <v>80.022787306245704</v>
      </c>
      <c r="S2350">
        <v>79.173834531087707</v>
      </c>
      <c r="T2350">
        <v>114.573867889532</v>
      </c>
      <c r="U2350">
        <v>98.497810310734593</v>
      </c>
      <c r="V2350">
        <v>109.61238995875</v>
      </c>
      <c r="W2350">
        <v>125.229044393905</v>
      </c>
    </row>
    <row r="2351" spans="1:23" x14ac:dyDescent="0.2">
      <c r="A2351" t="s">
        <v>4707</v>
      </c>
      <c r="B2351" s="3" t="str">
        <f>HYPERLINK("http://www.ncbi.nlm.nih.gov/gene/240068","Zfp563")</f>
        <v>Zfp563</v>
      </c>
      <c r="C2351">
        <v>240068</v>
      </c>
      <c r="D2351" t="s">
        <v>4708</v>
      </c>
      <c r="E2351" s="3" t="str">
        <f>HYPERLINK("http://genome.ucsc.edu/cgi-bin/hgTracks?db=mm10&amp;lastVirtModeType=default&amp;lastVirtModeExtraState=&amp;virtModeType=default&amp;virtMode=0&amp;nonVirtPosition=&amp;position=chr17:33089366-33110704","chr17:33089366-33110704")</f>
        <v>chr17:33089366-33110704</v>
      </c>
      <c r="F2351" t="s">
        <v>30</v>
      </c>
      <c r="G2351">
        <v>-0.78489698416852305</v>
      </c>
      <c r="H2351">
        <v>0.25405278155189198</v>
      </c>
      <c r="I2351">
        <v>-3.0895036038336099</v>
      </c>
      <c r="J2351">
        <v>2.0049127416887302E-3</v>
      </c>
      <c r="K2351">
        <v>1.1419730550384401E-2</v>
      </c>
      <c r="L2351" t="s">
        <v>26</v>
      </c>
      <c r="M2351" t="s">
        <v>27</v>
      </c>
      <c r="N2351">
        <v>53.836969642119399</v>
      </c>
      <c r="O2351">
        <v>75.005914283065707</v>
      </c>
      <c r="P2351">
        <v>37.960261161409598</v>
      </c>
      <c r="Q2351">
        <v>94.654732820973294</v>
      </c>
      <c r="R2351">
        <v>68.265884905801997</v>
      </c>
      <c r="S2351">
        <v>62.097125122421701</v>
      </c>
      <c r="T2351">
        <v>27.497728293487601</v>
      </c>
      <c r="U2351">
        <v>32.118851188283003</v>
      </c>
      <c r="V2351">
        <v>49.288792800243399</v>
      </c>
      <c r="W2351">
        <v>42.935672363624597</v>
      </c>
    </row>
    <row r="2352" spans="1:23" x14ac:dyDescent="0.2">
      <c r="A2352" t="s">
        <v>4709</v>
      </c>
      <c r="B2352" s="3" t="str">
        <f>HYPERLINK("http://www.ncbi.nlm.nih.gov/gene/72278","Ccpg1")</f>
        <v>Ccpg1</v>
      </c>
      <c r="C2352">
        <v>72278</v>
      </c>
      <c r="D2352" t="s">
        <v>4710</v>
      </c>
      <c r="E2352" s="3" t="str">
        <f>HYPERLINK("http://genome.ucsc.edu/cgi-bin/hgTracks?db=mm10&amp;lastVirtModeType=default&amp;lastVirtModeExtraState=&amp;virtModeType=default&amp;virtMode=0&amp;nonVirtPosition=&amp;position=chr9:72985503-73015999","chr9:72985503-73015999")</f>
        <v>chr9:72985503-73015999</v>
      </c>
      <c r="F2352" t="s">
        <v>30</v>
      </c>
      <c r="G2352">
        <v>-0.63757202941175795</v>
      </c>
      <c r="H2352">
        <v>0.20638269836217399</v>
      </c>
      <c r="I2352">
        <v>-3.0892707308870699</v>
      </c>
      <c r="J2352">
        <v>2.0064850505365E-3</v>
      </c>
      <c r="K2352">
        <v>1.1423827088322401E-2</v>
      </c>
      <c r="L2352" t="s">
        <v>26</v>
      </c>
      <c r="M2352" t="s">
        <v>27</v>
      </c>
      <c r="N2352">
        <v>177.85506950394799</v>
      </c>
      <c r="O2352">
        <v>228.524631391497</v>
      </c>
      <c r="P2352">
        <v>139.852898088285</v>
      </c>
      <c r="Q2352">
        <v>298.44080465906899</v>
      </c>
      <c r="R2352">
        <v>185.83490891023899</v>
      </c>
      <c r="S2352">
        <v>201.298180605184</v>
      </c>
      <c r="T2352">
        <v>132.90568675185699</v>
      </c>
      <c r="U2352">
        <v>109.204094040162</v>
      </c>
      <c r="V2352">
        <v>141.98114940965601</v>
      </c>
      <c r="W2352">
        <v>175.32066215146699</v>
      </c>
    </row>
    <row r="2353" spans="1:23" x14ac:dyDescent="0.2">
      <c r="A2353" t="s">
        <v>4711</v>
      </c>
      <c r="B2353" s="3" t="str">
        <f>HYPERLINK("http://www.ncbi.nlm.nih.gov/gene/19283","Ptprz1")</f>
        <v>Ptprz1</v>
      </c>
      <c r="C2353">
        <v>19283</v>
      </c>
      <c r="D2353" t="s">
        <v>4712</v>
      </c>
      <c r="E2353" s="3" t="str">
        <f>HYPERLINK("http://genome.ucsc.edu/cgi-bin/hgTracks?db=mm10&amp;lastVirtModeType=default&amp;lastVirtModeExtraState=&amp;virtModeType=default&amp;virtMode=0&amp;nonVirtPosition=&amp;position=chr6:22875501-23052916","chr6:22875501-23052916")</f>
        <v>chr6:22875501-23052916</v>
      </c>
      <c r="F2353" t="s">
        <v>30</v>
      </c>
      <c r="G2353">
        <v>-0.63587626220077997</v>
      </c>
      <c r="H2353">
        <v>0.20585903989232299</v>
      </c>
      <c r="I2353">
        <v>-3.0888916150263999</v>
      </c>
      <c r="J2353">
        <v>2.0090471814781202E-3</v>
      </c>
      <c r="K2353">
        <v>1.14335532542174E-2</v>
      </c>
      <c r="L2353" t="s">
        <v>26</v>
      </c>
      <c r="M2353" t="s">
        <v>27</v>
      </c>
      <c r="N2353">
        <v>11575.7256411582</v>
      </c>
      <c r="O2353">
        <v>14760.902190614799</v>
      </c>
      <c r="P2353">
        <v>9186.8432290658093</v>
      </c>
      <c r="Q2353">
        <v>19381.948526459299</v>
      </c>
      <c r="R2353">
        <v>11586.6169430953</v>
      </c>
      <c r="S2353">
        <v>13314.141102289899</v>
      </c>
      <c r="T2353">
        <v>10513.2981175434</v>
      </c>
      <c r="U2353">
        <v>8879.7917251873205</v>
      </c>
      <c r="V2353">
        <v>9357.5140958074098</v>
      </c>
      <c r="W2353">
        <v>7996.7689777250898</v>
      </c>
    </row>
    <row r="2354" spans="1:23" x14ac:dyDescent="0.2">
      <c r="A2354" t="s">
        <v>4713</v>
      </c>
      <c r="B2354" s="3" t="str">
        <f>HYPERLINK("http://www.ncbi.nlm.nih.gov/gene/28193","Reep3")</f>
        <v>Reep3</v>
      </c>
      <c r="C2354">
        <v>28193</v>
      </c>
      <c r="D2354" t="s">
        <v>4714</v>
      </c>
      <c r="E2354" s="3" t="str">
        <f>HYPERLINK("http://genome.ucsc.edu/cgi-bin/hgTracks?db=mm10&amp;lastVirtModeType=default&amp;lastVirtModeExtraState=&amp;virtModeType=default&amp;virtMode=0&amp;nonVirtPosition=&amp;position=chr10:67009188-67096988","chr10:67009188-67096988")</f>
        <v>chr10:67009188-67096988</v>
      </c>
      <c r="F2354" t="s">
        <v>25</v>
      </c>
      <c r="G2354">
        <v>-0.37264906982398399</v>
      </c>
      <c r="H2354">
        <v>0.120649379138228</v>
      </c>
      <c r="I2354">
        <v>-3.08869446727148</v>
      </c>
      <c r="J2354">
        <v>2.0103807266092801E-3</v>
      </c>
      <c r="K2354">
        <v>1.1436282204768399E-2</v>
      </c>
      <c r="L2354" t="s">
        <v>26</v>
      </c>
      <c r="M2354" t="s">
        <v>27</v>
      </c>
      <c r="N2354">
        <v>713.051565746351</v>
      </c>
      <c r="O2354">
        <v>821.38588952796204</v>
      </c>
      <c r="P2354">
        <v>631.80082291014298</v>
      </c>
      <c r="Q2354">
        <v>903.67430216729201</v>
      </c>
      <c r="R2354">
        <v>719.06732100778095</v>
      </c>
      <c r="S2354">
        <v>841.41604540881394</v>
      </c>
      <c r="T2354">
        <v>659.94547904370199</v>
      </c>
      <c r="U2354">
        <v>627.38822654446199</v>
      </c>
      <c r="V2354">
        <v>655.46737888084897</v>
      </c>
      <c r="W2354">
        <v>584.40220717155796</v>
      </c>
    </row>
    <row r="2355" spans="1:23" x14ac:dyDescent="0.2">
      <c r="A2355" t="s">
        <v>4715</v>
      </c>
      <c r="B2355" s="3" t="str">
        <f>HYPERLINK("http://www.ncbi.nlm.nih.gov/gene/71591","Zfp251")</f>
        <v>Zfp251</v>
      </c>
      <c r="C2355">
        <v>71591</v>
      </c>
      <c r="D2355" t="s">
        <v>4716</v>
      </c>
      <c r="E2355" s="3" t="str">
        <f>HYPERLINK("http://genome.ucsc.edu/cgi-bin/hgTracks?db=mm10&amp;lastVirtModeType=default&amp;lastVirtModeExtraState=&amp;virtModeType=default&amp;virtMode=0&amp;nonVirtPosition=&amp;position=chr15:76852140-76871435","chr15:76852140-76871435")</f>
        <v>chr15:76852140-76871435</v>
      </c>
      <c r="F2355" t="s">
        <v>25</v>
      </c>
      <c r="G2355">
        <v>-0.41091091800379898</v>
      </c>
      <c r="H2355">
        <v>0.13304967509381499</v>
      </c>
      <c r="I2355">
        <v>-3.0884022656504899</v>
      </c>
      <c r="J2355">
        <v>2.0123587285584298E-3</v>
      </c>
      <c r="K2355">
        <v>1.14426733478242E-2</v>
      </c>
      <c r="L2355" t="s">
        <v>26</v>
      </c>
      <c r="M2355" t="s">
        <v>27</v>
      </c>
      <c r="N2355">
        <v>317.50198177044098</v>
      </c>
      <c r="O2355">
        <v>372.73178902036602</v>
      </c>
      <c r="P2355">
        <v>276.07962633299798</v>
      </c>
      <c r="Q2355">
        <v>395.32270766406498</v>
      </c>
      <c r="R2355">
        <v>356.49962117474399</v>
      </c>
      <c r="S2355">
        <v>366.37303822228802</v>
      </c>
      <c r="T2355">
        <v>233.73069049464399</v>
      </c>
      <c r="U2355">
        <v>338.31856584991499</v>
      </c>
      <c r="V2355">
        <v>266.30661184609102</v>
      </c>
      <c r="W2355">
        <v>265.96263714134102</v>
      </c>
    </row>
    <row r="2356" spans="1:23" x14ac:dyDescent="0.2">
      <c r="A2356" t="s">
        <v>4717</v>
      </c>
      <c r="B2356" s="3" t="str">
        <f>HYPERLINK("http://www.ncbi.nlm.nih.gov/gene/236915","Arhgef9")</f>
        <v>Arhgef9</v>
      </c>
      <c r="C2356">
        <v>236915</v>
      </c>
      <c r="D2356" t="s">
        <v>4718</v>
      </c>
      <c r="E2356" s="3" t="str">
        <f>HYPERLINK("http://genome.ucsc.edu/cgi-bin/hgTracks?db=mm10&amp;lastVirtModeType=default&amp;lastVirtModeExtraState=&amp;virtModeType=default&amp;virtMode=0&amp;nonVirtPosition=&amp;position=chrX:95048934-95166539","chrX:95048934-95166539")</f>
        <v>chrX:95048934-95166539</v>
      </c>
      <c r="F2356" t="s">
        <v>25</v>
      </c>
      <c r="G2356">
        <v>-0.33301109857469802</v>
      </c>
      <c r="H2356">
        <v>0.107834461908726</v>
      </c>
      <c r="I2356">
        <v>-3.0881695209511602</v>
      </c>
      <c r="J2356">
        <v>2.0139355261178001E-3</v>
      </c>
      <c r="K2356">
        <v>1.1446778705536301E-2</v>
      </c>
      <c r="L2356" t="s">
        <v>26</v>
      </c>
      <c r="M2356" t="s">
        <v>27</v>
      </c>
      <c r="N2356">
        <v>556.21866811844802</v>
      </c>
      <c r="O2356">
        <v>633.785828616186</v>
      </c>
      <c r="P2356">
        <v>498.043297745144</v>
      </c>
      <c r="Q2356">
        <v>668.15105520686996</v>
      </c>
      <c r="R2356">
        <v>645.87112219211599</v>
      </c>
      <c r="S2356">
        <v>587.33530844957204</v>
      </c>
      <c r="T2356">
        <v>481.210245136033</v>
      </c>
      <c r="U2356">
        <v>477.50025433247401</v>
      </c>
      <c r="V2356">
        <v>503.92273236069798</v>
      </c>
      <c r="W2356">
        <v>529.53995915137</v>
      </c>
    </row>
    <row r="2357" spans="1:23" x14ac:dyDescent="0.2">
      <c r="A2357" t="s">
        <v>4719</v>
      </c>
      <c r="B2357" s="3" t="str">
        <f>HYPERLINK("http://www.ncbi.nlm.nih.gov/gene/23936","Lynx1")</f>
        <v>Lynx1</v>
      </c>
      <c r="C2357">
        <v>23936</v>
      </c>
      <c r="D2357" t="s">
        <v>4720</v>
      </c>
      <c r="E2357" s="3" t="str">
        <f>HYPERLINK("http://genome.ucsc.edu/cgi-bin/hgTracks?db=mm10&amp;lastVirtModeType=default&amp;lastVirtModeExtraState=&amp;virtModeType=default&amp;virtMode=0&amp;nonVirtPosition=&amp;position=chr15:74747855-74752979","chr15:74747855-74752979")</f>
        <v>chr15:74747855-74752979</v>
      </c>
      <c r="F2357" t="s">
        <v>25</v>
      </c>
      <c r="G2357">
        <v>-0.76080856744194403</v>
      </c>
      <c r="H2357">
        <v>0.24666122836337201</v>
      </c>
      <c r="I2357">
        <v>-3.08442706010185</v>
      </c>
      <c r="J2357">
        <v>2.0394461173562899E-3</v>
      </c>
      <c r="K2357">
        <v>1.1583580956005901E-2</v>
      </c>
      <c r="L2357" t="s">
        <v>26</v>
      </c>
      <c r="M2357" t="s">
        <v>27</v>
      </c>
      <c r="N2357">
        <v>144.22366049973499</v>
      </c>
      <c r="O2357">
        <v>192.54925952164999</v>
      </c>
      <c r="P2357">
        <v>107.97946123329901</v>
      </c>
      <c r="Q2357">
        <v>193.20701346398701</v>
      </c>
      <c r="R2357">
        <v>245.75718566088699</v>
      </c>
      <c r="S2357">
        <v>138.68357944007499</v>
      </c>
      <c r="T2357">
        <v>96.242049027206505</v>
      </c>
      <c r="U2357">
        <v>152.02922895787299</v>
      </c>
      <c r="V2357">
        <v>69.151440645117603</v>
      </c>
      <c r="W2357">
        <v>114.495126302999</v>
      </c>
    </row>
    <row r="2358" spans="1:23" x14ac:dyDescent="0.2">
      <c r="A2358" t="s">
        <v>4721</v>
      </c>
      <c r="B2358" s="3" t="str">
        <f>HYPERLINK("http://www.ncbi.nlm.nih.gov/gene/100038653","Gm10538")</f>
        <v>Gm10538</v>
      </c>
      <c r="C2358">
        <v>100038653</v>
      </c>
      <c r="D2358" t="s">
        <v>4722</v>
      </c>
      <c r="E2358" s="3" t="str">
        <f>HYPERLINK("http://genome.ucsc.edu/cgi-bin/hgTracks?db=mm10&amp;lastVirtModeType=default&amp;lastVirtModeExtraState=&amp;virtModeType=default&amp;virtMode=0&amp;nonVirtPosition=&amp;position=chr1:132729352-132732826","chr1:132729352-132732826")</f>
        <v>chr1:132729352-132732826</v>
      </c>
      <c r="F2358" t="s">
        <v>30</v>
      </c>
      <c r="G2358">
        <v>1.0091555693554</v>
      </c>
      <c r="H2358">
        <v>0.32718210164758799</v>
      </c>
      <c r="I2358">
        <v>3.0843850084512701</v>
      </c>
      <c r="J2358">
        <v>2.0397344406139798E-3</v>
      </c>
      <c r="K2358">
        <v>1.1583580956005901E-2</v>
      </c>
      <c r="L2358" t="s">
        <v>26</v>
      </c>
      <c r="M2358" t="s">
        <v>27</v>
      </c>
      <c r="N2358">
        <v>25.091387207067001</v>
      </c>
      <c r="O2358">
        <v>13.8460848113466</v>
      </c>
      <c r="P2358">
        <v>33.525364003857298</v>
      </c>
      <c r="Q2358">
        <v>8.9086807360916005</v>
      </c>
      <c r="R2358">
        <v>9.8606278197269592</v>
      </c>
      <c r="S2358">
        <v>22.768945878221299</v>
      </c>
      <c r="T2358">
        <v>32.0806830090688</v>
      </c>
      <c r="U2358">
        <v>38.5426214259396</v>
      </c>
      <c r="V2358">
        <v>36.047027570327302</v>
      </c>
      <c r="W2358">
        <v>27.431124010093502</v>
      </c>
    </row>
    <row r="2359" spans="1:23" x14ac:dyDescent="0.2">
      <c r="A2359" t="s">
        <v>4723</v>
      </c>
      <c r="B2359" s="3" t="str">
        <f>HYPERLINK("http://www.ncbi.nlm.nih.gov/gene/72479","Hsdl2")</f>
        <v>Hsdl2</v>
      </c>
      <c r="C2359">
        <v>72479</v>
      </c>
      <c r="D2359" t="s">
        <v>4724</v>
      </c>
      <c r="E2359" s="3" t="str">
        <f>HYPERLINK("http://genome.ucsc.edu/cgi-bin/hgTracks?db=mm10&amp;lastVirtModeType=default&amp;lastVirtModeExtraState=&amp;virtModeType=default&amp;virtMode=0&amp;nonVirtPosition=&amp;position=chr4:59581562-59618694","chr4:59581562-59618694")</f>
        <v>chr4:59581562-59618694</v>
      </c>
      <c r="F2359" t="s">
        <v>30</v>
      </c>
      <c r="G2359">
        <v>-0.712347248884176</v>
      </c>
      <c r="H2359">
        <v>0.23105099338826501</v>
      </c>
      <c r="I2359">
        <v>-3.0830737338018199</v>
      </c>
      <c r="J2359">
        <v>2.0487438615254001E-3</v>
      </c>
      <c r="K2359">
        <v>1.1629813077442401E-2</v>
      </c>
      <c r="L2359" t="s">
        <v>26</v>
      </c>
      <c r="M2359" t="s">
        <v>27</v>
      </c>
      <c r="N2359">
        <v>155.91561268682</v>
      </c>
      <c r="O2359">
        <v>208.02553263428399</v>
      </c>
      <c r="P2359">
        <v>116.833172726222</v>
      </c>
      <c r="Q2359">
        <v>263.91966680671402</v>
      </c>
      <c r="R2359">
        <v>183.180124497235</v>
      </c>
      <c r="S2359">
        <v>176.97680659890199</v>
      </c>
      <c r="T2359">
        <v>91.659094311625296</v>
      </c>
      <c r="U2359">
        <v>79.2264995977648</v>
      </c>
      <c r="V2359">
        <v>129.47503780362501</v>
      </c>
      <c r="W2359">
        <v>166.972059191874</v>
      </c>
    </row>
    <row r="2360" spans="1:23" x14ac:dyDescent="0.2">
      <c r="A2360" t="s">
        <v>4725</v>
      </c>
      <c r="B2360" s="3" t="str">
        <f>HYPERLINK("http://www.ncbi.nlm.nih.gov/gene/56406","Ncoa6")</f>
        <v>Ncoa6</v>
      </c>
      <c r="C2360">
        <v>56406</v>
      </c>
      <c r="D2360" t="s">
        <v>4726</v>
      </c>
      <c r="E2360" s="3" t="str">
        <f>HYPERLINK("http://genome.ucsc.edu/cgi-bin/hgTracks?db=mm10&amp;lastVirtModeType=default&amp;lastVirtModeExtraState=&amp;virtModeType=default&amp;virtMode=0&amp;nonVirtPosition=&amp;position=chr2:155390655-155440783","chr2:155390655-155440783")</f>
        <v>chr2:155390655-155440783</v>
      </c>
      <c r="F2360" t="s">
        <v>25</v>
      </c>
      <c r="G2360">
        <v>0.44912496754133302</v>
      </c>
      <c r="H2360">
        <v>0.14569076461797101</v>
      </c>
      <c r="I2360">
        <v>3.0827277811261702</v>
      </c>
      <c r="J2360">
        <v>2.0511268899823299E-3</v>
      </c>
      <c r="K2360">
        <v>1.16384068575226E-2</v>
      </c>
      <c r="L2360" t="s">
        <v>26</v>
      </c>
      <c r="M2360" t="s">
        <v>27</v>
      </c>
      <c r="N2360">
        <v>362.84975426780102</v>
      </c>
      <c r="O2360">
        <v>298.02852029179201</v>
      </c>
      <c r="P2360">
        <v>411.46567974980798</v>
      </c>
      <c r="Q2360">
        <v>291.20250156099399</v>
      </c>
      <c r="R2360">
        <v>248.41197007389101</v>
      </c>
      <c r="S2360">
        <v>354.47108924049098</v>
      </c>
      <c r="T2360">
        <v>426.21478854905803</v>
      </c>
      <c r="U2360">
        <v>404.69752497236601</v>
      </c>
      <c r="V2360">
        <v>433.29998446781201</v>
      </c>
      <c r="W2360">
        <v>381.65042100999699</v>
      </c>
    </row>
    <row r="2361" spans="1:23" x14ac:dyDescent="0.2">
      <c r="A2361" t="s">
        <v>4727</v>
      </c>
      <c r="B2361" s="3" t="str">
        <f>HYPERLINK("http://www.ncbi.nlm.nih.gov/gene/56323","Dnajb5")</f>
        <v>Dnajb5</v>
      </c>
      <c r="C2361">
        <v>56323</v>
      </c>
      <c r="D2361" t="s">
        <v>4728</v>
      </c>
      <c r="E2361" s="3" t="str">
        <f>HYPERLINK("http://genome.ucsc.edu/cgi-bin/hgTracks?db=mm10&amp;lastVirtModeType=default&amp;lastVirtModeExtraState=&amp;virtModeType=default&amp;virtMode=0&amp;nonVirtPosition=&amp;position=chr4:42953093-42958732","chr4:42953093-42958732")</f>
        <v>chr4:42953093-42958732</v>
      </c>
      <c r="F2361" t="s">
        <v>30</v>
      </c>
      <c r="G2361">
        <v>0.46509011778982101</v>
      </c>
      <c r="H2361">
        <v>0.150937042296271</v>
      </c>
      <c r="I2361">
        <v>3.0813517392033298</v>
      </c>
      <c r="J2361">
        <v>2.0606306856376599E-3</v>
      </c>
      <c r="K2361">
        <v>1.16842052052101E-2</v>
      </c>
      <c r="L2361" t="s">
        <v>26</v>
      </c>
      <c r="M2361" t="s">
        <v>27</v>
      </c>
      <c r="N2361">
        <v>169.987049942765</v>
      </c>
      <c r="O2361">
        <v>140.491660879584</v>
      </c>
      <c r="P2361">
        <v>192.10859174015101</v>
      </c>
      <c r="Q2361">
        <v>141.42530668545399</v>
      </c>
      <c r="R2361">
        <v>128.946671488737</v>
      </c>
      <c r="S2361">
        <v>151.10300446456</v>
      </c>
      <c r="T2361">
        <v>178.735233907669</v>
      </c>
      <c r="U2361">
        <v>171.30053967084299</v>
      </c>
      <c r="V2361">
        <v>219.224779917501</v>
      </c>
      <c r="W2361">
        <v>199.173813464592</v>
      </c>
    </row>
    <row r="2362" spans="1:23" x14ac:dyDescent="0.2">
      <c r="A2362" t="s">
        <v>4729</v>
      </c>
      <c r="B2362" s="3" t="str">
        <f>HYPERLINK("http://www.ncbi.nlm.nih.gov/gene/80287","Apobec3")</f>
        <v>Apobec3</v>
      </c>
      <c r="C2362">
        <v>80287</v>
      </c>
      <c r="D2362" t="s">
        <v>4730</v>
      </c>
      <c r="E2362" s="3" t="str">
        <f>HYPERLINK("http://genome.ucsc.edu/cgi-bin/hgTracks?db=mm10&amp;lastVirtModeType=default&amp;lastVirtModeExtraState=&amp;virtModeType=default&amp;virtMode=0&amp;nonVirtPosition=&amp;position=chr15:79892407-79908429","chr15:79892407-79908429")</f>
        <v>chr15:79892407-79908429</v>
      </c>
      <c r="F2362" t="s">
        <v>30</v>
      </c>
      <c r="G2362">
        <v>0.71067764835418101</v>
      </c>
      <c r="H2362">
        <v>0.23064165587461799</v>
      </c>
      <c r="I2362">
        <v>3.0813065647626199</v>
      </c>
      <c r="J2362">
        <v>2.0609433720189798E-3</v>
      </c>
      <c r="K2362">
        <v>1.16842052052101E-2</v>
      </c>
      <c r="L2362" t="s">
        <v>26</v>
      </c>
      <c r="M2362" t="s">
        <v>27</v>
      </c>
      <c r="N2362">
        <v>106.140673965266</v>
      </c>
      <c r="O2362">
        <v>74.455713838446698</v>
      </c>
      <c r="P2362">
        <v>129.90439406038001</v>
      </c>
      <c r="Q2362">
        <v>90.757184998933198</v>
      </c>
      <c r="R2362">
        <v>60.680786582935099</v>
      </c>
      <c r="S2362">
        <v>71.929169933471798</v>
      </c>
      <c r="T2362">
        <v>169.56932447650701</v>
      </c>
      <c r="U2362">
        <v>79.2264995977648</v>
      </c>
      <c r="V2362">
        <v>116.96892619759301</v>
      </c>
      <c r="W2362">
        <v>153.85282596965499</v>
      </c>
    </row>
    <row r="2363" spans="1:23" x14ac:dyDescent="0.2">
      <c r="A2363" t="s">
        <v>4731</v>
      </c>
      <c r="B2363" s="3" t="str">
        <f>HYPERLINK("http://www.ncbi.nlm.nih.gov/gene/22718","Zfp60")</f>
        <v>Zfp60</v>
      </c>
      <c r="C2363">
        <v>22718</v>
      </c>
      <c r="D2363" t="s">
        <v>4732</v>
      </c>
      <c r="E2363" s="3" t="str">
        <f>HYPERLINK("http://genome.ucsc.edu/cgi-bin/hgTracks?db=mm10&amp;lastVirtModeType=default&amp;lastVirtModeExtraState=&amp;virtModeType=default&amp;virtMode=0&amp;nonVirtPosition=&amp;position=chr7:27731408-27751689","chr7:27731408-27751689")</f>
        <v>chr7:27731408-27751689</v>
      </c>
      <c r="F2363" t="s">
        <v>30</v>
      </c>
      <c r="G2363">
        <v>-0.43607390746254898</v>
      </c>
      <c r="H2363">
        <v>0.141580471238999</v>
      </c>
      <c r="I2363">
        <v>-3.0800427745887502</v>
      </c>
      <c r="J2363">
        <v>2.0697086791768601E-3</v>
      </c>
      <c r="K2363">
        <v>1.17289331031982E-2</v>
      </c>
      <c r="L2363" t="s">
        <v>26</v>
      </c>
      <c r="M2363" t="s">
        <v>27</v>
      </c>
      <c r="N2363">
        <v>315.44366168135298</v>
      </c>
      <c r="O2363">
        <v>376.54175788111002</v>
      </c>
      <c r="P2363">
        <v>269.62008953153401</v>
      </c>
      <c r="Q2363">
        <v>410.91289895222502</v>
      </c>
      <c r="R2363">
        <v>390.63256362764503</v>
      </c>
      <c r="S2363">
        <v>328.07981106346102</v>
      </c>
      <c r="T2363">
        <v>224.564781063482</v>
      </c>
      <c r="U2363">
        <v>261.23332299803502</v>
      </c>
      <c r="V2363">
        <v>286.16925969096599</v>
      </c>
      <c r="W2363">
        <v>306.51299437365401</v>
      </c>
    </row>
    <row r="2364" spans="1:23" x14ac:dyDescent="0.2">
      <c r="A2364" t="s">
        <v>4733</v>
      </c>
      <c r="B2364" s="3" t="str">
        <f>HYPERLINK("http://www.ncbi.nlm.nih.gov/gene/22256","Ung")</f>
        <v>Ung</v>
      </c>
      <c r="C2364">
        <v>22256</v>
      </c>
      <c r="D2364" t="s">
        <v>4734</v>
      </c>
      <c r="E2364" s="3" t="str">
        <f>HYPERLINK("http://genome.ucsc.edu/cgi-bin/hgTracks?db=mm10&amp;lastVirtModeType=default&amp;lastVirtModeExtraState=&amp;virtModeType=default&amp;virtMode=0&amp;nonVirtPosition=&amp;position=chr5:114130434-114139321","chr5:114130434-114139321")</f>
        <v>chr5:114130434-114139321</v>
      </c>
      <c r="F2364" t="s">
        <v>30</v>
      </c>
      <c r="G2364">
        <v>0.91260197951148803</v>
      </c>
      <c r="H2364">
        <v>0.29646591246744602</v>
      </c>
      <c r="I2364">
        <v>3.0782695113782998</v>
      </c>
      <c r="J2364">
        <v>2.0820652161428E-3</v>
      </c>
      <c r="K2364">
        <v>1.17939658669071E-2</v>
      </c>
      <c r="L2364" t="s">
        <v>26</v>
      </c>
      <c r="M2364" t="s">
        <v>27</v>
      </c>
      <c r="N2364">
        <v>62.05666771568</v>
      </c>
      <c r="O2364">
        <v>36.420078309623598</v>
      </c>
      <c r="P2364">
        <v>81.284109770222301</v>
      </c>
      <c r="Q2364">
        <v>19.487739110200401</v>
      </c>
      <c r="R2364">
        <v>44.752080104914697</v>
      </c>
      <c r="S2364">
        <v>45.020415713755703</v>
      </c>
      <c r="T2364">
        <v>105.407958458369</v>
      </c>
      <c r="U2364">
        <v>104.92158054839101</v>
      </c>
      <c r="V2364">
        <v>55.174021791317301</v>
      </c>
      <c r="W2364">
        <v>59.632878282812001</v>
      </c>
    </row>
    <row r="2365" spans="1:23" x14ac:dyDescent="0.2">
      <c r="A2365" t="s">
        <v>4735</v>
      </c>
      <c r="B2365" s="3" t="str">
        <f>HYPERLINK("http://www.ncbi.nlm.nih.gov/gene/67938","Myl12b")</f>
        <v>Myl12b</v>
      </c>
      <c r="C2365">
        <v>67938</v>
      </c>
      <c r="D2365" t="s">
        <v>4736</v>
      </c>
      <c r="E2365" s="3" t="str">
        <f>HYPERLINK("http://genome.ucsc.edu/cgi-bin/hgTracks?db=mm10&amp;lastVirtModeType=default&amp;lastVirtModeExtraState=&amp;virtModeType=default&amp;virtMode=0&amp;nonVirtPosition=&amp;position=chr17:70973962-70990516","chr17:70973962-70990516")</f>
        <v>chr17:70973962-70990516</v>
      </c>
      <c r="F2365" t="s">
        <v>25</v>
      </c>
      <c r="G2365">
        <v>-0.469684860096798</v>
      </c>
      <c r="H2365">
        <v>0.15259688297598101</v>
      </c>
      <c r="I2365">
        <v>-3.07794530882212</v>
      </c>
      <c r="J2365">
        <v>2.08433164310119E-3</v>
      </c>
      <c r="K2365">
        <v>1.18016324084959E-2</v>
      </c>
      <c r="L2365" t="s">
        <v>26</v>
      </c>
      <c r="M2365" t="s">
        <v>27</v>
      </c>
      <c r="N2365">
        <v>256.39500546455997</v>
      </c>
      <c r="O2365">
        <v>307.075330216986</v>
      </c>
      <c r="P2365">
        <v>218.384761900239</v>
      </c>
      <c r="Q2365">
        <v>270.60117735878202</v>
      </c>
      <c r="R2365">
        <v>370.15279815590401</v>
      </c>
      <c r="S2365">
        <v>280.47201513627101</v>
      </c>
      <c r="T2365">
        <v>210.81591691673799</v>
      </c>
      <c r="U2365">
        <v>220.54944482620999</v>
      </c>
      <c r="V2365">
        <v>225.110008908574</v>
      </c>
      <c r="W2365">
        <v>217.063676949436</v>
      </c>
    </row>
    <row r="2366" spans="1:23" x14ac:dyDescent="0.2">
      <c r="A2366" t="s">
        <v>4737</v>
      </c>
      <c r="B2366" s="3" t="str">
        <f>HYPERLINK("http://www.ncbi.nlm.nih.gov/gene/105513","Chmp7")</f>
        <v>Chmp7</v>
      </c>
      <c r="C2366">
        <v>105513</v>
      </c>
      <c r="D2366" t="s">
        <v>4738</v>
      </c>
      <c r="E2366" s="3" t="str">
        <f>HYPERLINK("http://genome.ucsc.edu/cgi-bin/hgTracks?db=mm10&amp;lastVirtModeType=default&amp;lastVirtModeExtraState=&amp;virtModeType=default&amp;virtMode=0&amp;nonVirtPosition=&amp;position=chr14:69716978-69732570","chr14:69716978-69732570")</f>
        <v>chr14:69716978-69732570</v>
      </c>
      <c r="F2366" t="s">
        <v>25</v>
      </c>
      <c r="G2366">
        <v>-0.38034247638975199</v>
      </c>
      <c r="H2366">
        <v>0.123575127738162</v>
      </c>
      <c r="I2366">
        <v>-3.0778238578530499</v>
      </c>
      <c r="J2366">
        <v>2.0851812619297602E-3</v>
      </c>
      <c r="K2366">
        <v>1.18016324084959E-2</v>
      </c>
      <c r="L2366" t="s">
        <v>26</v>
      </c>
      <c r="M2366" t="s">
        <v>27</v>
      </c>
      <c r="N2366">
        <v>414.91088088299603</v>
      </c>
      <c r="O2366">
        <v>477.07025753646502</v>
      </c>
      <c r="P2366">
        <v>368.29134839289497</v>
      </c>
      <c r="Q2366">
        <v>443.763659166563</v>
      </c>
      <c r="R2366">
        <v>461.17397803030701</v>
      </c>
      <c r="S2366">
        <v>526.27313541252397</v>
      </c>
      <c r="T2366">
        <v>394.13410553998898</v>
      </c>
      <c r="U2366">
        <v>372.57867378408298</v>
      </c>
      <c r="V2366">
        <v>329.57282350013497</v>
      </c>
      <c r="W2366">
        <v>376.879790747372</v>
      </c>
    </row>
    <row r="2367" spans="1:23" x14ac:dyDescent="0.2">
      <c r="A2367" t="s">
        <v>4739</v>
      </c>
      <c r="B2367" s="3" t="str">
        <f>HYPERLINK("http://www.ncbi.nlm.nih.gov/gene/76073","Pcgf5")</f>
        <v>Pcgf5</v>
      </c>
      <c r="C2367">
        <v>76073</v>
      </c>
      <c r="D2367" t="s">
        <v>4740</v>
      </c>
      <c r="E2367" s="3" t="str">
        <f>HYPERLINK("http://genome.ucsc.edu/cgi-bin/hgTracks?db=mm10&amp;lastVirtModeType=default&amp;lastVirtModeExtraState=&amp;virtModeType=default&amp;virtMode=0&amp;nonVirtPosition=&amp;position=chr19:36379066-36456204","chr19:36379066-36456204")</f>
        <v>chr19:36379066-36456204</v>
      </c>
      <c r="F2367" t="s">
        <v>30</v>
      </c>
      <c r="G2367">
        <v>0.51903391992764902</v>
      </c>
      <c r="H2367">
        <v>0.168675922460822</v>
      </c>
      <c r="I2367">
        <v>3.0771073449929101</v>
      </c>
      <c r="J2367">
        <v>2.0902001467428999E-3</v>
      </c>
      <c r="K2367">
        <v>1.1825040204915101E-2</v>
      </c>
      <c r="L2367" t="s">
        <v>26</v>
      </c>
      <c r="M2367" t="s">
        <v>27</v>
      </c>
      <c r="N2367">
        <v>220.84224628381099</v>
      </c>
      <c r="O2367">
        <v>175.806764340412</v>
      </c>
      <c r="P2367">
        <v>254.61885774135999</v>
      </c>
      <c r="Q2367">
        <v>183.74154018188901</v>
      </c>
      <c r="R2367">
        <v>163.079613941638</v>
      </c>
      <c r="S2367">
        <v>180.59913889770999</v>
      </c>
      <c r="T2367">
        <v>274.97728293487597</v>
      </c>
      <c r="U2367">
        <v>175.58305316261399</v>
      </c>
      <c r="V2367">
        <v>287.64056693873403</v>
      </c>
      <c r="W2367">
        <v>280.27452792921599</v>
      </c>
    </row>
    <row r="2368" spans="1:23" x14ac:dyDescent="0.2">
      <c r="A2368" t="s">
        <v>4741</v>
      </c>
      <c r="B2368" s="3" t="str">
        <f>HYPERLINK("http://www.ncbi.nlm.nih.gov/gene/244421","Lonrf1")</f>
        <v>Lonrf1</v>
      </c>
      <c r="C2368">
        <v>244421</v>
      </c>
      <c r="D2368" t="s">
        <v>4742</v>
      </c>
      <c r="E2368" s="3" t="str">
        <f>HYPERLINK("http://genome.ucsc.edu/cgi-bin/hgTracks?db=mm10&amp;lastVirtModeType=default&amp;lastVirtModeExtraState=&amp;virtModeType=default&amp;virtMode=0&amp;nonVirtPosition=&amp;position=chr8:36216063-36249516","chr8:36216063-36249516")</f>
        <v>chr8:36216063-36249516</v>
      </c>
      <c r="F2368" t="s">
        <v>25</v>
      </c>
      <c r="G2368">
        <v>0.704773311542639</v>
      </c>
      <c r="H2368">
        <v>0.229192731202603</v>
      </c>
      <c r="I2368">
        <v>3.0750247088753802</v>
      </c>
      <c r="J2368">
        <v>2.10485114993081E-3</v>
      </c>
      <c r="K2368">
        <v>1.19028976979406E-2</v>
      </c>
      <c r="L2368" t="s">
        <v>26</v>
      </c>
      <c r="M2368" t="s">
        <v>27</v>
      </c>
      <c r="N2368">
        <v>66.446327097383204</v>
      </c>
      <c r="O2368">
        <v>46.858719107252703</v>
      </c>
      <c r="P2368">
        <v>81.137033089981003</v>
      </c>
      <c r="Q2368">
        <v>46.213781318475199</v>
      </c>
      <c r="R2368">
        <v>42.097295691911199</v>
      </c>
      <c r="S2368">
        <v>52.265080311371598</v>
      </c>
      <c r="T2368">
        <v>77.910230164881497</v>
      </c>
      <c r="U2368">
        <v>109.204094040162</v>
      </c>
      <c r="V2368">
        <v>80.186245003381103</v>
      </c>
      <c r="W2368">
        <v>57.247563151499499</v>
      </c>
    </row>
    <row r="2369" spans="1:23" x14ac:dyDescent="0.2">
      <c r="A2369" t="s">
        <v>4743</v>
      </c>
      <c r="B2369" s="3" t="str">
        <f>HYPERLINK("http://www.ncbi.nlm.nih.gov/gene/99982","Kdm1a")</f>
        <v>Kdm1a</v>
      </c>
      <c r="C2369">
        <v>99982</v>
      </c>
      <c r="D2369" t="s">
        <v>4744</v>
      </c>
      <c r="E2369" s="3" t="str">
        <f>HYPERLINK("http://genome.ucsc.edu/cgi-bin/hgTracks?db=mm10&amp;lastVirtModeType=default&amp;lastVirtModeExtraState=&amp;virtModeType=default&amp;virtMode=0&amp;nonVirtPosition=&amp;position=chr4:136550532-136602723","chr4:136550532-136602723")</f>
        <v>chr4:136550532-136602723</v>
      </c>
      <c r="F2369" t="s">
        <v>25</v>
      </c>
      <c r="G2369">
        <v>-0.35562818489494302</v>
      </c>
      <c r="H2369">
        <v>0.11568455827396799</v>
      </c>
      <c r="I2369">
        <v>-3.0741197459796901</v>
      </c>
      <c r="J2369">
        <v>2.1112467207327502E-3</v>
      </c>
      <c r="K2369">
        <v>1.1934024836358E-2</v>
      </c>
      <c r="L2369" t="s">
        <v>26</v>
      </c>
      <c r="M2369" t="s">
        <v>27</v>
      </c>
      <c r="N2369">
        <v>577.638152508644</v>
      </c>
      <c r="O2369">
        <v>667.32631360374796</v>
      </c>
      <c r="P2369">
        <v>510.37203168731702</v>
      </c>
      <c r="Q2369">
        <v>632.51633226250397</v>
      </c>
      <c r="R2369">
        <v>666.73014258000001</v>
      </c>
      <c r="S2369">
        <v>702.73246596873901</v>
      </c>
      <c r="T2369">
        <v>435.38069798022002</v>
      </c>
      <c r="U2369">
        <v>518.18413250430001</v>
      </c>
      <c r="V2369">
        <v>567.92459763862598</v>
      </c>
      <c r="W2369">
        <v>519.99869862612104</v>
      </c>
    </row>
    <row r="2370" spans="1:23" x14ac:dyDescent="0.2">
      <c r="A2370" t="s">
        <v>4745</v>
      </c>
      <c r="B2370" s="3" t="str">
        <f>HYPERLINK("http://www.ncbi.nlm.nih.gov/gene/218194","Phactr1")</f>
        <v>Phactr1</v>
      </c>
      <c r="C2370">
        <v>218194</v>
      </c>
      <c r="D2370" t="s">
        <v>4746</v>
      </c>
      <c r="E2370" s="3" t="str">
        <f>HYPERLINK("http://genome.ucsc.edu/cgi-bin/hgTracks?db=mm10&amp;lastVirtModeType=default&amp;lastVirtModeExtraState=&amp;virtModeType=default&amp;virtMode=0&amp;nonVirtPosition=&amp;position=chr13:42709580-43138512","chr13:42709580-43138512")</f>
        <v>chr13:42709580-43138512</v>
      </c>
      <c r="F2370" t="s">
        <v>30</v>
      </c>
      <c r="G2370">
        <v>0.49327205941918301</v>
      </c>
      <c r="H2370">
        <v>0.16056546893359899</v>
      </c>
      <c r="I2370">
        <v>3.0720930390280499</v>
      </c>
      <c r="J2370">
        <v>2.12563460103105E-3</v>
      </c>
      <c r="K2370">
        <v>1.2010283941943801E-2</v>
      </c>
      <c r="L2370" t="s">
        <v>26</v>
      </c>
      <c r="M2370" t="s">
        <v>27</v>
      </c>
      <c r="N2370">
        <v>229.73873302902899</v>
      </c>
      <c r="O2370">
        <v>180.730231890694</v>
      </c>
      <c r="P2370">
        <v>266.49510888278002</v>
      </c>
      <c r="Q2370">
        <v>197.10456128602701</v>
      </c>
      <c r="R2370">
        <v>174.83651634208201</v>
      </c>
      <c r="S2370">
        <v>170.24961804397299</v>
      </c>
      <c r="T2370">
        <v>343.72160366859498</v>
      </c>
      <c r="U2370">
        <v>267.657093235692</v>
      </c>
      <c r="V2370">
        <v>243.50134950568</v>
      </c>
      <c r="W2370">
        <v>211.100389121154</v>
      </c>
    </row>
    <row r="2371" spans="1:23" x14ac:dyDescent="0.2">
      <c r="A2371" t="s">
        <v>4747</v>
      </c>
      <c r="B2371" s="3" t="str">
        <f>HYPERLINK("http://www.ncbi.nlm.nih.gov/gene/66193","Pithd1")</f>
        <v>Pithd1</v>
      </c>
      <c r="C2371">
        <v>66193</v>
      </c>
      <c r="D2371" t="s">
        <v>4748</v>
      </c>
      <c r="E2371" s="3" t="str">
        <f>HYPERLINK("http://genome.ucsc.edu/cgi-bin/hgTracks?db=mm10&amp;lastVirtModeType=default&amp;lastVirtModeExtraState=&amp;virtModeType=default&amp;virtMode=0&amp;nonVirtPosition=&amp;position=chr4:135975601-135987244","chr4:135975601-135987244")</f>
        <v>chr4:135975601-135987244</v>
      </c>
      <c r="F2371" t="s">
        <v>25</v>
      </c>
      <c r="G2371">
        <v>-0.73941170130015399</v>
      </c>
      <c r="H2371">
        <v>0.240745666181506</v>
      </c>
      <c r="I2371">
        <v>-3.0713396134104798</v>
      </c>
      <c r="J2371">
        <v>2.1310061620014899E-3</v>
      </c>
      <c r="K2371">
        <v>1.20236757999128E-2</v>
      </c>
      <c r="L2371" t="s">
        <v>26</v>
      </c>
      <c r="M2371" t="s">
        <v>27</v>
      </c>
      <c r="N2371">
        <v>291.51566749757001</v>
      </c>
      <c r="O2371">
        <v>389.84639993231099</v>
      </c>
      <c r="P2371">
        <v>217.76761817151399</v>
      </c>
      <c r="Q2371">
        <v>223.83060349430099</v>
      </c>
      <c r="R2371">
        <v>453.58887970744001</v>
      </c>
      <c r="S2371">
        <v>492.11971659519202</v>
      </c>
      <c r="T2371">
        <v>146.65455089860001</v>
      </c>
      <c r="U2371">
        <v>278.36337696511998</v>
      </c>
      <c r="V2371">
        <v>236.14481326683801</v>
      </c>
      <c r="W2371">
        <v>209.907731555498</v>
      </c>
    </row>
    <row r="2372" spans="1:23" x14ac:dyDescent="0.2">
      <c r="A2372" t="s">
        <v>4749</v>
      </c>
      <c r="B2372" s="3" t="str">
        <f>HYPERLINK("http://www.ncbi.nlm.nih.gov/gene/67177","Cdt1")</f>
        <v>Cdt1</v>
      </c>
      <c r="C2372">
        <v>67177</v>
      </c>
      <c r="D2372" t="s">
        <v>4750</v>
      </c>
      <c r="E2372" s="3" t="str">
        <f>HYPERLINK("http://genome.ucsc.edu/cgi-bin/hgTracks?db=mm10&amp;lastVirtModeType=default&amp;lastVirtModeExtraState=&amp;virtModeType=default&amp;virtMode=0&amp;nonVirtPosition=&amp;position=chr8:122568014-122573130","chr8:122568014-122573130")</f>
        <v>chr8:122568014-122573130</v>
      </c>
      <c r="F2372" t="s">
        <v>30</v>
      </c>
      <c r="G2372">
        <v>0.90280578234801601</v>
      </c>
      <c r="H2372">
        <v>0.29395350357126099</v>
      </c>
      <c r="I2372">
        <v>3.0712536893752498</v>
      </c>
      <c r="J2372">
        <v>2.1316195489431899E-3</v>
      </c>
      <c r="K2372">
        <v>1.20236757999128E-2</v>
      </c>
      <c r="L2372" t="s">
        <v>26</v>
      </c>
      <c r="M2372" t="s">
        <v>27</v>
      </c>
      <c r="N2372">
        <v>124.885047154218</v>
      </c>
      <c r="O2372">
        <v>76.041555944514499</v>
      </c>
      <c r="P2372">
        <v>161.51766556149599</v>
      </c>
      <c r="Q2372">
        <v>31.737175122326299</v>
      </c>
      <c r="R2372">
        <v>77.368002893242306</v>
      </c>
      <c r="S2372">
        <v>119.019489817975</v>
      </c>
      <c r="T2372">
        <v>160.40341504534399</v>
      </c>
      <c r="U2372">
        <v>205.56064760501101</v>
      </c>
      <c r="V2372">
        <v>125.06111606031899</v>
      </c>
      <c r="W2372">
        <v>155.04548353531101</v>
      </c>
    </row>
    <row r="2373" spans="1:23" x14ac:dyDescent="0.2">
      <c r="A2373" t="s">
        <v>4751</v>
      </c>
      <c r="B2373" s="3" t="str">
        <f>HYPERLINK("http://www.ncbi.nlm.nih.gov/gene/403174","Msantd1")</f>
        <v>Msantd1</v>
      </c>
      <c r="C2373">
        <v>403174</v>
      </c>
      <c r="D2373" t="s">
        <v>4752</v>
      </c>
      <c r="E2373" s="3" t="str">
        <f>HYPERLINK("http://genome.ucsc.edu/cgi-bin/hgTracks?db=mm10&amp;lastVirtModeType=default&amp;lastVirtModeExtraState=&amp;virtModeType=default&amp;virtMode=0&amp;nonVirtPosition=&amp;position=chr5:34915914-34923839","chr5:34915914-34923839")</f>
        <v>chr5:34915914-34923839</v>
      </c>
      <c r="F2373" t="s">
        <v>30</v>
      </c>
      <c r="G2373">
        <v>1.18473396438378</v>
      </c>
      <c r="H2373">
        <v>0.38575628015744601</v>
      </c>
      <c r="I2373">
        <v>3.0711981251484399</v>
      </c>
      <c r="J2373">
        <v>2.1320162921480701E-3</v>
      </c>
      <c r="K2373">
        <v>1.20236757999128E-2</v>
      </c>
      <c r="L2373" t="s">
        <v>26</v>
      </c>
      <c r="M2373" t="s">
        <v>27</v>
      </c>
      <c r="N2373">
        <v>11.6541824049004</v>
      </c>
      <c r="O2373">
        <v>4.6332698319052303</v>
      </c>
      <c r="P2373">
        <v>16.9198668346468</v>
      </c>
      <c r="Q2373">
        <v>3.8975478220400701</v>
      </c>
      <c r="R2373">
        <v>3.7925491614334499</v>
      </c>
      <c r="S2373">
        <v>6.2097125122421701</v>
      </c>
      <c r="T2373">
        <v>22.914773577906299</v>
      </c>
      <c r="U2373">
        <v>2.1412567458855398</v>
      </c>
      <c r="V2373">
        <v>23.540915964295401</v>
      </c>
      <c r="W2373">
        <v>19.0825210504998</v>
      </c>
    </row>
    <row r="2374" spans="1:23" x14ac:dyDescent="0.2">
      <c r="A2374" t="s">
        <v>4753</v>
      </c>
      <c r="B2374" s="3" t="str">
        <f>HYPERLINK("http://www.ncbi.nlm.nih.gov/gene/66593","Diablo")</f>
        <v>Diablo</v>
      </c>
      <c r="C2374">
        <v>66593</v>
      </c>
      <c r="D2374" t="s">
        <v>4754</v>
      </c>
      <c r="E2374" s="3" t="str">
        <f>HYPERLINK("http://genome.ucsc.edu/cgi-bin/hgTracks?db=mm10&amp;lastVirtModeType=default&amp;lastVirtModeExtraState=&amp;virtModeType=default&amp;virtMode=0&amp;nonVirtPosition=&amp;position=chr5:123511329-123524164","chr5:123511329-123524164")</f>
        <v>chr5:123511329-123524164</v>
      </c>
      <c r="F2374" t="s">
        <v>25</v>
      </c>
      <c r="G2374">
        <v>-0.34541541004055898</v>
      </c>
      <c r="H2374">
        <v>0.112469529358193</v>
      </c>
      <c r="I2374">
        <v>-3.0711910329106198</v>
      </c>
      <c r="J2374">
        <v>2.1320669374654501E-3</v>
      </c>
      <c r="K2374">
        <v>1.20236757999128E-2</v>
      </c>
      <c r="L2374" t="s">
        <v>26</v>
      </c>
      <c r="M2374" t="s">
        <v>27</v>
      </c>
      <c r="N2374">
        <v>402.79729990571099</v>
      </c>
      <c r="O2374">
        <v>455.62304103378</v>
      </c>
      <c r="P2374">
        <v>363.177994059659</v>
      </c>
      <c r="Q2374">
        <v>442.65007407455101</v>
      </c>
      <c r="R2374">
        <v>448.65856579757701</v>
      </c>
      <c r="S2374">
        <v>475.56048322921299</v>
      </c>
      <c r="T2374">
        <v>403.30001497115097</v>
      </c>
      <c r="U2374">
        <v>366.15490354642702</v>
      </c>
      <c r="V2374">
        <v>336.19370611509299</v>
      </c>
      <c r="W2374">
        <v>347.06335160596598</v>
      </c>
    </row>
    <row r="2375" spans="1:23" x14ac:dyDescent="0.2">
      <c r="A2375" t="s">
        <v>4755</v>
      </c>
      <c r="B2375" s="3" t="str">
        <f>HYPERLINK("http://www.ncbi.nlm.nih.gov/gene/625249","Gpx4")</f>
        <v>Gpx4</v>
      </c>
      <c r="C2375">
        <v>625249</v>
      </c>
      <c r="D2375" t="s">
        <v>4756</v>
      </c>
      <c r="E2375" s="3" t="str">
        <f>HYPERLINK("http://genome.ucsc.edu/cgi-bin/hgTracks?db=mm10&amp;lastVirtModeType=default&amp;lastVirtModeExtraState=&amp;virtModeType=default&amp;virtMode=0&amp;nonVirtPosition=&amp;position=chr10:80054018-80056439","chr10:80054018-80056439")</f>
        <v>chr10:80054018-80056439</v>
      </c>
      <c r="F2375" t="s">
        <v>30</v>
      </c>
      <c r="G2375">
        <v>-0.68907136446584905</v>
      </c>
      <c r="H2375">
        <v>0.224373196237594</v>
      </c>
      <c r="I2375">
        <v>-3.0710948367298498</v>
      </c>
      <c r="J2375">
        <v>2.1327539785700898E-3</v>
      </c>
      <c r="K2375">
        <v>1.20236757999128E-2</v>
      </c>
      <c r="L2375" t="s">
        <v>26</v>
      </c>
      <c r="M2375" t="s">
        <v>27</v>
      </c>
      <c r="N2375">
        <v>61.8431864272764</v>
      </c>
      <c r="O2375">
        <v>78.830063474593601</v>
      </c>
      <c r="P2375">
        <v>49.103028641788498</v>
      </c>
      <c r="Q2375">
        <v>74.610201164767105</v>
      </c>
      <c r="R2375">
        <v>92.538199538976102</v>
      </c>
      <c r="S2375">
        <v>69.341789720037596</v>
      </c>
      <c r="T2375">
        <v>64.161366018137699</v>
      </c>
      <c r="U2375">
        <v>40.683878171825199</v>
      </c>
      <c r="V2375">
        <v>42.6679101852854</v>
      </c>
      <c r="W2375">
        <v>48.8989601919058</v>
      </c>
    </row>
    <row r="2376" spans="1:23" x14ac:dyDescent="0.2">
      <c r="A2376" t="s">
        <v>4757</v>
      </c>
      <c r="B2376" s="3" t="str">
        <f>HYPERLINK("http://www.ncbi.nlm.nih.gov/gene/224273","Crybg3")</f>
        <v>Crybg3</v>
      </c>
      <c r="C2376">
        <v>224273</v>
      </c>
      <c r="D2376" t="s">
        <v>4758</v>
      </c>
      <c r="E2376" s="3" t="str">
        <f>HYPERLINK("http://genome.ucsc.edu/cgi-bin/hgTracks?db=mm10&amp;lastVirtModeType=default&amp;lastVirtModeExtraState=&amp;virtModeType=default&amp;virtMode=0&amp;nonVirtPosition=&amp;position=chr16:59490774-59555752","chr16:59490774-59555752")</f>
        <v>chr16:59490774-59555752</v>
      </c>
      <c r="F2376" t="s">
        <v>25</v>
      </c>
      <c r="G2376">
        <v>0.43482957617217499</v>
      </c>
      <c r="H2376">
        <v>0.141591922942083</v>
      </c>
      <c r="I2376">
        <v>3.0710055145591899</v>
      </c>
      <c r="J2376">
        <v>2.13339210668306E-3</v>
      </c>
      <c r="K2376">
        <v>1.20236757999128E-2</v>
      </c>
      <c r="L2376" t="s">
        <v>26</v>
      </c>
      <c r="M2376" t="s">
        <v>27</v>
      </c>
      <c r="N2376">
        <v>237.49317313851</v>
      </c>
      <c r="O2376">
        <v>194.05194200603199</v>
      </c>
      <c r="P2376">
        <v>270.07409648786802</v>
      </c>
      <c r="Q2376">
        <v>176.50323708381501</v>
      </c>
      <c r="R2376">
        <v>196.07479164610899</v>
      </c>
      <c r="S2376">
        <v>209.577797288173</v>
      </c>
      <c r="T2376">
        <v>325.38978480626997</v>
      </c>
      <c r="U2376">
        <v>226.973215063867</v>
      </c>
      <c r="V2376">
        <v>256.00746111171202</v>
      </c>
      <c r="W2376">
        <v>271.925924969623</v>
      </c>
    </row>
    <row r="2377" spans="1:23" x14ac:dyDescent="0.2">
      <c r="A2377" t="s">
        <v>4759</v>
      </c>
      <c r="B2377" s="3" t="str">
        <f>HYPERLINK("http://www.ncbi.nlm.nih.gov/gene/12583","Cdo1")</f>
        <v>Cdo1</v>
      </c>
      <c r="C2377">
        <v>12583</v>
      </c>
      <c r="D2377" t="s">
        <v>4760</v>
      </c>
      <c r="E2377" s="3" t="str">
        <f>HYPERLINK("http://genome.ucsc.edu/cgi-bin/hgTracks?db=mm10&amp;lastVirtModeType=default&amp;lastVirtModeExtraState=&amp;virtModeType=default&amp;virtMode=0&amp;nonVirtPosition=&amp;position=chr18:46713204-46728342","chr18:46713204-46728342")</f>
        <v>chr18:46713204-46728342</v>
      </c>
      <c r="F2377" t="s">
        <v>25</v>
      </c>
      <c r="G2377">
        <v>-0.51461123493391303</v>
      </c>
      <c r="H2377">
        <v>0.16759703389678099</v>
      </c>
      <c r="I2377">
        <v>-3.07052710282957</v>
      </c>
      <c r="J2377">
        <v>2.13681291744269E-3</v>
      </c>
      <c r="K2377">
        <v>1.20335324294574E-2</v>
      </c>
      <c r="L2377" t="s">
        <v>26</v>
      </c>
      <c r="M2377" t="s">
        <v>27</v>
      </c>
      <c r="N2377">
        <v>513.85966735255704</v>
      </c>
      <c r="O2377">
        <v>624.15733820537196</v>
      </c>
      <c r="P2377">
        <v>431.13641421294699</v>
      </c>
      <c r="Q2377">
        <v>811.80353207634698</v>
      </c>
      <c r="R2377">
        <v>549.91962840785004</v>
      </c>
      <c r="S2377">
        <v>510.74885413191902</v>
      </c>
      <c r="T2377">
        <v>467.46138098928901</v>
      </c>
      <c r="U2377">
        <v>417.54506544767901</v>
      </c>
      <c r="V2377">
        <v>434.035638091696</v>
      </c>
      <c r="W2377">
        <v>405.503572323122</v>
      </c>
    </row>
    <row r="2378" spans="1:23" x14ac:dyDescent="0.2">
      <c r="A2378" t="s">
        <v>4761</v>
      </c>
      <c r="B2378" s="3" t="str">
        <f>HYPERLINK("http://www.ncbi.nlm.nih.gov/gene/272347","Zfp398")</f>
        <v>Zfp398</v>
      </c>
      <c r="C2378">
        <v>272347</v>
      </c>
      <c r="D2378" t="s">
        <v>4762</v>
      </c>
      <c r="E2378" s="3" t="str">
        <f>HYPERLINK("http://genome.ucsc.edu/cgi-bin/hgTracks?db=mm10&amp;lastVirtModeType=default&amp;lastVirtModeExtraState=&amp;virtModeType=default&amp;virtMode=0&amp;nonVirtPosition=&amp;position=chr6:47835660-47868257","chr6:47835660-47868257")</f>
        <v>chr6:47835660-47868257</v>
      </c>
      <c r="F2378" t="s">
        <v>30</v>
      </c>
      <c r="G2378">
        <v>0.41341277442765401</v>
      </c>
      <c r="H2378">
        <v>0.134639792710668</v>
      </c>
      <c r="I2378">
        <v>3.0705095878753501</v>
      </c>
      <c r="J2378">
        <v>2.1369382508587701E-3</v>
      </c>
      <c r="K2378">
        <v>1.20335324294574E-2</v>
      </c>
      <c r="L2378" t="s">
        <v>26</v>
      </c>
      <c r="M2378" t="s">
        <v>27</v>
      </c>
      <c r="N2378">
        <v>219.55020634348699</v>
      </c>
      <c r="O2378">
        <v>183.586812291645</v>
      </c>
      <c r="P2378">
        <v>246.52275188236899</v>
      </c>
      <c r="Q2378">
        <v>190.42305073395801</v>
      </c>
      <c r="R2378">
        <v>169.90620243221801</v>
      </c>
      <c r="S2378">
        <v>190.43118370875999</v>
      </c>
      <c r="T2378">
        <v>229.147735779063</v>
      </c>
      <c r="U2378">
        <v>282.64589045689098</v>
      </c>
      <c r="V2378">
        <v>230.995237899648</v>
      </c>
      <c r="W2378">
        <v>243.302143393873</v>
      </c>
    </row>
    <row r="2379" spans="1:23" x14ac:dyDescent="0.2">
      <c r="A2379" t="s">
        <v>4763</v>
      </c>
      <c r="B2379" s="3" t="str">
        <f>HYPERLINK("http://www.ncbi.nlm.nih.gov/gene/68219","Nudt21")</f>
        <v>Nudt21</v>
      </c>
      <c r="C2379">
        <v>68219</v>
      </c>
      <c r="D2379" t="s">
        <v>4764</v>
      </c>
      <c r="E2379" s="3" t="str">
        <f>HYPERLINK("http://genome.ucsc.edu/cgi-bin/hgTracks?db=mm10&amp;lastVirtModeType=default&amp;lastVirtModeExtraState=&amp;virtModeType=default&amp;virtMode=0&amp;nonVirtPosition=&amp;position=chr8:94019402-94037039","chr8:94019402-94037039")</f>
        <v>chr8:94019402-94037039</v>
      </c>
      <c r="F2379" t="s">
        <v>25</v>
      </c>
      <c r="G2379">
        <v>-0.474541931485992</v>
      </c>
      <c r="H2379">
        <v>0.154577093589196</v>
      </c>
      <c r="I2379">
        <v>-3.0699369516361501</v>
      </c>
      <c r="J2379">
        <v>2.1410396328130298E-3</v>
      </c>
      <c r="K2379">
        <v>1.2051560203026199E-2</v>
      </c>
      <c r="L2379" t="s">
        <v>26</v>
      </c>
      <c r="M2379" t="s">
        <v>27</v>
      </c>
      <c r="N2379">
        <v>151.63000325528901</v>
      </c>
      <c r="O2379">
        <v>182.47934214178801</v>
      </c>
      <c r="P2379">
        <v>128.492999090415</v>
      </c>
      <c r="Q2379">
        <v>187.082295457924</v>
      </c>
      <c r="R2379">
        <v>196.83330147839601</v>
      </c>
      <c r="S2379">
        <v>163.52242948904399</v>
      </c>
      <c r="T2379">
        <v>128.322732036275</v>
      </c>
      <c r="U2379">
        <v>119.91037776959</v>
      </c>
      <c r="V2379">
        <v>140.509842161888</v>
      </c>
      <c r="W2379">
        <v>125.229044393905</v>
      </c>
    </row>
    <row r="2380" spans="1:23" x14ac:dyDescent="0.2">
      <c r="A2380" t="s">
        <v>4765</v>
      </c>
      <c r="B2380" s="3" t="str">
        <f>HYPERLINK("http://www.ncbi.nlm.nih.gov/gene/52397","Zfp644")</f>
        <v>Zfp644</v>
      </c>
      <c r="C2380">
        <v>52397</v>
      </c>
      <c r="D2380" t="s">
        <v>4766</v>
      </c>
      <c r="E2380" s="3" t="str">
        <f>HYPERLINK("http://genome.ucsc.edu/cgi-bin/hgTracks?db=mm10&amp;lastVirtModeType=default&amp;lastVirtModeExtraState=&amp;virtModeType=default&amp;virtMode=0&amp;nonVirtPosition=&amp;position=chr5:106616740-106696830","chr5:106616740-106696830")</f>
        <v>chr5:106616740-106696830</v>
      </c>
      <c r="F2380" t="s">
        <v>25</v>
      </c>
      <c r="G2380">
        <v>-0.40959290711177299</v>
      </c>
      <c r="H2380">
        <v>0.133429476260225</v>
      </c>
      <c r="I2380">
        <v>-3.0697333047530901</v>
      </c>
      <c r="J2380">
        <v>2.1424999480575899E-3</v>
      </c>
      <c r="K2380">
        <v>1.2054712943041701E-2</v>
      </c>
      <c r="L2380" t="s">
        <v>26</v>
      </c>
      <c r="M2380" t="s">
        <v>27</v>
      </c>
      <c r="N2380">
        <v>682.86850817887705</v>
      </c>
      <c r="O2380">
        <v>798.41503206800201</v>
      </c>
      <c r="P2380">
        <v>596.20861526203396</v>
      </c>
      <c r="Q2380">
        <v>893.65203633918895</v>
      </c>
      <c r="R2380">
        <v>836.63634501221804</v>
      </c>
      <c r="S2380">
        <v>664.95671485259902</v>
      </c>
      <c r="T2380">
        <v>618.69888660347101</v>
      </c>
      <c r="U2380">
        <v>539.59669996315495</v>
      </c>
      <c r="V2380">
        <v>603.97162520895301</v>
      </c>
      <c r="W2380">
        <v>622.56724927255698</v>
      </c>
    </row>
    <row r="2381" spans="1:23" x14ac:dyDescent="0.2">
      <c r="A2381" t="s">
        <v>4767</v>
      </c>
      <c r="B2381" s="3" t="str">
        <f>HYPERLINK("http://www.ncbi.nlm.nih.gov/gene/56501","Elf4")</f>
        <v>Elf4</v>
      </c>
      <c r="C2381">
        <v>56501</v>
      </c>
      <c r="D2381" t="s">
        <v>4768</v>
      </c>
      <c r="E2381" s="3" t="str">
        <f>HYPERLINK("http://genome.ucsc.edu/cgi-bin/hgTracks?db=mm10&amp;lastVirtModeType=default&amp;lastVirtModeExtraState=&amp;virtModeType=default&amp;virtMode=0&amp;nonVirtPosition=&amp;position=chrX:48411048-48463132","chrX:48411048-48463132")</f>
        <v>chrX:48411048-48463132</v>
      </c>
      <c r="F2381" t="s">
        <v>25</v>
      </c>
      <c r="G2381">
        <v>0.82495940410065505</v>
      </c>
      <c r="H2381">
        <v>0.26880637460919399</v>
      </c>
      <c r="I2381">
        <v>3.0689726212781498</v>
      </c>
      <c r="J2381">
        <v>2.1479627529962298E-3</v>
      </c>
      <c r="K2381">
        <v>1.207847181851E-2</v>
      </c>
      <c r="L2381" t="s">
        <v>26</v>
      </c>
      <c r="M2381" t="s">
        <v>27</v>
      </c>
      <c r="N2381">
        <v>52.172731514213197</v>
      </c>
      <c r="O2381">
        <v>32.673833458883301</v>
      </c>
      <c r="P2381">
        <v>66.796905055710596</v>
      </c>
      <c r="Q2381">
        <v>38.975478220400802</v>
      </c>
      <c r="R2381">
        <v>25.410079381604099</v>
      </c>
      <c r="S2381">
        <v>33.635942774645102</v>
      </c>
      <c r="T2381">
        <v>105.407958458369</v>
      </c>
      <c r="U2381">
        <v>44.966391663596198</v>
      </c>
      <c r="V2381">
        <v>50.024446424127703</v>
      </c>
      <c r="W2381">
        <v>66.788823676749402</v>
      </c>
    </row>
    <row r="2382" spans="1:23" x14ac:dyDescent="0.2">
      <c r="A2382" t="s">
        <v>4769</v>
      </c>
      <c r="B2382" s="3" t="str">
        <f>HYPERLINK("http://www.ncbi.nlm.nih.gov/gene/353282","Sfmbt2")</f>
        <v>Sfmbt2</v>
      </c>
      <c r="C2382">
        <v>353282</v>
      </c>
      <c r="D2382" t="s">
        <v>4770</v>
      </c>
      <c r="E2382" s="3" t="str">
        <f>HYPERLINK("http://genome.ucsc.edu/cgi-bin/hgTracks?db=mm10&amp;lastVirtModeType=default&amp;lastVirtModeExtraState=&amp;virtModeType=default&amp;virtMode=0&amp;nonVirtPosition=&amp;position=chr2:10372435-10595253","chr2:10372435-10595253")</f>
        <v>chr2:10372435-10595253</v>
      </c>
      <c r="F2382" t="s">
        <v>30</v>
      </c>
      <c r="G2382">
        <v>0.47944131945865898</v>
      </c>
      <c r="H2382">
        <v>0.15622608251192299</v>
      </c>
      <c r="I2382">
        <v>3.0688942060751501</v>
      </c>
      <c r="J2382">
        <v>2.14852661277656E-3</v>
      </c>
      <c r="K2382">
        <v>1.207847181851E-2</v>
      </c>
      <c r="L2382" t="s">
        <v>26</v>
      </c>
      <c r="M2382" t="s">
        <v>27</v>
      </c>
      <c r="N2382">
        <v>137.50178836516801</v>
      </c>
      <c r="O2382">
        <v>110.362059041073</v>
      </c>
      <c r="P2382">
        <v>157.85658535823899</v>
      </c>
      <c r="Q2382">
        <v>111.358509201145</v>
      </c>
      <c r="R2382">
        <v>102.778082274846</v>
      </c>
      <c r="S2382">
        <v>116.94958564722801</v>
      </c>
      <c r="T2382">
        <v>174.152279192088</v>
      </c>
      <c r="U2382">
        <v>158.45299919553</v>
      </c>
      <c r="V2382">
        <v>164.05075812618301</v>
      </c>
      <c r="W2382">
        <v>134.770304919155</v>
      </c>
    </row>
    <row r="2383" spans="1:23" x14ac:dyDescent="0.2">
      <c r="A2383" t="s">
        <v>4771</v>
      </c>
      <c r="B2383" s="3" t="str">
        <f>HYPERLINK("http://www.ncbi.nlm.nih.gov/gene/108672","Zdhhc15")</f>
        <v>Zdhhc15</v>
      </c>
      <c r="C2383">
        <v>108672</v>
      </c>
      <c r="D2383" t="s">
        <v>4772</v>
      </c>
      <c r="E2383" s="3" t="str">
        <f>HYPERLINK("http://genome.ucsc.edu/cgi-bin/hgTracks?db=mm10&amp;lastVirtModeType=default&amp;lastVirtModeExtraState=&amp;virtModeType=default&amp;virtMode=0&amp;nonVirtPosition=&amp;position=chrX:104536969-104671064","chrX:104536969-104671064")</f>
        <v>chrX:104536969-104671064</v>
      </c>
      <c r="F2383" t="s">
        <v>25</v>
      </c>
      <c r="G2383">
        <v>-0.51256634025014103</v>
      </c>
      <c r="H2383">
        <v>0.16703845780606999</v>
      </c>
      <c r="I2383">
        <v>-3.0685528768783699</v>
      </c>
      <c r="J2383">
        <v>2.15098258818957E-3</v>
      </c>
      <c r="K2383">
        <v>1.2087204296452599E-2</v>
      </c>
      <c r="L2383" t="s">
        <v>26</v>
      </c>
      <c r="M2383" t="s">
        <v>27</v>
      </c>
      <c r="N2383">
        <v>147.99136472223299</v>
      </c>
      <c r="O2383">
        <v>177.12059893461901</v>
      </c>
      <c r="P2383">
        <v>126.14443906294299</v>
      </c>
      <c r="Q2383">
        <v>184.298332727895</v>
      </c>
      <c r="R2383">
        <v>156.63228036720099</v>
      </c>
      <c r="S2383">
        <v>190.43118370875999</v>
      </c>
      <c r="T2383">
        <v>146.65455089860001</v>
      </c>
      <c r="U2383">
        <v>130.61666149901799</v>
      </c>
      <c r="V2383">
        <v>104.462814591561</v>
      </c>
      <c r="W2383">
        <v>122.843729262593</v>
      </c>
    </row>
    <row r="2384" spans="1:23" x14ac:dyDescent="0.2">
      <c r="A2384" t="s">
        <v>4773</v>
      </c>
      <c r="B2384" s="3" t="str">
        <f>HYPERLINK("http://www.ncbi.nlm.nih.gov/gene/85030","Tnfrsf25")</f>
        <v>Tnfrsf25</v>
      </c>
      <c r="C2384">
        <v>85030</v>
      </c>
      <c r="D2384" t="s">
        <v>4774</v>
      </c>
      <c r="E2384" s="3" t="str">
        <f>HYPERLINK("http://genome.ucsc.edu/cgi-bin/hgTracks?db=mm10&amp;lastVirtModeType=default&amp;lastVirtModeExtraState=&amp;virtModeType=default&amp;virtMode=0&amp;nonVirtPosition=&amp;position=chr4:152115933-152120119","chr4:152115933-152120119")</f>
        <v>chr4:152115933-152120119</v>
      </c>
      <c r="F2384" t="s">
        <v>30</v>
      </c>
      <c r="G2384">
        <v>1.12343872110736</v>
      </c>
      <c r="H2384">
        <v>0.36617908923267101</v>
      </c>
      <c r="I2384">
        <v>3.0680034828355001</v>
      </c>
      <c r="J2384">
        <v>2.1549410645324198E-3</v>
      </c>
      <c r="K2384">
        <v>1.21043690415913E-2</v>
      </c>
      <c r="L2384" t="s">
        <v>26</v>
      </c>
      <c r="M2384" t="s">
        <v>27</v>
      </c>
      <c r="N2384">
        <v>10.6414838574182</v>
      </c>
      <c r="O2384">
        <v>4.8924547382447896</v>
      </c>
      <c r="P2384">
        <v>14.9532556967982</v>
      </c>
      <c r="Q2384">
        <v>6.1247180060629702</v>
      </c>
      <c r="R2384">
        <v>4.9303139098634796</v>
      </c>
      <c r="S2384">
        <v>3.6223322988079301</v>
      </c>
      <c r="T2384">
        <v>18.3318188623251</v>
      </c>
      <c r="U2384">
        <v>10.7062837294277</v>
      </c>
      <c r="V2384">
        <v>17.655686973221499</v>
      </c>
      <c r="W2384">
        <v>13.1192332222186</v>
      </c>
    </row>
    <row r="2385" spans="1:23" x14ac:dyDescent="0.2">
      <c r="A2385" t="s">
        <v>4775</v>
      </c>
      <c r="B2385" s="3" t="str">
        <f>HYPERLINK("http://www.ncbi.nlm.nih.gov/gene/215015","Fam20b")</f>
        <v>Fam20b</v>
      </c>
      <c r="C2385">
        <v>215015</v>
      </c>
      <c r="D2385" t="s">
        <v>4776</v>
      </c>
      <c r="E2385" s="3" t="str">
        <f>HYPERLINK("http://genome.ucsc.edu/cgi-bin/hgTracks?db=mm10&amp;lastVirtModeType=default&amp;lastVirtModeExtraState=&amp;virtModeType=default&amp;virtMode=0&amp;nonVirtPosition=&amp;position=chr1:156678570-156718910","chr1:156678570-156718910")</f>
        <v>chr1:156678570-156718910</v>
      </c>
      <c r="F2385" t="s">
        <v>25</v>
      </c>
      <c r="G2385">
        <v>0.37843857167191902</v>
      </c>
      <c r="H2385">
        <v>0.123360961145647</v>
      </c>
      <c r="I2385">
        <v>3.06773365055995</v>
      </c>
      <c r="J2385">
        <v>2.1568876960771101E-3</v>
      </c>
      <c r="K2385">
        <v>1.2110223538016201E-2</v>
      </c>
      <c r="L2385" t="s">
        <v>26</v>
      </c>
      <c r="M2385" t="s">
        <v>27</v>
      </c>
      <c r="N2385">
        <v>814.91210683875602</v>
      </c>
      <c r="O2385">
        <v>690.51873179557595</v>
      </c>
      <c r="P2385">
        <v>908.20713812114002</v>
      </c>
      <c r="Q2385">
        <v>760.57861784381998</v>
      </c>
      <c r="R2385">
        <v>683.79661380644995</v>
      </c>
      <c r="S2385">
        <v>627.18096373645903</v>
      </c>
      <c r="T2385">
        <v>1031.1648110057799</v>
      </c>
      <c r="U2385">
        <v>787.98248248587697</v>
      </c>
      <c r="V2385">
        <v>914.41745448809797</v>
      </c>
      <c r="W2385">
        <v>899.26380450480497</v>
      </c>
    </row>
    <row r="2386" spans="1:23" x14ac:dyDescent="0.2">
      <c r="A2386" t="s">
        <v>4777</v>
      </c>
      <c r="B2386" s="3" t="str">
        <f>HYPERLINK("http://www.ncbi.nlm.nih.gov/gene/227737","Fam129b")</f>
        <v>Fam129b</v>
      </c>
      <c r="C2386">
        <v>227737</v>
      </c>
      <c r="D2386" t="s">
        <v>4778</v>
      </c>
      <c r="E2386" s="3" t="str">
        <f>HYPERLINK("http://genome.ucsc.edu/cgi-bin/hgTracks?db=mm10&amp;lastVirtModeType=default&amp;lastVirtModeExtraState=&amp;virtModeType=default&amp;virtMode=0&amp;nonVirtPosition=&amp;position=chr2:32876133-32925253","chr2:32876133-32925253")</f>
        <v>chr2:32876133-32925253</v>
      </c>
      <c r="F2386" t="s">
        <v>30</v>
      </c>
      <c r="G2386">
        <v>0.61801487163998303</v>
      </c>
      <c r="H2386">
        <v>0.20147758285619599</v>
      </c>
      <c r="I2386">
        <v>3.0674125770165102</v>
      </c>
      <c r="J2386">
        <v>2.1592060942011901E-3</v>
      </c>
      <c r="K2386">
        <v>1.21181596007746E-2</v>
      </c>
      <c r="L2386" t="s">
        <v>26</v>
      </c>
      <c r="M2386" t="s">
        <v>27</v>
      </c>
      <c r="N2386">
        <v>234.481318893793</v>
      </c>
      <c r="O2386">
        <v>178.27364472932001</v>
      </c>
      <c r="P2386">
        <v>276.63707451714799</v>
      </c>
      <c r="Q2386">
        <v>203.22927929209001</v>
      </c>
      <c r="R2386">
        <v>126.67114199187699</v>
      </c>
      <c r="S2386">
        <v>204.92051290399201</v>
      </c>
      <c r="T2386">
        <v>224.564781063482</v>
      </c>
      <c r="U2386">
        <v>244.103269030951</v>
      </c>
      <c r="V2386">
        <v>351.64243221666197</v>
      </c>
      <c r="W2386">
        <v>286.23781575749803</v>
      </c>
    </row>
    <row r="2387" spans="1:23" x14ac:dyDescent="0.2">
      <c r="A2387" t="s">
        <v>4779</v>
      </c>
      <c r="B2387" s="3" t="str">
        <f>HYPERLINK("http://www.ncbi.nlm.nih.gov/gene/66082","Abhd6")</f>
        <v>Abhd6</v>
      </c>
      <c r="C2387">
        <v>66082</v>
      </c>
      <c r="D2387" t="s">
        <v>4780</v>
      </c>
      <c r="E2387" s="3" t="str">
        <f>HYPERLINK("http://genome.ucsc.edu/cgi-bin/hgTracks?db=mm10&amp;lastVirtModeType=default&amp;lastVirtModeExtraState=&amp;virtModeType=default&amp;virtMode=0&amp;nonVirtPosition=&amp;position=chr14:8002887-8056770","chr14:8002887-8056770")</f>
        <v>chr14:8002887-8056770</v>
      </c>
      <c r="F2387" t="s">
        <v>30</v>
      </c>
      <c r="G2387">
        <v>-0.56449955813521802</v>
      </c>
      <c r="H2387">
        <v>0.18407996054280401</v>
      </c>
      <c r="I2387">
        <v>-3.06659973454284</v>
      </c>
      <c r="J2387">
        <v>2.1650856595002601E-3</v>
      </c>
      <c r="K2387">
        <v>1.21460670575484E-2</v>
      </c>
      <c r="L2387" t="s">
        <v>26</v>
      </c>
      <c r="M2387" t="s">
        <v>27</v>
      </c>
      <c r="N2387">
        <v>93.492060826579404</v>
      </c>
      <c r="O2387">
        <v>117.079143160771</v>
      </c>
      <c r="P2387">
        <v>75.801749075935703</v>
      </c>
      <c r="Q2387">
        <v>131.95983340335701</v>
      </c>
      <c r="R2387">
        <v>105.43286668784999</v>
      </c>
      <c r="S2387">
        <v>113.844729391106</v>
      </c>
      <c r="T2387">
        <v>64.161366018137699</v>
      </c>
      <c r="U2387">
        <v>85.650269835421398</v>
      </c>
      <c r="V2387">
        <v>79.450591379496899</v>
      </c>
      <c r="W2387">
        <v>73.944769070686903</v>
      </c>
    </row>
    <row r="2388" spans="1:23" x14ac:dyDescent="0.2">
      <c r="A2388" t="s">
        <v>4781</v>
      </c>
      <c r="B2388" s="3" t="str">
        <f>HYPERLINK("http://www.ncbi.nlm.nih.gov/gene/71675","0610010F05Rik")</f>
        <v>0610010F05Rik</v>
      </c>
      <c r="C2388">
        <v>71675</v>
      </c>
      <c r="D2388" t="s">
        <v>4782</v>
      </c>
      <c r="E2388" s="3" t="str">
        <f>HYPERLINK("http://genome.ucsc.edu/cgi-bin/hgTracks?db=mm10&amp;lastVirtModeType=default&amp;lastVirtModeExtraState=&amp;virtModeType=default&amp;virtMode=0&amp;nonVirtPosition=&amp;position=chr11:23573775-23633631","chr11:23573775-23633631")</f>
        <v>chr11:23573775-23633631</v>
      </c>
      <c r="F2388" t="s">
        <v>25</v>
      </c>
      <c r="G2388">
        <v>-0.48114677559934099</v>
      </c>
      <c r="H2388">
        <v>0.15691057944790099</v>
      </c>
      <c r="I2388">
        <v>-3.0663756216584201</v>
      </c>
      <c r="J2388">
        <v>2.16670932329632E-3</v>
      </c>
      <c r="K2388">
        <v>1.21500856567257E-2</v>
      </c>
      <c r="L2388" t="s">
        <v>26</v>
      </c>
      <c r="M2388" t="s">
        <v>27</v>
      </c>
      <c r="N2388">
        <v>263.31848903269099</v>
      </c>
      <c r="O2388">
        <v>315.99852149214502</v>
      </c>
      <c r="P2388">
        <v>223.808464688101</v>
      </c>
      <c r="Q2388">
        <v>262.80608171470197</v>
      </c>
      <c r="R2388">
        <v>374.70385714962401</v>
      </c>
      <c r="S2388">
        <v>310.485625612109</v>
      </c>
      <c r="T2388">
        <v>219.98182634790101</v>
      </c>
      <c r="U2388">
        <v>241.96201228506499</v>
      </c>
      <c r="V2388">
        <v>231.73089152353299</v>
      </c>
      <c r="W2388">
        <v>201.55912859590501</v>
      </c>
    </row>
    <row r="2389" spans="1:23" x14ac:dyDescent="0.2">
      <c r="A2389" t="s">
        <v>4783</v>
      </c>
      <c r="B2389" s="3" t="str">
        <f>HYPERLINK("http://www.ncbi.nlm.nih.gov/gene/17133","Maff")</f>
        <v>Maff</v>
      </c>
      <c r="C2389">
        <v>17133</v>
      </c>
      <c r="D2389" t="s">
        <v>4784</v>
      </c>
      <c r="E2389" s="3" t="str">
        <f>HYPERLINK("http://genome.ucsc.edu/cgi-bin/hgTracks?db=mm10&amp;lastVirtModeType=default&amp;lastVirtModeExtraState=&amp;virtModeType=default&amp;virtMode=0&amp;nonVirtPosition=&amp;position=chr15:79347519-79359076","chr15:79347519-79359076")</f>
        <v>chr15:79347519-79359076</v>
      </c>
      <c r="F2389" t="s">
        <v>30</v>
      </c>
      <c r="G2389">
        <v>0.76117260486160199</v>
      </c>
      <c r="H2389">
        <v>0.24846260349576299</v>
      </c>
      <c r="I2389">
        <v>3.0635298598349499</v>
      </c>
      <c r="J2389">
        <v>2.18742373996339E-3</v>
      </c>
      <c r="K2389">
        <v>1.2260809791909799E-2</v>
      </c>
      <c r="L2389" t="s">
        <v>26</v>
      </c>
      <c r="M2389" t="s">
        <v>27</v>
      </c>
      <c r="N2389">
        <v>59.1591856549298</v>
      </c>
      <c r="O2389">
        <v>39.160407586550001</v>
      </c>
      <c r="P2389">
        <v>74.158269206214598</v>
      </c>
      <c r="Q2389">
        <v>28.396419846292002</v>
      </c>
      <c r="R2389">
        <v>40.959530943481198</v>
      </c>
      <c r="S2389">
        <v>48.125271969876799</v>
      </c>
      <c r="T2389">
        <v>105.407958458369</v>
      </c>
      <c r="U2389">
        <v>59.955188884795</v>
      </c>
      <c r="V2389">
        <v>72.829708764538793</v>
      </c>
      <c r="W2389">
        <v>58.440220717155803</v>
      </c>
    </row>
    <row r="2390" spans="1:23" x14ac:dyDescent="0.2">
      <c r="A2390" t="s">
        <v>4785</v>
      </c>
      <c r="B2390" s="3" t="str">
        <f>HYPERLINK("http://www.ncbi.nlm.nih.gov/gene/54670","Atp8b1")</f>
        <v>Atp8b1</v>
      </c>
      <c r="C2390">
        <v>54670</v>
      </c>
      <c r="D2390" t="s">
        <v>4786</v>
      </c>
      <c r="E2390" s="3" t="str">
        <f>HYPERLINK("http://genome.ucsc.edu/cgi-bin/hgTracks?db=mm10&amp;lastVirtModeType=default&amp;lastVirtModeExtraState=&amp;virtModeType=default&amp;virtMode=0&amp;nonVirtPosition=&amp;position=chr18:64528978-64661000","chr18:64528978-64661000")</f>
        <v>chr18:64528978-64661000</v>
      </c>
      <c r="F2390" t="s">
        <v>25</v>
      </c>
      <c r="G2390">
        <v>-0.76281524361782904</v>
      </c>
      <c r="H2390">
        <v>0.249008377859219</v>
      </c>
      <c r="I2390">
        <v>-3.0634119629866401</v>
      </c>
      <c r="J2390">
        <v>2.1882858190325101E-3</v>
      </c>
      <c r="K2390">
        <v>1.2260809791909799E-2</v>
      </c>
      <c r="L2390" t="s">
        <v>26</v>
      </c>
      <c r="M2390" t="s">
        <v>27</v>
      </c>
      <c r="N2390">
        <v>44.979171820287</v>
      </c>
      <c r="O2390">
        <v>60.1446641428916</v>
      </c>
      <c r="P2390">
        <v>33.605052578333499</v>
      </c>
      <c r="Q2390">
        <v>72.383030980744294</v>
      </c>
      <c r="R2390">
        <v>54.233453008498302</v>
      </c>
      <c r="S2390">
        <v>53.817508439432203</v>
      </c>
      <c r="T2390">
        <v>41.246592440231403</v>
      </c>
      <c r="U2390">
        <v>23.553824204740899</v>
      </c>
      <c r="V2390">
        <v>33.840066698674597</v>
      </c>
      <c r="W2390">
        <v>35.779726969687196</v>
      </c>
    </row>
    <row r="2391" spans="1:23" x14ac:dyDescent="0.2">
      <c r="A2391" t="s">
        <v>4787</v>
      </c>
      <c r="B2391" s="3" t="str">
        <f>HYPERLINK("http://www.ncbi.nlm.nih.gov/gene/11481","Acvr2b")</f>
        <v>Acvr2b</v>
      </c>
      <c r="C2391">
        <v>11481</v>
      </c>
      <c r="D2391" t="s">
        <v>4788</v>
      </c>
      <c r="E2391" s="3" t="str">
        <f>HYPERLINK("http://genome.ucsc.edu/cgi-bin/hgTracks?db=mm10&amp;lastVirtModeType=default&amp;lastVirtModeExtraState=&amp;virtModeType=default&amp;virtMode=0&amp;nonVirtPosition=&amp;position=chr9:119402177-119442148","chr9:119402177-119442148")</f>
        <v>chr9:119402177-119442148</v>
      </c>
      <c r="F2391" t="s">
        <v>30</v>
      </c>
      <c r="G2391">
        <v>0.760108259149472</v>
      </c>
      <c r="H2391">
        <v>0.24823562576000199</v>
      </c>
      <c r="I2391">
        <v>3.0620433985746902</v>
      </c>
      <c r="J2391">
        <v>2.19831577761874E-3</v>
      </c>
      <c r="K2391">
        <v>1.23087154745969E-2</v>
      </c>
      <c r="L2391" t="s">
        <v>26</v>
      </c>
      <c r="M2391" t="s">
        <v>27</v>
      </c>
      <c r="N2391">
        <v>55.557604489267803</v>
      </c>
      <c r="O2391">
        <v>38.2228031862617</v>
      </c>
      <c r="P2391">
        <v>68.558705466522298</v>
      </c>
      <c r="Q2391">
        <v>37.305100582383602</v>
      </c>
      <c r="R2391">
        <v>27.685608878464201</v>
      </c>
      <c r="S2391">
        <v>49.677700097937397</v>
      </c>
      <c r="T2391">
        <v>59.578411302556397</v>
      </c>
      <c r="U2391">
        <v>83.509013089535898</v>
      </c>
      <c r="V2391">
        <v>59.587943534622603</v>
      </c>
      <c r="W2391">
        <v>71.559453939374393</v>
      </c>
    </row>
    <row r="2392" spans="1:23" x14ac:dyDescent="0.2">
      <c r="A2392" t="s">
        <v>4789</v>
      </c>
      <c r="B2392" s="3" t="str">
        <f>HYPERLINK("http://www.ncbi.nlm.nih.gov/gene/67391","Fundc2")</f>
        <v>Fundc2</v>
      </c>
      <c r="C2392">
        <v>67391</v>
      </c>
      <c r="D2392" t="s">
        <v>4790</v>
      </c>
      <c r="E2392" s="3" t="str">
        <f>HYPERLINK("http://genome.ucsc.edu/cgi-bin/hgTracks?db=mm10&amp;lastVirtModeType=default&amp;lastVirtModeExtraState=&amp;virtModeType=default&amp;virtMode=0&amp;nonVirtPosition=&amp;position=chrX:75382398-75397158","chrX:75382398-75397158")</f>
        <v>chrX:75382398-75397158</v>
      </c>
      <c r="F2392" t="s">
        <v>30</v>
      </c>
      <c r="G2392">
        <v>-0.41197276921860199</v>
      </c>
      <c r="H2392">
        <v>0.134543924748667</v>
      </c>
      <c r="I2392">
        <v>-3.0619945864384599</v>
      </c>
      <c r="J2392">
        <v>2.19867428983914E-3</v>
      </c>
      <c r="K2392">
        <v>1.23087154745969E-2</v>
      </c>
      <c r="L2392" t="s">
        <v>26</v>
      </c>
      <c r="M2392" t="s">
        <v>27</v>
      </c>
      <c r="N2392">
        <v>203.964421667555</v>
      </c>
      <c r="O2392">
        <v>237.23249408264701</v>
      </c>
      <c r="P2392">
        <v>179.01336735623599</v>
      </c>
      <c r="Q2392">
        <v>220.48984821826701</v>
      </c>
      <c r="R2392">
        <v>255.23855856447099</v>
      </c>
      <c r="S2392">
        <v>235.96907546520299</v>
      </c>
      <c r="T2392">
        <v>192.48409805441301</v>
      </c>
      <c r="U2392">
        <v>173.44179641672801</v>
      </c>
      <c r="V2392">
        <v>173.61425523667799</v>
      </c>
      <c r="W2392">
        <v>176.51331971712301</v>
      </c>
    </row>
    <row r="2393" spans="1:23" x14ac:dyDescent="0.2">
      <c r="A2393" t="s">
        <v>4791</v>
      </c>
      <c r="B2393" s="3" t="str">
        <f>HYPERLINK("http://www.ncbi.nlm.nih.gov/gene/103537","Mbtd1")</f>
        <v>Mbtd1</v>
      </c>
      <c r="C2393">
        <v>103537</v>
      </c>
      <c r="D2393" t="s">
        <v>4792</v>
      </c>
      <c r="E2393" s="3" t="str">
        <f>HYPERLINK("http://genome.ucsc.edu/cgi-bin/hgTracks?db=mm10&amp;lastVirtModeType=default&amp;lastVirtModeExtraState=&amp;virtModeType=default&amp;virtMode=0&amp;nonVirtPosition=&amp;position=chr11:93886218-93946984","chr11:93886218-93946984")</f>
        <v>chr11:93886218-93946984</v>
      </c>
      <c r="F2393" t="s">
        <v>30</v>
      </c>
      <c r="G2393">
        <v>0.36682594480841602</v>
      </c>
      <c r="H2393">
        <v>0.11981624420621</v>
      </c>
      <c r="I2393">
        <v>3.0615710518941799</v>
      </c>
      <c r="J2393">
        <v>2.20178728947163E-3</v>
      </c>
      <c r="K2393">
        <v>1.23209918902276E-2</v>
      </c>
      <c r="L2393" t="s">
        <v>26</v>
      </c>
      <c r="M2393" t="s">
        <v>27</v>
      </c>
      <c r="N2393">
        <v>338.13721798106798</v>
      </c>
      <c r="O2393">
        <v>288.07968445135799</v>
      </c>
      <c r="P2393">
        <v>375.68036812834998</v>
      </c>
      <c r="Q2393">
        <v>272.82834754280498</v>
      </c>
      <c r="R2393">
        <v>279.89012811378802</v>
      </c>
      <c r="S2393">
        <v>311.520577697482</v>
      </c>
      <c r="T2393">
        <v>389.55115082440699</v>
      </c>
      <c r="U2393">
        <v>389.70872775116698</v>
      </c>
      <c r="V2393">
        <v>384.74684529145202</v>
      </c>
      <c r="W2393">
        <v>338.71474864637202</v>
      </c>
    </row>
    <row r="2394" spans="1:23" x14ac:dyDescent="0.2">
      <c r="A2394" t="s">
        <v>4793</v>
      </c>
      <c r="B2394" s="3" t="str">
        <f>HYPERLINK("http://www.ncbi.nlm.nih.gov/gene/319352","Pianp")</f>
        <v>Pianp</v>
      </c>
      <c r="C2394">
        <v>319352</v>
      </c>
      <c r="D2394" t="s">
        <v>4794</v>
      </c>
      <c r="E2394" s="3" t="str">
        <f>HYPERLINK("http://genome.ucsc.edu/cgi-bin/hgTracks?db=mm10&amp;lastVirtModeType=default&amp;lastVirtModeExtraState=&amp;virtModeType=default&amp;virtMode=0&amp;nonVirtPosition=&amp;position=chr6:124998609-125003097","chr6:124998609-125003097")</f>
        <v>chr6:124998609-125003097</v>
      </c>
      <c r="F2394" t="s">
        <v>30</v>
      </c>
      <c r="G2394">
        <v>0.59592492907177197</v>
      </c>
      <c r="H2394">
        <v>0.19466539480850301</v>
      </c>
      <c r="I2394">
        <v>3.0612781982025998</v>
      </c>
      <c r="J2394">
        <v>2.2039421401880001E-3</v>
      </c>
      <c r="K2394">
        <v>1.23238517985943E-2</v>
      </c>
      <c r="L2394" t="s">
        <v>26</v>
      </c>
      <c r="M2394" t="s">
        <v>27</v>
      </c>
      <c r="N2394">
        <v>94.973421753535206</v>
      </c>
      <c r="O2394">
        <v>71.306495463373295</v>
      </c>
      <c r="P2394">
        <v>112.723616471157</v>
      </c>
      <c r="Q2394">
        <v>87.416429722898798</v>
      </c>
      <c r="R2394">
        <v>61.8185513313652</v>
      </c>
      <c r="S2394">
        <v>64.684505335856002</v>
      </c>
      <c r="T2394">
        <v>123.739777320694</v>
      </c>
      <c r="U2394">
        <v>122.051634515476</v>
      </c>
      <c r="V2394">
        <v>103.727160967676</v>
      </c>
      <c r="W2394">
        <v>101.37589308078</v>
      </c>
    </row>
    <row r="2395" spans="1:23" x14ac:dyDescent="0.2">
      <c r="A2395" t="s">
        <v>4795</v>
      </c>
      <c r="B2395" s="3" t="str">
        <f>HYPERLINK("http://www.ncbi.nlm.nih.gov/gene/67080","1700019D03Rik")</f>
        <v>1700019D03Rik</v>
      </c>
      <c r="C2395">
        <v>67080</v>
      </c>
      <c r="D2395" t="s">
        <v>4796</v>
      </c>
      <c r="E2395" s="3" t="str">
        <f>HYPERLINK("http://genome.ucsc.edu/cgi-bin/hgTracks?db=mm10&amp;lastVirtModeType=default&amp;lastVirtModeExtraState=&amp;virtModeType=default&amp;virtMode=0&amp;nonVirtPosition=&amp;position=chr1:52925126-52952840","chr1:52925126-52952840")</f>
        <v>chr1:52925126-52952840</v>
      </c>
      <c r="F2395" t="s">
        <v>25</v>
      </c>
      <c r="G2395">
        <v>-0.83631221215717899</v>
      </c>
      <c r="H2395">
        <v>0.27319291572418303</v>
      </c>
      <c r="I2395">
        <v>-3.0612514601276302</v>
      </c>
      <c r="J2395">
        <v>2.2041389782416002E-3</v>
      </c>
      <c r="K2395">
        <v>1.23238517985943E-2</v>
      </c>
      <c r="L2395" t="s">
        <v>26</v>
      </c>
      <c r="M2395" t="s">
        <v>27</v>
      </c>
      <c r="N2395">
        <v>38.468196585570197</v>
      </c>
      <c r="O2395">
        <v>53.979402903654801</v>
      </c>
      <c r="P2395">
        <v>26.834791847006599</v>
      </c>
      <c r="Q2395">
        <v>64.031142790658393</v>
      </c>
      <c r="R2395">
        <v>56.508982505358297</v>
      </c>
      <c r="S2395">
        <v>41.398083414947799</v>
      </c>
      <c r="T2395">
        <v>27.497728293487601</v>
      </c>
      <c r="U2395">
        <v>21.412567458855399</v>
      </c>
      <c r="V2395">
        <v>34.575720322558801</v>
      </c>
      <c r="W2395">
        <v>23.853151313124801</v>
      </c>
    </row>
    <row r="2396" spans="1:23" x14ac:dyDescent="0.2">
      <c r="A2396" t="s">
        <v>4797</v>
      </c>
      <c r="B2396" s="3" t="str">
        <f>HYPERLINK("http://www.ncbi.nlm.nih.gov/gene/12340","Capza1")</f>
        <v>Capza1</v>
      </c>
      <c r="C2396">
        <v>12340</v>
      </c>
      <c r="D2396" t="s">
        <v>4798</v>
      </c>
      <c r="E2396" s="3" t="str">
        <f>HYPERLINK("http://genome.ucsc.edu/cgi-bin/hgTracks?db=mm10&amp;lastVirtModeType=default&amp;lastVirtModeExtraState=&amp;virtModeType=default&amp;virtMode=0&amp;nonVirtPosition=&amp;position=chr3:104822784-104864505","chr3:104822784-104864505")</f>
        <v>chr3:104822784-104864505</v>
      </c>
      <c r="F2396" t="s">
        <v>25</v>
      </c>
      <c r="G2396">
        <v>-0.486451966282408</v>
      </c>
      <c r="H2396">
        <v>0.158913566254126</v>
      </c>
      <c r="I2396">
        <v>-3.0611103743307999</v>
      </c>
      <c r="J2396">
        <v>2.2051778783275301E-3</v>
      </c>
      <c r="K2396">
        <v>1.2324514594609299E-2</v>
      </c>
      <c r="L2396" t="s">
        <v>26</v>
      </c>
      <c r="M2396" t="s">
        <v>27</v>
      </c>
      <c r="N2396">
        <v>114.892723663892</v>
      </c>
      <c r="O2396">
        <v>138.94574615124299</v>
      </c>
      <c r="P2396">
        <v>96.852956798379296</v>
      </c>
      <c r="Q2396">
        <v>144.20926941548299</v>
      </c>
      <c r="R2396">
        <v>136.53176981160399</v>
      </c>
      <c r="S2396">
        <v>136.096199226641</v>
      </c>
      <c r="T2396">
        <v>91.659094311625296</v>
      </c>
      <c r="U2396">
        <v>96.356553564849094</v>
      </c>
      <c r="V2396">
        <v>95.634971104949898</v>
      </c>
      <c r="W2396">
        <v>103.761208212093</v>
      </c>
    </row>
    <row r="2397" spans="1:23" x14ac:dyDescent="0.2">
      <c r="A2397" t="s">
        <v>4799</v>
      </c>
      <c r="B2397" s="3" t="str">
        <f>HYPERLINK("http://www.ncbi.nlm.nih.gov/gene/71804","Mtfr2")</f>
        <v>Mtfr2</v>
      </c>
      <c r="C2397">
        <v>71804</v>
      </c>
      <c r="D2397" t="s">
        <v>4800</v>
      </c>
      <c r="E2397" s="3" t="str">
        <f>HYPERLINK("http://genome.ucsc.edu/cgi-bin/hgTracks?db=mm10&amp;lastVirtModeType=default&amp;lastVirtModeExtraState=&amp;virtModeType=default&amp;virtMode=0&amp;nonVirtPosition=&amp;position=chr10:20347818-20361669","chr10:20347818-20361669")</f>
        <v>chr10:20347818-20361669</v>
      </c>
      <c r="F2397" t="s">
        <v>30</v>
      </c>
      <c r="G2397">
        <v>1.03360343583326</v>
      </c>
      <c r="H2397">
        <v>0.337722523554223</v>
      </c>
      <c r="I2397">
        <v>3.0605108150783802</v>
      </c>
      <c r="J2397">
        <v>2.2095978037816101E-3</v>
      </c>
      <c r="K2397">
        <v>1.2344065160800799E-2</v>
      </c>
      <c r="L2397" t="s">
        <v>26</v>
      </c>
      <c r="M2397" t="s">
        <v>27</v>
      </c>
      <c r="N2397">
        <v>26.401489832916599</v>
      </c>
      <c r="O2397">
        <v>13.6516987446884</v>
      </c>
      <c r="P2397">
        <v>35.963833149087698</v>
      </c>
      <c r="Q2397">
        <v>5.5679254600572499</v>
      </c>
      <c r="R2397">
        <v>13.653176981160399</v>
      </c>
      <c r="S2397">
        <v>21.733993792847599</v>
      </c>
      <c r="T2397">
        <v>45.829547155812598</v>
      </c>
      <c r="U2397">
        <v>29.9775944423975</v>
      </c>
      <c r="V2397">
        <v>28.690491331484999</v>
      </c>
      <c r="W2397">
        <v>39.357699666655897</v>
      </c>
    </row>
    <row r="2398" spans="1:23" x14ac:dyDescent="0.2">
      <c r="A2398" t="s">
        <v>4801</v>
      </c>
      <c r="B2398" s="3" t="str">
        <f>HYPERLINK("http://www.ncbi.nlm.nih.gov/gene/56215","Acin1")</f>
        <v>Acin1</v>
      </c>
      <c r="C2398">
        <v>56215</v>
      </c>
      <c r="D2398" t="s">
        <v>4802</v>
      </c>
      <c r="E2398" s="3" t="str">
        <f>HYPERLINK("http://genome.ucsc.edu/cgi-bin/hgTracks?db=mm10&amp;lastVirtModeType=default&amp;lastVirtModeExtraState=&amp;virtModeType=default&amp;virtMode=0&amp;nonVirtPosition=&amp;position=chr14:54642160-54653685","chr14:54642160-54653685")</f>
        <v>chr14:54642160-54653685</v>
      </c>
      <c r="F2398" t="s">
        <v>25</v>
      </c>
      <c r="G2398">
        <v>0.37494887013270001</v>
      </c>
      <c r="H2398">
        <v>0.122554182111063</v>
      </c>
      <c r="I2398">
        <v>3.05945389764755</v>
      </c>
      <c r="J2398">
        <v>2.2174091310355002E-3</v>
      </c>
      <c r="K2398">
        <v>1.23798326879148E-2</v>
      </c>
      <c r="L2398" t="s">
        <v>26</v>
      </c>
      <c r="M2398" t="s">
        <v>27</v>
      </c>
      <c r="N2398">
        <v>849.61227874937595</v>
      </c>
      <c r="O2398">
        <v>724.72373114107995</v>
      </c>
      <c r="P2398">
        <v>943.27868945559806</v>
      </c>
      <c r="Q2398">
        <v>801.22447370223801</v>
      </c>
      <c r="R2398">
        <v>667.10939749614295</v>
      </c>
      <c r="S2398">
        <v>705.83732222486003</v>
      </c>
      <c r="T2398">
        <v>930.33980726299603</v>
      </c>
      <c r="U2398">
        <v>858.64395510010002</v>
      </c>
      <c r="V2398">
        <v>910.739186368677</v>
      </c>
      <c r="W2398">
        <v>1073.39180909062</v>
      </c>
    </row>
    <row r="2399" spans="1:23" x14ac:dyDescent="0.2">
      <c r="A2399" t="s">
        <v>4803</v>
      </c>
      <c r="B2399" s="3" t="str">
        <f>HYPERLINK("http://www.ncbi.nlm.nih.gov/gene/208650","Cblb")</f>
        <v>Cblb</v>
      </c>
      <c r="C2399">
        <v>208650</v>
      </c>
      <c r="D2399" t="s">
        <v>4804</v>
      </c>
      <c r="E2399" s="3" t="str">
        <f>HYPERLINK("http://genome.ucsc.edu/cgi-bin/hgTracks?db=mm10&amp;lastVirtModeType=default&amp;lastVirtModeExtraState=&amp;virtModeType=default&amp;virtMode=0&amp;nonVirtPosition=&amp;position=chr16:52031548-52208046","chr16:52031548-52208046")</f>
        <v>chr16:52031548-52208046</v>
      </c>
      <c r="F2399" t="s">
        <v>30</v>
      </c>
      <c r="G2399">
        <v>0.45416089376883301</v>
      </c>
      <c r="H2399">
        <v>0.148447969153822</v>
      </c>
      <c r="I2399">
        <v>3.0593944555632802</v>
      </c>
      <c r="J2399">
        <v>2.2178491985891699E-3</v>
      </c>
      <c r="K2399">
        <v>1.23798326879148E-2</v>
      </c>
      <c r="L2399" t="s">
        <v>26</v>
      </c>
      <c r="M2399" t="s">
        <v>27</v>
      </c>
      <c r="N2399">
        <v>144.80760202915101</v>
      </c>
      <c r="O2399">
        <v>119.26708599552801</v>
      </c>
      <c r="P2399">
        <v>163.962989054367</v>
      </c>
      <c r="Q2399">
        <v>125.278322851288</v>
      </c>
      <c r="R2399">
        <v>108.84616093314</v>
      </c>
      <c r="S2399">
        <v>123.67677420215701</v>
      </c>
      <c r="T2399">
        <v>164.98636976092499</v>
      </c>
      <c r="U2399">
        <v>152.02922895787299</v>
      </c>
      <c r="V2399">
        <v>170.671640741141</v>
      </c>
      <c r="W2399">
        <v>168.16471675752999</v>
      </c>
    </row>
    <row r="2400" spans="1:23" x14ac:dyDescent="0.2">
      <c r="A2400" t="s">
        <v>4805</v>
      </c>
      <c r="B2400" s="3" t="str">
        <f>HYPERLINK("http://www.ncbi.nlm.nih.gov/gene/74143","Opa1")</f>
        <v>Opa1</v>
      </c>
      <c r="C2400">
        <v>74143</v>
      </c>
      <c r="D2400" t="s">
        <v>4806</v>
      </c>
      <c r="E2400" s="3" t="str">
        <f>HYPERLINK("http://genome.ucsc.edu/cgi-bin/hgTracks?db=mm10&amp;lastVirtModeType=default&amp;lastVirtModeExtraState=&amp;virtModeType=default&amp;virtMode=0&amp;nonVirtPosition=&amp;position=chr16:29579333-29654602","chr16:29579333-29654602")</f>
        <v>chr16:29579333-29654602</v>
      </c>
      <c r="F2400" t="s">
        <v>30</v>
      </c>
      <c r="G2400">
        <v>-0.339626121066467</v>
      </c>
      <c r="H2400">
        <v>0.111028280806328</v>
      </c>
      <c r="I2400">
        <v>-3.0589154276728299</v>
      </c>
      <c r="J2400">
        <v>2.2213985080660002E-3</v>
      </c>
      <c r="K2400">
        <v>1.23944780922966E-2</v>
      </c>
      <c r="L2400" t="s">
        <v>26</v>
      </c>
      <c r="M2400" t="s">
        <v>27</v>
      </c>
      <c r="N2400">
        <v>610.83766331118795</v>
      </c>
      <c r="O2400">
        <v>694.58154824158703</v>
      </c>
      <c r="P2400">
        <v>548.02974961338896</v>
      </c>
      <c r="Q2400">
        <v>630.84595462448601</v>
      </c>
      <c r="R2400">
        <v>750.16622413153596</v>
      </c>
      <c r="S2400">
        <v>702.73246596873901</v>
      </c>
      <c r="T2400">
        <v>545.37161115416995</v>
      </c>
      <c r="U2400">
        <v>580.28057813498003</v>
      </c>
      <c r="V2400">
        <v>533.34887731606705</v>
      </c>
      <c r="W2400">
        <v>533.11793184833903</v>
      </c>
    </row>
    <row r="2401" spans="1:23" x14ac:dyDescent="0.2">
      <c r="A2401" t="s">
        <v>4807</v>
      </c>
      <c r="B2401" s="3" t="str">
        <f>HYPERLINK("http://www.ncbi.nlm.nih.gov/gene/225187","Ankrd29")</f>
        <v>Ankrd29</v>
      </c>
      <c r="C2401">
        <v>225187</v>
      </c>
      <c r="D2401" t="s">
        <v>4808</v>
      </c>
      <c r="E2401" s="3" t="str">
        <f>HYPERLINK("http://genome.ucsc.edu/cgi-bin/hgTracks?db=mm10&amp;lastVirtModeType=default&amp;lastVirtModeExtraState=&amp;virtModeType=default&amp;virtMode=0&amp;nonVirtPosition=&amp;position=chr18:12252356-12305720","chr18:12252356-12305720")</f>
        <v>chr18:12252356-12305720</v>
      </c>
      <c r="F2401" t="s">
        <v>25</v>
      </c>
      <c r="G2401">
        <v>-0.843137840513277</v>
      </c>
      <c r="H2401">
        <v>0.27566090775260499</v>
      </c>
      <c r="I2401">
        <v>-3.0586050353935601</v>
      </c>
      <c r="J2401">
        <v>2.22370110714299E-3</v>
      </c>
      <c r="K2401">
        <v>1.2401236428272899E-2</v>
      </c>
      <c r="L2401" t="s">
        <v>26</v>
      </c>
      <c r="M2401" t="s">
        <v>27</v>
      </c>
      <c r="N2401">
        <v>40.516628725912597</v>
      </c>
      <c r="O2401">
        <v>58.328170597000202</v>
      </c>
      <c r="P2401">
        <v>27.157972322596901</v>
      </c>
      <c r="Q2401">
        <v>69.042275704709894</v>
      </c>
      <c r="R2401">
        <v>61.439296415221797</v>
      </c>
      <c r="S2401">
        <v>44.502939671068901</v>
      </c>
      <c r="T2401">
        <v>9.1659094311625307</v>
      </c>
      <c r="U2401">
        <v>34.260107934168602</v>
      </c>
      <c r="V2401">
        <v>29.4261449553692</v>
      </c>
      <c r="W2401">
        <v>35.779726969687196</v>
      </c>
    </row>
    <row r="2402" spans="1:23" x14ac:dyDescent="0.2">
      <c r="A2402" t="s">
        <v>4809</v>
      </c>
      <c r="B2402" s="3" t="str">
        <f>HYPERLINK("http://www.ncbi.nlm.nih.gov/gene/22385","Baz1b")</f>
        <v>Baz1b</v>
      </c>
      <c r="C2402">
        <v>22385</v>
      </c>
      <c r="D2402" t="s">
        <v>4810</v>
      </c>
      <c r="E2402" s="3" t="str">
        <f>HYPERLINK("http://genome.ucsc.edu/cgi-bin/hgTracks?db=mm10&amp;lastVirtModeType=default&amp;lastVirtModeExtraState=&amp;virtModeType=default&amp;virtMode=0&amp;nonVirtPosition=&amp;position=chr5:135187322-135246129","chr5:135187322-135246129")</f>
        <v>chr5:135187322-135246129</v>
      </c>
      <c r="F2402" t="s">
        <v>30</v>
      </c>
      <c r="G2402">
        <v>0.37182219410577699</v>
      </c>
      <c r="H2402">
        <v>0.12157001323786</v>
      </c>
      <c r="I2402">
        <v>3.0585025386012101</v>
      </c>
      <c r="J2402">
        <v>2.2244619446427898E-3</v>
      </c>
      <c r="K2402">
        <v>1.2401236428272899E-2</v>
      </c>
      <c r="L2402" t="s">
        <v>26</v>
      </c>
      <c r="M2402" t="s">
        <v>27</v>
      </c>
      <c r="N2402">
        <v>1305.7606078131801</v>
      </c>
      <c r="O2402">
        <v>1109.7806541023399</v>
      </c>
      <c r="P2402">
        <v>1452.74557309631</v>
      </c>
      <c r="Q2402">
        <v>1019.48715173648</v>
      </c>
      <c r="R2402">
        <v>1126.38710094573</v>
      </c>
      <c r="S2402">
        <v>1183.4677096248199</v>
      </c>
      <c r="T2402">
        <v>1636.11483346251</v>
      </c>
      <c r="U2402">
        <v>1366.1218038749701</v>
      </c>
      <c r="V2402">
        <v>1278.5659983107901</v>
      </c>
      <c r="W2402">
        <v>1530.1796567369599</v>
      </c>
    </row>
    <row r="2403" spans="1:23" x14ac:dyDescent="0.2">
      <c r="A2403" t="s">
        <v>4811</v>
      </c>
      <c r="B2403" s="3" t="str">
        <f>HYPERLINK("http://www.ncbi.nlm.nih.gov/gene/329152","Hecw2")</f>
        <v>Hecw2</v>
      </c>
      <c r="C2403">
        <v>329152</v>
      </c>
      <c r="D2403" t="s">
        <v>4812</v>
      </c>
      <c r="E2403" s="3" t="str">
        <f>HYPERLINK("http://genome.ucsc.edu/cgi-bin/hgTracks?db=mm10&amp;lastVirtModeType=default&amp;lastVirtModeExtraState=&amp;virtModeType=default&amp;virtMode=0&amp;nonVirtPosition=&amp;position=chr1:53806873-54195034","chr1:53806873-54195034")</f>
        <v>chr1:53806873-54195034</v>
      </c>
      <c r="F2403" t="s">
        <v>25</v>
      </c>
      <c r="G2403">
        <v>-0.406599818983993</v>
      </c>
      <c r="H2403">
        <v>0.13294909443886199</v>
      </c>
      <c r="I2403">
        <v>-3.05831206071865</v>
      </c>
      <c r="J2403">
        <v>2.2258765026790298E-3</v>
      </c>
      <c r="K2403">
        <v>1.24039584882959E-2</v>
      </c>
      <c r="L2403" t="s">
        <v>26</v>
      </c>
      <c r="M2403" t="s">
        <v>27</v>
      </c>
      <c r="N2403">
        <v>332.05042070474502</v>
      </c>
      <c r="O2403">
        <v>388.04165367195702</v>
      </c>
      <c r="P2403">
        <v>290.05699597933602</v>
      </c>
      <c r="Q2403">
        <v>409.799313860214</v>
      </c>
      <c r="R2403">
        <v>372.42832765276398</v>
      </c>
      <c r="S2403">
        <v>381.89731950289399</v>
      </c>
      <c r="T2403">
        <v>297.89205651278201</v>
      </c>
      <c r="U2403">
        <v>291.21091744043298</v>
      </c>
      <c r="V2403">
        <v>326.63020900459799</v>
      </c>
      <c r="W2403">
        <v>244.49480095952899</v>
      </c>
    </row>
    <row r="2404" spans="1:23" x14ac:dyDescent="0.2">
      <c r="A2404" t="s">
        <v>4813</v>
      </c>
      <c r="B2404" s="3" t="str">
        <f>HYPERLINK("http://www.ncbi.nlm.nih.gov/gene/15944","Irgm1")</f>
        <v>Irgm1</v>
      </c>
      <c r="C2404">
        <v>15944</v>
      </c>
      <c r="D2404" t="s">
        <v>4814</v>
      </c>
      <c r="E2404" s="3" t="str">
        <f>HYPERLINK("http://genome.ucsc.edu/cgi-bin/hgTracks?db=mm10&amp;lastVirtModeType=default&amp;lastVirtModeExtraState=&amp;virtModeType=default&amp;virtMode=0&amp;nonVirtPosition=&amp;position=chr11:48865248-48871346","chr11:48865248-48871346")</f>
        <v>chr11:48865248-48871346</v>
      </c>
      <c r="F2404" t="s">
        <v>25</v>
      </c>
      <c r="G2404">
        <v>1.0373594157091901</v>
      </c>
      <c r="H2404">
        <v>0.33928736809209897</v>
      </c>
      <c r="I2404">
        <v>3.0574654799043399</v>
      </c>
      <c r="J2404">
        <v>2.2321734986943298E-3</v>
      </c>
      <c r="K2404">
        <v>1.24338749255474E-2</v>
      </c>
      <c r="L2404" t="s">
        <v>26</v>
      </c>
      <c r="M2404" t="s">
        <v>27</v>
      </c>
      <c r="N2404">
        <v>1058.75194333171</v>
      </c>
      <c r="O2404">
        <v>557.38986391740798</v>
      </c>
      <c r="P2404">
        <v>1434.7735028924401</v>
      </c>
      <c r="Q2404">
        <v>614.69897079032</v>
      </c>
      <c r="R2404">
        <v>359.91291542003398</v>
      </c>
      <c r="S2404">
        <v>697.55770554187097</v>
      </c>
      <c r="T2404">
        <v>2163.15462575436</v>
      </c>
      <c r="U2404">
        <v>704.47346939634099</v>
      </c>
      <c r="V2404">
        <v>1304.31387514674</v>
      </c>
      <c r="W2404">
        <v>1567.1520412723</v>
      </c>
    </row>
    <row r="2405" spans="1:23" x14ac:dyDescent="0.2">
      <c r="A2405" t="s">
        <v>4815</v>
      </c>
      <c r="B2405" s="3" t="str">
        <f>HYPERLINK("http://www.ncbi.nlm.nih.gov/gene/83962","Btbd1")</f>
        <v>Btbd1</v>
      </c>
      <c r="C2405">
        <v>83962</v>
      </c>
      <c r="D2405" t="s">
        <v>4816</v>
      </c>
      <c r="E2405" s="3" t="str">
        <f>HYPERLINK("http://genome.ucsc.edu/cgi-bin/hgTracks?db=mm10&amp;lastVirtModeType=default&amp;lastVirtModeExtraState=&amp;virtModeType=default&amp;virtMode=0&amp;nonVirtPosition=&amp;position=chr7:81792073-81829431","chr7:81792073-81829431")</f>
        <v>chr7:81792073-81829431</v>
      </c>
      <c r="F2405" t="s">
        <v>25</v>
      </c>
      <c r="G2405">
        <v>-0.48041378027068699</v>
      </c>
      <c r="H2405">
        <v>0.15714764801453401</v>
      </c>
      <c r="I2405">
        <v>-3.0570853992434901</v>
      </c>
      <c r="J2405">
        <v>2.2350059021716E-3</v>
      </c>
      <c r="K2405">
        <v>1.24444756906361E-2</v>
      </c>
      <c r="L2405" t="s">
        <v>26</v>
      </c>
      <c r="M2405" t="s">
        <v>27</v>
      </c>
      <c r="N2405">
        <v>272.24973191647098</v>
      </c>
      <c r="O2405">
        <v>325.17432100568197</v>
      </c>
      <c r="P2405">
        <v>232.55629009956201</v>
      </c>
      <c r="Q2405">
        <v>356.90402198967001</v>
      </c>
      <c r="R2405">
        <v>355.74111134245697</v>
      </c>
      <c r="S2405">
        <v>262.87782968491899</v>
      </c>
      <c r="T2405">
        <v>265.81137350371301</v>
      </c>
      <c r="U2405">
        <v>214.12567458855401</v>
      </c>
      <c r="V2405">
        <v>242.76569588179601</v>
      </c>
      <c r="W2405">
        <v>207.52241642418599</v>
      </c>
    </row>
    <row r="2406" spans="1:23" x14ac:dyDescent="0.2">
      <c r="A2406" t="s">
        <v>4817</v>
      </c>
      <c r="B2406" s="3" t="str">
        <f>HYPERLINK("http://www.ncbi.nlm.nih.gov/gene/544817","Arhgap27")</f>
        <v>Arhgap27</v>
      </c>
      <c r="C2406">
        <v>544817</v>
      </c>
      <c r="D2406" t="s">
        <v>4818</v>
      </c>
      <c r="E2406" s="3" t="str">
        <f>HYPERLINK("http://genome.ucsc.edu/cgi-bin/hgTracks?db=mm10&amp;lastVirtModeType=default&amp;lastVirtModeExtraState=&amp;virtModeType=default&amp;virtMode=0&amp;nonVirtPosition=&amp;position=chr11:103359372-103363692","chr11:103359372-103363692")</f>
        <v>chr11:103359372-103363692</v>
      </c>
      <c r="F2406" t="s">
        <v>25</v>
      </c>
      <c r="G2406">
        <v>0.82570784792377305</v>
      </c>
      <c r="H2406">
        <v>0.270135486055056</v>
      </c>
      <c r="I2406">
        <v>3.0566433902559802</v>
      </c>
      <c r="J2406">
        <v>2.2383039441976902E-3</v>
      </c>
      <c r="K2406">
        <v>1.2457659233895E-2</v>
      </c>
      <c r="L2406" t="s">
        <v>26</v>
      </c>
      <c r="M2406" t="s">
        <v>27</v>
      </c>
      <c r="N2406">
        <v>68.596249318097094</v>
      </c>
      <c r="O2406">
        <v>44.047394595245599</v>
      </c>
      <c r="P2406">
        <v>87.007890360235706</v>
      </c>
      <c r="Q2406">
        <v>60.690387514624</v>
      </c>
      <c r="R2406">
        <v>48.1653743502048</v>
      </c>
      <c r="S2406">
        <v>23.286421920908101</v>
      </c>
      <c r="T2406">
        <v>105.407958458369</v>
      </c>
      <c r="U2406">
        <v>85.650269835421398</v>
      </c>
      <c r="V2406">
        <v>79.450591379496899</v>
      </c>
      <c r="W2406">
        <v>77.522741767655603</v>
      </c>
    </row>
    <row r="2407" spans="1:23" x14ac:dyDescent="0.2">
      <c r="A2407" t="s">
        <v>4819</v>
      </c>
      <c r="B2407" s="3" t="str">
        <f>HYPERLINK("http://www.ncbi.nlm.nih.gov/gene/21982","Tmem165")</f>
        <v>Tmem165</v>
      </c>
      <c r="C2407">
        <v>21982</v>
      </c>
      <c r="D2407" t="s">
        <v>4820</v>
      </c>
      <c r="E2407" s="3" t="str">
        <f>HYPERLINK("http://genome.ucsc.edu/cgi-bin/hgTracks?db=mm10&amp;lastVirtModeType=default&amp;lastVirtModeExtraState=&amp;virtModeType=default&amp;virtMode=0&amp;nonVirtPosition=&amp;position=chr5:76183879-76209244","chr5:76183879-76209244")</f>
        <v>chr5:76183879-76209244</v>
      </c>
      <c r="F2407" t="s">
        <v>30</v>
      </c>
      <c r="G2407">
        <v>-0.45173440187111702</v>
      </c>
      <c r="H2407">
        <v>0.14781244187138501</v>
      </c>
      <c r="I2407">
        <v>-3.0561324618680099</v>
      </c>
      <c r="J2407">
        <v>2.2421217833674899E-3</v>
      </c>
      <c r="K2407">
        <v>1.24737236398313E-2</v>
      </c>
      <c r="L2407" t="s">
        <v>26</v>
      </c>
      <c r="M2407" t="s">
        <v>27</v>
      </c>
      <c r="N2407">
        <v>225.28923980458799</v>
      </c>
      <c r="O2407">
        <v>269.10474506627099</v>
      </c>
      <c r="P2407">
        <v>192.42761085832601</v>
      </c>
      <c r="Q2407">
        <v>280.62344318688503</v>
      </c>
      <c r="R2407">
        <v>281.407147778362</v>
      </c>
      <c r="S2407">
        <v>245.28364423356601</v>
      </c>
      <c r="T2407">
        <v>160.40341504534399</v>
      </c>
      <c r="U2407">
        <v>235.538242047409</v>
      </c>
      <c r="V2407">
        <v>200.833439320395</v>
      </c>
      <c r="W2407">
        <v>172.93534702015501</v>
      </c>
    </row>
    <row r="2408" spans="1:23" x14ac:dyDescent="0.2">
      <c r="A2408" t="s">
        <v>4821</v>
      </c>
      <c r="B2408" s="3" t="str">
        <f>HYPERLINK("http://www.ncbi.nlm.nih.gov/gene/30944","Zfp354c")</f>
        <v>Zfp354c</v>
      </c>
      <c r="C2408">
        <v>30944</v>
      </c>
      <c r="D2408" t="s">
        <v>4822</v>
      </c>
      <c r="E2408" s="3" t="str">
        <f>HYPERLINK("http://genome.ucsc.edu/cgi-bin/hgTracks?db=mm10&amp;lastVirtModeType=default&amp;lastVirtModeExtraState=&amp;virtModeType=default&amp;virtMode=0&amp;nonVirtPosition=&amp;position=chr11:50811084-50827731","chr11:50811084-50827731")</f>
        <v>chr11:50811084-50827731</v>
      </c>
      <c r="F2408" t="s">
        <v>25</v>
      </c>
      <c r="G2408">
        <v>-0.40284847467818002</v>
      </c>
      <c r="H2408">
        <v>0.13183131734457801</v>
      </c>
      <c r="I2408">
        <v>-3.05578737126037</v>
      </c>
      <c r="J2408">
        <v>2.2447037986113201E-3</v>
      </c>
      <c r="K2408">
        <v>1.24829022289054E-2</v>
      </c>
      <c r="L2408" t="s">
        <v>26</v>
      </c>
      <c r="M2408" t="s">
        <v>27</v>
      </c>
      <c r="N2408">
        <v>394.02608229939602</v>
      </c>
      <c r="O2408">
        <v>458.77205469281898</v>
      </c>
      <c r="P2408">
        <v>345.46660300432899</v>
      </c>
      <c r="Q2408">
        <v>517.26027523931896</v>
      </c>
      <c r="R2408">
        <v>441.45272239085301</v>
      </c>
      <c r="S2408">
        <v>417.603166448286</v>
      </c>
      <c r="T2408">
        <v>380.385241393245</v>
      </c>
      <c r="U2408">
        <v>301.91720116986102</v>
      </c>
      <c r="V2408">
        <v>365.619851070462</v>
      </c>
      <c r="W2408">
        <v>333.94411838374702</v>
      </c>
    </row>
    <row r="2409" spans="1:23" x14ac:dyDescent="0.2">
      <c r="A2409" t="s">
        <v>4823</v>
      </c>
      <c r="B2409" s="3" t="str">
        <f>HYPERLINK("http://www.ncbi.nlm.nih.gov/gene/211961","Asxl3")</f>
        <v>Asxl3</v>
      </c>
      <c r="C2409">
        <v>211961</v>
      </c>
      <c r="D2409" t="s">
        <v>4824</v>
      </c>
      <c r="E2409" s="3" t="str">
        <f>HYPERLINK("http://genome.ucsc.edu/cgi-bin/hgTracks?db=mm10&amp;lastVirtModeType=default&amp;lastVirtModeExtraState=&amp;virtModeType=default&amp;virtMode=0&amp;nonVirtPosition=&amp;position=chr18:22345088-22530227","chr18:22345088-22530227")</f>
        <v>chr18:22345088-22530227</v>
      </c>
      <c r="F2409" t="s">
        <v>30</v>
      </c>
      <c r="G2409">
        <v>0.68309271194713295</v>
      </c>
      <c r="H2409">
        <v>0.22358331146729199</v>
      </c>
      <c r="I2409">
        <v>3.05520437757297</v>
      </c>
      <c r="J2409">
        <v>2.2490720273527901E-3</v>
      </c>
      <c r="K2409">
        <v>1.25020022906937E-2</v>
      </c>
      <c r="L2409" t="s">
        <v>26</v>
      </c>
      <c r="M2409" t="s">
        <v>27</v>
      </c>
      <c r="N2409">
        <v>144.96133848495401</v>
      </c>
      <c r="O2409">
        <v>103.018416621721</v>
      </c>
      <c r="P2409">
        <v>176.41852988237801</v>
      </c>
      <c r="Q2409">
        <v>83.518881900858702</v>
      </c>
      <c r="R2409">
        <v>81.160552054675705</v>
      </c>
      <c r="S2409">
        <v>144.37581590963001</v>
      </c>
      <c r="T2409">
        <v>210.81591691673799</v>
      </c>
      <c r="U2409">
        <v>196.99562062146899</v>
      </c>
      <c r="V2409">
        <v>146.395071152962</v>
      </c>
      <c r="W2409">
        <v>151.46751083834201</v>
      </c>
    </row>
    <row r="2410" spans="1:23" x14ac:dyDescent="0.2">
      <c r="A2410" t="s">
        <v>4825</v>
      </c>
      <c r="B2410" s="3" t="str">
        <f>HYPERLINK("http://www.ncbi.nlm.nih.gov/gene/14339","Aktip")</f>
        <v>Aktip</v>
      </c>
      <c r="C2410">
        <v>14339</v>
      </c>
      <c r="D2410" t="s">
        <v>4826</v>
      </c>
      <c r="E2410" s="3" t="str">
        <f>HYPERLINK("http://genome.ucsc.edu/cgi-bin/hgTracks?db=mm10&amp;lastVirtModeType=default&amp;lastVirtModeExtraState=&amp;virtModeType=default&amp;virtMode=0&amp;nonVirtPosition=&amp;position=chr8:91123498-91135494","chr8:91123498-91135494")</f>
        <v>chr8:91123498-91135494</v>
      </c>
      <c r="F2410" t="s">
        <v>25</v>
      </c>
      <c r="G2410">
        <v>-0.59797688344198596</v>
      </c>
      <c r="H2410">
        <v>0.195762113234175</v>
      </c>
      <c r="I2410">
        <v>-3.0546098709440899</v>
      </c>
      <c r="J2410">
        <v>2.25353453949279E-3</v>
      </c>
      <c r="K2410">
        <v>1.2521610381057299E-2</v>
      </c>
      <c r="L2410" t="s">
        <v>26</v>
      </c>
      <c r="M2410" t="s">
        <v>27</v>
      </c>
      <c r="N2410">
        <v>245.029765517442</v>
      </c>
      <c r="O2410">
        <v>307.05658641084199</v>
      </c>
      <c r="P2410">
        <v>198.50964984739201</v>
      </c>
      <c r="Q2410">
        <v>406.458558584179</v>
      </c>
      <c r="R2410">
        <v>295.81883459180898</v>
      </c>
      <c r="S2410">
        <v>218.89236605653701</v>
      </c>
      <c r="T2410">
        <v>219.98182634790101</v>
      </c>
      <c r="U2410">
        <v>184.14808014615599</v>
      </c>
      <c r="V2410">
        <v>197.89082482485799</v>
      </c>
      <c r="W2410">
        <v>192.017868070655</v>
      </c>
    </row>
    <row r="2411" spans="1:23" x14ac:dyDescent="0.2">
      <c r="A2411" t="s">
        <v>4827</v>
      </c>
      <c r="B2411" s="3" t="str">
        <f>HYPERLINK("http://www.ncbi.nlm.nih.gov/gene/226043","Cbwd1")</f>
        <v>Cbwd1</v>
      </c>
      <c r="C2411">
        <v>226043</v>
      </c>
      <c r="D2411" t="s">
        <v>4828</v>
      </c>
      <c r="E2411" s="3" t="str">
        <f>HYPERLINK("http://genome.ucsc.edu/cgi-bin/hgTracks?db=mm10&amp;lastVirtModeType=default&amp;lastVirtModeExtraState=&amp;virtModeType=default&amp;virtMode=0&amp;nonVirtPosition=&amp;position=chr19:24919915-24961616","chr19:24919915-24961616")</f>
        <v>chr19:24919915-24961616</v>
      </c>
      <c r="F2411" t="s">
        <v>25</v>
      </c>
      <c r="G2411">
        <v>-0.72252444632891899</v>
      </c>
      <c r="H2411">
        <v>0.23661594164424599</v>
      </c>
      <c r="I2411">
        <v>-3.0535746717152299</v>
      </c>
      <c r="J2411">
        <v>2.2613243645098501E-3</v>
      </c>
      <c r="K2411">
        <v>1.25596825239118E-2</v>
      </c>
      <c r="L2411" t="s">
        <v>26</v>
      </c>
      <c r="M2411" t="s">
        <v>27</v>
      </c>
      <c r="N2411">
        <v>49.225276782903101</v>
      </c>
      <c r="O2411">
        <v>65.647570613808</v>
      </c>
      <c r="P2411">
        <v>36.908556409724497</v>
      </c>
      <c r="Q2411">
        <v>64.031142790658393</v>
      </c>
      <c r="R2411">
        <v>75.471728312525599</v>
      </c>
      <c r="S2411">
        <v>57.4398407382401</v>
      </c>
      <c r="T2411">
        <v>32.0806830090688</v>
      </c>
      <c r="U2411">
        <v>40.683878171825199</v>
      </c>
      <c r="V2411">
        <v>42.6679101852854</v>
      </c>
      <c r="W2411">
        <v>32.201754272718503</v>
      </c>
    </row>
    <row r="2412" spans="1:23" x14ac:dyDescent="0.2">
      <c r="A2412" t="s">
        <v>4829</v>
      </c>
      <c r="B2412" s="3" t="str">
        <f>HYPERLINK("http://www.ncbi.nlm.nih.gov/gene/69550","Bst2")</f>
        <v>Bst2</v>
      </c>
      <c r="C2412">
        <v>69550</v>
      </c>
      <c r="D2412" t="s">
        <v>4830</v>
      </c>
      <c r="E2412" s="3" t="str">
        <f>HYPERLINK("http://genome.ucsc.edu/cgi-bin/hgTracks?db=mm10&amp;lastVirtModeType=default&amp;lastVirtModeExtraState=&amp;virtModeType=default&amp;virtMode=0&amp;nonVirtPosition=&amp;position=chr8:71534261-71537437","chr8:71534261-71537437")</f>
        <v>chr8:71534261-71537437</v>
      </c>
      <c r="F2412" t="s">
        <v>25</v>
      </c>
      <c r="G2412">
        <v>0.91132862666973602</v>
      </c>
      <c r="H2412">
        <v>0.298470056169228</v>
      </c>
      <c r="I2412">
        <v>3.0533335181638002</v>
      </c>
      <c r="J2412">
        <v>2.2631425728469501E-3</v>
      </c>
      <c r="K2412">
        <v>1.2564569731755199E-2</v>
      </c>
      <c r="L2412" t="s">
        <v>26</v>
      </c>
      <c r="M2412" t="s">
        <v>27</v>
      </c>
      <c r="N2412">
        <v>90.350487206526907</v>
      </c>
      <c r="O2412">
        <v>53.885048583637101</v>
      </c>
      <c r="P2412">
        <v>117.699566173695</v>
      </c>
      <c r="Q2412">
        <v>65.701520428675593</v>
      </c>
      <c r="R2412">
        <v>34.891452285187697</v>
      </c>
      <c r="S2412">
        <v>61.062173037047998</v>
      </c>
      <c r="T2412">
        <v>183.31818862325099</v>
      </c>
      <c r="U2412">
        <v>51.390161901252803</v>
      </c>
      <c r="V2412">
        <v>94.163663857181504</v>
      </c>
      <c r="W2412">
        <v>141.92625031309299</v>
      </c>
    </row>
    <row r="2413" spans="1:23" x14ac:dyDescent="0.2">
      <c r="A2413" t="s">
        <v>4831</v>
      </c>
      <c r="B2413" s="3" t="str">
        <f>HYPERLINK("http://www.ncbi.nlm.nih.gov/gene/68394","Ccdc163")</f>
        <v>Ccdc163</v>
      </c>
      <c r="C2413">
        <v>68394</v>
      </c>
      <c r="D2413" t="s">
        <v>4832</v>
      </c>
      <c r="E2413" s="3" t="str">
        <f>HYPERLINK("http://genome.ucsc.edu/cgi-bin/hgTracks?db=mm10&amp;lastVirtModeType=default&amp;lastVirtModeExtraState=&amp;virtModeType=default&amp;virtMode=0&amp;nonVirtPosition=&amp;position=chr4:116708929-116715104","chr4:116708929-116715104")</f>
        <v>chr4:116708929-116715104</v>
      </c>
      <c r="F2413" t="s">
        <v>30</v>
      </c>
      <c r="G2413">
        <v>0.92457564299499195</v>
      </c>
      <c r="H2413">
        <v>0.30286819910381202</v>
      </c>
      <c r="I2413">
        <v>3.0527326597206801</v>
      </c>
      <c r="J2413">
        <v>2.2676786502146798E-3</v>
      </c>
      <c r="K2413">
        <v>1.25845357666907E-2</v>
      </c>
      <c r="L2413" t="s">
        <v>26</v>
      </c>
      <c r="M2413" t="s">
        <v>27</v>
      </c>
      <c r="N2413">
        <v>28.083382763550201</v>
      </c>
      <c r="O2413">
        <v>16.718452023381399</v>
      </c>
      <c r="P2413">
        <v>36.607080818676799</v>
      </c>
      <c r="Q2413">
        <v>16.146983834166001</v>
      </c>
      <c r="R2413">
        <v>11.7569024004437</v>
      </c>
      <c r="S2413">
        <v>22.2514698355345</v>
      </c>
      <c r="T2413">
        <v>41.246592440231403</v>
      </c>
      <c r="U2413">
        <v>29.9775944423975</v>
      </c>
      <c r="V2413">
        <v>28.690491331484999</v>
      </c>
      <c r="W2413">
        <v>46.513645060593397</v>
      </c>
    </row>
    <row r="2414" spans="1:23" x14ac:dyDescent="0.2">
      <c r="A2414" t="s">
        <v>4833</v>
      </c>
      <c r="B2414" s="3" t="str">
        <f>HYPERLINK("http://www.ncbi.nlm.nih.gov/gene/16907","Lmnb2")</f>
        <v>Lmnb2</v>
      </c>
      <c r="C2414">
        <v>16907</v>
      </c>
      <c r="D2414" t="s">
        <v>4834</v>
      </c>
      <c r="E2414" s="3" t="str">
        <f>HYPERLINK("http://genome.ucsc.edu/cgi-bin/hgTracks?db=mm10&amp;lastVirtModeType=default&amp;lastVirtModeExtraState=&amp;virtModeType=default&amp;virtMode=0&amp;nonVirtPosition=&amp;position=chr10:80901362-80918245","chr10:80901362-80918245")</f>
        <v>chr10:80901362-80918245</v>
      </c>
      <c r="F2414" t="s">
        <v>25</v>
      </c>
      <c r="G2414">
        <v>0.62760213098038597</v>
      </c>
      <c r="H2414">
        <v>0.20567810575728801</v>
      </c>
      <c r="I2414">
        <v>3.0513803531475099</v>
      </c>
      <c r="J2414">
        <v>2.2779181401554899E-3</v>
      </c>
      <c r="K2414">
        <v>1.26361233698517E-2</v>
      </c>
      <c r="L2414" t="s">
        <v>26</v>
      </c>
      <c r="M2414" t="s">
        <v>27</v>
      </c>
      <c r="N2414">
        <v>246.63705019530599</v>
      </c>
      <c r="O2414">
        <v>183.71783866531899</v>
      </c>
      <c r="P2414">
        <v>293.826458842796</v>
      </c>
      <c r="Q2414">
        <v>122.49436012126</v>
      </c>
      <c r="R2414">
        <v>202.522125220546</v>
      </c>
      <c r="S2414">
        <v>226.137030654152</v>
      </c>
      <c r="T2414">
        <v>265.81137350371301</v>
      </c>
      <c r="U2414">
        <v>349.024849579342</v>
      </c>
      <c r="V2414">
        <v>242.03004225791199</v>
      </c>
      <c r="W2414">
        <v>318.43957003021598</v>
      </c>
    </row>
    <row r="2415" spans="1:23" x14ac:dyDescent="0.2">
      <c r="A2415" t="s">
        <v>4835</v>
      </c>
      <c r="B2415" s="3" t="str">
        <f>HYPERLINK("http://www.ncbi.nlm.nih.gov/gene/235587","Parp3")</f>
        <v>Parp3</v>
      </c>
      <c r="C2415">
        <v>235587</v>
      </c>
      <c r="D2415" t="s">
        <v>4836</v>
      </c>
      <c r="E2415" s="3" t="str">
        <f>HYPERLINK("http://genome.ucsc.edu/cgi-bin/hgTracks?db=mm10&amp;lastVirtModeType=default&amp;lastVirtModeExtraState=&amp;virtModeType=default&amp;virtMode=0&amp;nonVirtPosition=&amp;position=chr9:106470321-106476949","chr9:106470321-106476949")</f>
        <v>chr9:106470321-106476949</v>
      </c>
      <c r="F2415" t="s">
        <v>25</v>
      </c>
      <c r="G2415">
        <v>0.58726963941616495</v>
      </c>
      <c r="H2415">
        <v>0.19248992093238801</v>
      </c>
      <c r="I2415">
        <v>3.0509111156133901</v>
      </c>
      <c r="J2415">
        <v>2.2814810325557E-3</v>
      </c>
      <c r="K2415">
        <v>1.26506470008088E-2</v>
      </c>
      <c r="L2415" t="s">
        <v>26</v>
      </c>
      <c r="M2415" t="s">
        <v>27</v>
      </c>
      <c r="N2415">
        <v>169.47115549261099</v>
      </c>
      <c r="O2415">
        <v>129.227336651944</v>
      </c>
      <c r="P2415">
        <v>199.65401962311</v>
      </c>
      <c r="Q2415">
        <v>134.18700358737999</v>
      </c>
      <c r="R2415">
        <v>113.776474843003</v>
      </c>
      <c r="S2415">
        <v>139.71853152544901</v>
      </c>
      <c r="T2415">
        <v>233.73069049464399</v>
      </c>
      <c r="U2415">
        <v>126.33414800724699</v>
      </c>
      <c r="V2415">
        <v>205.98301468758399</v>
      </c>
      <c r="W2415">
        <v>232.56822530296699</v>
      </c>
    </row>
    <row r="2416" spans="1:23" x14ac:dyDescent="0.2">
      <c r="A2416" t="s">
        <v>4837</v>
      </c>
      <c r="B2416" s="3" t="str">
        <f>HYPERLINK("http://www.ncbi.nlm.nih.gov/gene/244723","Olfm2")</f>
        <v>Olfm2</v>
      </c>
      <c r="C2416">
        <v>244723</v>
      </c>
      <c r="D2416" t="s">
        <v>4838</v>
      </c>
      <c r="E2416" s="3" t="str">
        <f>HYPERLINK("http://genome.ucsc.edu/cgi-bin/hgTracks?db=mm10&amp;lastVirtModeType=default&amp;lastVirtModeExtraState=&amp;virtModeType=default&amp;virtMode=0&amp;nonVirtPosition=&amp;position=chr9:20667985-20728214","chr9:20667985-20728214")</f>
        <v>chr9:20667985-20728214</v>
      </c>
      <c r="F2416" t="s">
        <v>25</v>
      </c>
      <c r="G2416">
        <v>-0.530126287312356</v>
      </c>
      <c r="H2416">
        <v>0.173791052488002</v>
      </c>
      <c r="I2416">
        <v>-3.05036582564545</v>
      </c>
      <c r="J2416">
        <v>2.28562779922796E-3</v>
      </c>
      <c r="K2416">
        <v>1.2668394809379801E-2</v>
      </c>
      <c r="L2416" t="s">
        <v>26</v>
      </c>
      <c r="M2416" t="s">
        <v>27</v>
      </c>
      <c r="N2416">
        <v>569.29803320003998</v>
      </c>
      <c r="O2416">
        <v>700.22216188311904</v>
      </c>
      <c r="P2416">
        <v>471.10493668773</v>
      </c>
      <c r="Q2416">
        <v>831.84806373255299</v>
      </c>
      <c r="R2416">
        <v>572.29566846030696</v>
      </c>
      <c r="S2416">
        <v>696.52275345649696</v>
      </c>
      <c r="T2416">
        <v>380.385241393245</v>
      </c>
      <c r="U2416">
        <v>548.16172694669694</v>
      </c>
      <c r="V2416">
        <v>553.94717878482504</v>
      </c>
      <c r="W2416">
        <v>401.92559962615297</v>
      </c>
    </row>
    <row r="2417" spans="1:23" x14ac:dyDescent="0.2">
      <c r="A2417" t="s">
        <v>4839</v>
      </c>
      <c r="B2417" s="3" t="str">
        <f>HYPERLINK("http://www.ncbi.nlm.nih.gov/gene/101809","Spred3")</f>
        <v>Spred3</v>
      </c>
      <c r="C2417">
        <v>101809</v>
      </c>
      <c r="D2417" t="s">
        <v>4840</v>
      </c>
      <c r="E2417" s="3" t="str">
        <f>HYPERLINK("http://genome.ucsc.edu/cgi-bin/hgTracks?db=mm10&amp;lastVirtModeType=default&amp;lastVirtModeExtraState=&amp;virtModeType=default&amp;virtMode=0&amp;nonVirtPosition=&amp;position=chr7:29158828-29168647","chr7:29158828-29168647")</f>
        <v>chr7:29158828-29168647</v>
      </c>
      <c r="F2417" t="s">
        <v>25</v>
      </c>
      <c r="G2417">
        <v>0.54394371934658203</v>
      </c>
      <c r="H2417">
        <v>0.178462764173975</v>
      </c>
      <c r="I2417">
        <v>3.04793956243061</v>
      </c>
      <c r="J2417">
        <v>2.3041626389237401E-3</v>
      </c>
      <c r="K2417">
        <v>1.2765842738033901E-2</v>
      </c>
      <c r="L2417" t="s">
        <v>26</v>
      </c>
      <c r="M2417" t="s">
        <v>27</v>
      </c>
      <c r="N2417">
        <v>326.83789470212702</v>
      </c>
      <c r="O2417">
        <v>256.254225390047</v>
      </c>
      <c r="P2417">
        <v>379.775646686188</v>
      </c>
      <c r="Q2417">
        <v>223.27381094829599</v>
      </c>
      <c r="R2417">
        <v>229.828479182867</v>
      </c>
      <c r="S2417">
        <v>315.66038603897698</v>
      </c>
      <c r="T2417">
        <v>311.64092065952599</v>
      </c>
      <c r="U2417">
        <v>479.64151107836</v>
      </c>
      <c r="V2417">
        <v>325.894555380714</v>
      </c>
      <c r="W2417">
        <v>401.92559962615297</v>
      </c>
    </row>
    <row r="2418" spans="1:23" x14ac:dyDescent="0.2">
      <c r="A2418" t="s">
        <v>4841</v>
      </c>
      <c r="B2418" s="3" t="str">
        <f>HYPERLINK("http://www.ncbi.nlm.nih.gov/gene/66586","Crls1")</f>
        <v>Crls1</v>
      </c>
      <c r="C2418">
        <v>66586</v>
      </c>
      <c r="D2418" t="s">
        <v>4842</v>
      </c>
      <c r="E2418" s="3" t="str">
        <f>HYPERLINK("http://genome.ucsc.edu/cgi-bin/hgTracks?db=mm10&amp;lastVirtModeType=default&amp;lastVirtModeExtraState=&amp;virtModeType=default&amp;virtMode=0&amp;nonVirtPosition=&amp;position=chr2:132846665-132866768","chr2:132846665-132866768")</f>
        <v>chr2:132846665-132866768</v>
      </c>
      <c r="F2418" t="s">
        <v>30</v>
      </c>
      <c r="G2418">
        <v>-0.54840058295209204</v>
      </c>
      <c r="H2418">
        <v>0.17995659172051801</v>
      </c>
      <c r="I2418">
        <v>-3.0474048086206702</v>
      </c>
      <c r="J2418">
        <v>2.3082662295114301E-3</v>
      </c>
      <c r="K2418">
        <v>1.2783289114717799E-2</v>
      </c>
      <c r="L2418" t="s">
        <v>26</v>
      </c>
      <c r="M2418" t="s">
        <v>27</v>
      </c>
      <c r="N2418">
        <v>99.985595401731899</v>
      </c>
      <c r="O2418">
        <v>125.30943851165</v>
      </c>
      <c r="P2418">
        <v>80.992713069293401</v>
      </c>
      <c r="Q2418">
        <v>132.516625949363</v>
      </c>
      <c r="R2418">
        <v>130.08443623716701</v>
      </c>
      <c r="S2418">
        <v>113.32725334842</v>
      </c>
      <c r="T2418">
        <v>68.744320733718993</v>
      </c>
      <c r="U2418">
        <v>79.2264995977648</v>
      </c>
      <c r="V2418">
        <v>94.899317481065694</v>
      </c>
      <c r="W2418">
        <v>81.100714464624303</v>
      </c>
    </row>
    <row r="2419" spans="1:23" x14ac:dyDescent="0.2">
      <c r="A2419" t="s">
        <v>4843</v>
      </c>
      <c r="B2419" s="3" t="str">
        <f>HYPERLINK("http://www.ncbi.nlm.nih.gov/gene/320435","Rinl")</f>
        <v>Rinl</v>
      </c>
      <c r="C2419">
        <v>320435</v>
      </c>
      <c r="D2419" t="s">
        <v>4844</v>
      </c>
      <c r="E2419" s="3" t="str">
        <f>HYPERLINK("http://genome.ucsc.edu/cgi-bin/hgTracks?db=mm10&amp;lastVirtModeType=default&amp;lastVirtModeExtraState=&amp;virtModeType=default&amp;virtMode=0&amp;nonVirtPosition=&amp;position=chr7:28788968-28798966","chr7:28788968-28798966")</f>
        <v>chr7:28788968-28798966</v>
      </c>
      <c r="F2419" t="s">
        <v>30</v>
      </c>
      <c r="G2419">
        <v>0.99098068416139895</v>
      </c>
      <c r="H2419">
        <v>0.325275541055218</v>
      </c>
      <c r="I2419">
        <v>3.04658838148907</v>
      </c>
      <c r="J2419">
        <v>2.3145442355224301E-3</v>
      </c>
      <c r="K2419">
        <v>1.2812758105779601E-2</v>
      </c>
      <c r="L2419" t="s">
        <v>26</v>
      </c>
      <c r="M2419" t="s">
        <v>27</v>
      </c>
      <c r="N2419">
        <v>21.029990092436801</v>
      </c>
      <c r="O2419">
        <v>11.568599918781601</v>
      </c>
      <c r="P2419">
        <v>28.1260327226782</v>
      </c>
      <c r="Q2419">
        <v>16.7037763801717</v>
      </c>
      <c r="R2419">
        <v>10.2398827358703</v>
      </c>
      <c r="S2419">
        <v>7.7621406403027198</v>
      </c>
      <c r="T2419">
        <v>32.0806830090688</v>
      </c>
      <c r="U2419">
        <v>25.695080950626402</v>
      </c>
      <c r="V2419">
        <v>21.3339550926427</v>
      </c>
      <c r="W2419">
        <v>33.394411838374701</v>
      </c>
    </row>
    <row r="2420" spans="1:23" x14ac:dyDescent="0.2">
      <c r="A2420" t="s">
        <v>4845</v>
      </c>
      <c r="B2420" s="3" t="str">
        <f>HYPERLINK("http://www.ncbi.nlm.nih.gov/gene/80893","Tmprss5")</f>
        <v>Tmprss5</v>
      </c>
      <c r="C2420">
        <v>80893</v>
      </c>
      <c r="D2420" t="s">
        <v>4846</v>
      </c>
      <c r="E2420" s="3" t="str">
        <f>HYPERLINK("http://genome.ucsc.edu/cgi-bin/hgTracks?db=mm10&amp;lastVirtModeType=default&amp;lastVirtModeExtraState=&amp;virtModeType=default&amp;virtMode=0&amp;nonVirtPosition=&amp;position=chr9:49102778-49117587","chr9:49102778-49117587")</f>
        <v>chr9:49102778-49117587</v>
      </c>
      <c r="F2420" t="s">
        <v>30</v>
      </c>
      <c r="G2420">
        <v>1.10794493288443</v>
      </c>
      <c r="H2420">
        <v>0.36376598518501002</v>
      </c>
      <c r="I2420">
        <v>3.0457628750553201</v>
      </c>
      <c r="J2420">
        <v>2.32090795455749E-3</v>
      </c>
      <c r="K2420">
        <v>1.2842677032842699E-2</v>
      </c>
      <c r="L2420" t="s">
        <v>26</v>
      </c>
      <c r="M2420" t="s">
        <v>27</v>
      </c>
      <c r="N2420">
        <v>10.4415303962752</v>
      </c>
      <c r="O2420">
        <v>4.7858991394989303</v>
      </c>
      <c r="P2420">
        <v>14.683253838857301</v>
      </c>
      <c r="Q2420">
        <v>5.0111329140515304</v>
      </c>
      <c r="R2420">
        <v>4.1718040775767902</v>
      </c>
      <c r="S2420">
        <v>5.1747604268684801</v>
      </c>
      <c r="T2420">
        <v>18.3318188623251</v>
      </c>
      <c r="U2420">
        <v>12.847540475313201</v>
      </c>
      <c r="V2420">
        <v>13.241765229916099</v>
      </c>
      <c r="W2420">
        <v>14.3118907878749</v>
      </c>
    </row>
    <row r="2421" spans="1:23" x14ac:dyDescent="0.2">
      <c r="A2421" t="s">
        <v>4847</v>
      </c>
      <c r="B2421" s="3" t="str">
        <f>HYPERLINK("http://www.ncbi.nlm.nih.gov/gene/242291","Impad1")</f>
        <v>Impad1</v>
      </c>
      <c r="C2421">
        <v>242291</v>
      </c>
      <c r="D2421" t="s">
        <v>4848</v>
      </c>
      <c r="E2421" s="3" t="str">
        <f>HYPERLINK("http://genome.ucsc.edu/cgi-bin/hgTracks?db=mm10&amp;lastVirtModeType=default&amp;lastVirtModeExtraState=&amp;virtModeType=default&amp;virtMode=0&amp;nonVirtPosition=&amp;position=chr4:4764350-4793306","chr4:4764350-4793306")</f>
        <v>chr4:4764350-4793306</v>
      </c>
      <c r="F2421" t="s">
        <v>25</v>
      </c>
      <c r="G2421">
        <v>-0.31981943884699099</v>
      </c>
      <c r="H2421">
        <v>0.10502107258381101</v>
      </c>
      <c r="I2421">
        <v>-3.0452882548096398</v>
      </c>
      <c r="J2421">
        <v>2.3245739897284402E-3</v>
      </c>
      <c r="K2421">
        <v>1.2857649853966801E-2</v>
      </c>
      <c r="L2421" t="s">
        <v>26</v>
      </c>
      <c r="M2421" t="s">
        <v>27</v>
      </c>
      <c r="N2421">
        <v>1662.18463452486</v>
      </c>
      <c r="O2421">
        <v>1881.3942090365399</v>
      </c>
      <c r="P2421">
        <v>1497.7774536411</v>
      </c>
      <c r="Q2421">
        <v>1768.92991866019</v>
      </c>
      <c r="R2421">
        <v>1934.20007233106</v>
      </c>
      <c r="S2421">
        <v>1941.0526361183699</v>
      </c>
      <c r="T2421">
        <v>1429.8818712613499</v>
      </c>
      <c r="U2421">
        <v>1545.9873705293601</v>
      </c>
      <c r="V2421">
        <v>1625.7945087841499</v>
      </c>
      <c r="W2421">
        <v>1389.4460639895201</v>
      </c>
    </row>
    <row r="2422" spans="1:23" x14ac:dyDescent="0.2">
      <c r="A2422" t="s">
        <v>4849</v>
      </c>
      <c r="B2422" s="3" t="str">
        <f>HYPERLINK("http://www.ncbi.nlm.nih.gov/gene/19359","Rad23b")</f>
        <v>Rad23b</v>
      </c>
      <c r="C2422">
        <v>19359</v>
      </c>
      <c r="D2422" t="s">
        <v>4850</v>
      </c>
      <c r="E2422" s="3" t="str">
        <f>HYPERLINK("http://genome.ucsc.edu/cgi-bin/hgTracks?db=mm10&amp;lastVirtModeType=default&amp;lastVirtModeExtraState=&amp;virtModeType=default&amp;virtMode=0&amp;nonVirtPosition=&amp;position=chr4:55350041-55392237","chr4:55350041-55392237")</f>
        <v>chr4:55350041-55392237</v>
      </c>
      <c r="F2422" t="s">
        <v>30</v>
      </c>
      <c r="G2422">
        <v>-0.50780942886627101</v>
      </c>
      <c r="H2422">
        <v>0.16677127901768601</v>
      </c>
      <c r="I2422">
        <v>-3.0449453398532502</v>
      </c>
      <c r="J2422">
        <v>2.3272260134287802E-3</v>
      </c>
      <c r="K2422">
        <v>1.28670039412984E-2</v>
      </c>
      <c r="L2422" t="s">
        <v>26</v>
      </c>
      <c r="M2422" t="s">
        <v>27</v>
      </c>
      <c r="N2422">
        <v>849.21734921694895</v>
      </c>
      <c r="O2422">
        <v>1034.2884884197399</v>
      </c>
      <c r="P2422">
        <v>710.41399481485996</v>
      </c>
      <c r="Q2422">
        <v>857.46052084881603</v>
      </c>
      <c r="R2422">
        <v>1310.3257352752601</v>
      </c>
      <c r="S2422">
        <v>935.07920913513396</v>
      </c>
      <c r="T2422">
        <v>572.86933944765804</v>
      </c>
      <c r="U2422">
        <v>760.14614478936505</v>
      </c>
      <c r="V2422">
        <v>758.45888622464099</v>
      </c>
      <c r="W2422">
        <v>750.18160879777497</v>
      </c>
    </row>
    <row r="2423" spans="1:23" x14ac:dyDescent="0.2">
      <c r="A2423" t="s">
        <v>4851</v>
      </c>
      <c r="B2423" s="3" t="str">
        <f>HYPERLINK("http://www.ncbi.nlm.nih.gov/gene/22351","Vill")</f>
        <v>Vill</v>
      </c>
      <c r="C2423">
        <v>22351</v>
      </c>
      <c r="D2423" t="s">
        <v>4852</v>
      </c>
      <c r="E2423" s="3" t="str">
        <f>HYPERLINK("http://genome.ucsc.edu/cgi-bin/hgTracks?db=mm10&amp;lastVirtModeType=default&amp;lastVirtModeExtraState=&amp;virtModeType=default&amp;virtMode=0&amp;nonVirtPosition=&amp;position=chr9:119052777-119071525","chr9:119052777-119071525")</f>
        <v>chr9:119052777-119071525</v>
      </c>
      <c r="F2423" t="s">
        <v>30</v>
      </c>
      <c r="G2423">
        <v>1.0356306048561501</v>
      </c>
      <c r="H2423">
        <v>0.340204262890277</v>
      </c>
      <c r="I2423">
        <v>3.0441435273553901</v>
      </c>
      <c r="J2423">
        <v>2.3334378602851598E-3</v>
      </c>
      <c r="K2423">
        <v>1.28960240970196E-2</v>
      </c>
      <c r="L2423" t="s">
        <v>26</v>
      </c>
      <c r="M2423" t="s">
        <v>27</v>
      </c>
      <c r="N2423">
        <v>18.739229013665401</v>
      </c>
      <c r="O2423">
        <v>9.7201106368082293</v>
      </c>
      <c r="P2423">
        <v>25.5035677963083</v>
      </c>
      <c r="Q2423">
        <v>13.363021104137401</v>
      </c>
      <c r="R2423">
        <v>4.9303139098634796</v>
      </c>
      <c r="S2423">
        <v>10.8669968964238</v>
      </c>
      <c r="T2423">
        <v>32.0806830090688</v>
      </c>
      <c r="U2423">
        <v>23.553824204740899</v>
      </c>
      <c r="V2423">
        <v>21.3339550926427</v>
      </c>
      <c r="W2423">
        <v>25.045808878780999</v>
      </c>
    </row>
    <row r="2424" spans="1:23" x14ac:dyDescent="0.2">
      <c r="A2424" t="s">
        <v>4853</v>
      </c>
      <c r="B2424" s="3" t="str">
        <f>HYPERLINK("http://www.ncbi.nlm.nih.gov/gene/18670","Abcb4")</f>
        <v>Abcb4</v>
      </c>
      <c r="C2424">
        <v>18670</v>
      </c>
      <c r="D2424" t="s">
        <v>4854</v>
      </c>
      <c r="E2424" s="3" t="str">
        <f>HYPERLINK("http://genome.ucsc.edu/cgi-bin/hgTracks?db=mm10&amp;lastVirtModeType=default&amp;lastVirtModeExtraState=&amp;virtModeType=default&amp;virtMode=0&amp;nonVirtPosition=&amp;position=chr5:8893720-8959226","chr5:8893720-8959226")</f>
        <v>chr5:8893720-8959226</v>
      </c>
      <c r="F2424" t="s">
        <v>30</v>
      </c>
      <c r="G2424">
        <v>-1.0135041984540301</v>
      </c>
      <c r="H2424">
        <v>0.33303663847603199</v>
      </c>
      <c r="I2424">
        <v>-3.0432213197076301</v>
      </c>
      <c r="J2424">
        <v>2.3406012121231601E-3</v>
      </c>
      <c r="K2424">
        <v>1.29282775172005E-2</v>
      </c>
      <c r="L2424" t="s">
        <v>26</v>
      </c>
      <c r="M2424" t="s">
        <v>27</v>
      </c>
      <c r="N2424">
        <v>46.681613904028303</v>
      </c>
      <c r="O2424">
        <v>71.186566901361601</v>
      </c>
      <c r="P2424">
        <v>28.3028991560282</v>
      </c>
      <c r="Q2424">
        <v>120.82398248324201</v>
      </c>
      <c r="R2424">
        <v>50.820158763208198</v>
      </c>
      <c r="S2424">
        <v>41.9155594576347</v>
      </c>
      <c r="T2424">
        <v>32.0806830090688</v>
      </c>
      <c r="U2424">
        <v>14.9887972211987</v>
      </c>
      <c r="V2424">
        <v>37.518334818095703</v>
      </c>
      <c r="W2424">
        <v>28.623781575749799</v>
      </c>
    </row>
    <row r="2425" spans="1:23" x14ac:dyDescent="0.2">
      <c r="A2425" t="s">
        <v>4855</v>
      </c>
      <c r="B2425" s="3" t="str">
        <f>HYPERLINK("http://www.ncbi.nlm.nih.gov/gene/243983","Zdhhc13")</f>
        <v>Zdhhc13</v>
      </c>
      <c r="C2425">
        <v>243983</v>
      </c>
      <c r="D2425" t="s">
        <v>4856</v>
      </c>
      <c r="E2425" s="3" t="str">
        <f>HYPERLINK("http://genome.ucsc.edu/cgi-bin/hgTracks?db=mm10&amp;lastVirtModeType=default&amp;lastVirtModeExtraState=&amp;virtModeType=default&amp;virtMode=0&amp;nonVirtPosition=&amp;position=chr7:48789002-48827437","chr7:48789002-48827437")</f>
        <v>chr7:48789002-48827437</v>
      </c>
      <c r="F2425" t="s">
        <v>30</v>
      </c>
      <c r="G2425">
        <v>-0.56335448697968105</v>
      </c>
      <c r="H2425">
        <v>0.185122536327226</v>
      </c>
      <c r="I2425">
        <v>-3.0431437368807801</v>
      </c>
      <c r="J2425">
        <v>2.3412047628415499E-3</v>
      </c>
      <c r="K2425">
        <v>1.29282775172005E-2</v>
      </c>
      <c r="L2425" t="s">
        <v>26</v>
      </c>
      <c r="M2425" t="s">
        <v>27</v>
      </c>
      <c r="N2425">
        <v>92.576459135384596</v>
      </c>
      <c r="O2425">
        <v>116.842934837345</v>
      </c>
      <c r="P2425">
        <v>74.376602358914099</v>
      </c>
      <c r="Q2425">
        <v>107.460961379105</v>
      </c>
      <c r="R2425">
        <v>128.18816165645001</v>
      </c>
      <c r="S2425">
        <v>114.87968147648</v>
      </c>
      <c r="T2425">
        <v>54.995456586975202</v>
      </c>
      <c r="U2425">
        <v>83.509013089535898</v>
      </c>
      <c r="V2425">
        <v>83.864513122802194</v>
      </c>
      <c r="W2425">
        <v>75.137426636343093</v>
      </c>
    </row>
    <row r="2426" spans="1:23" x14ac:dyDescent="0.2">
      <c r="A2426" t="s">
        <v>4857</v>
      </c>
      <c r="B2426" s="3" t="str">
        <f>HYPERLINK("http://www.ncbi.nlm.nih.gov/gene/319262","Fchsd1")</f>
        <v>Fchsd1</v>
      </c>
      <c r="C2426">
        <v>319262</v>
      </c>
      <c r="D2426" t="s">
        <v>4858</v>
      </c>
      <c r="E2426" s="3" t="str">
        <f>HYPERLINK("http://genome.ucsc.edu/cgi-bin/hgTracks?db=mm10&amp;lastVirtModeType=default&amp;lastVirtModeExtraState=&amp;virtModeType=default&amp;virtMode=0&amp;nonVirtPosition=&amp;position=chr18:37957433-37969731","chr18:37957433-37969731")</f>
        <v>chr18:37957433-37969731</v>
      </c>
      <c r="F2426" t="s">
        <v>25</v>
      </c>
      <c r="G2426">
        <v>0.69108194392759603</v>
      </c>
      <c r="H2426">
        <v>0.227119671021486</v>
      </c>
      <c r="I2426">
        <v>3.0428097259009301</v>
      </c>
      <c r="J2426">
        <v>2.3438048081159202E-3</v>
      </c>
      <c r="K2426">
        <v>1.2936604031106301E-2</v>
      </c>
      <c r="L2426" t="s">
        <v>26</v>
      </c>
      <c r="M2426" t="s">
        <v>27</v>
      </c>
      <c r="N2426">
        <v>50.347676204358002</v>
      </c>
      <c r="O2426">
        <v>35.460655806995099</v>
      </c>
      <c r="P2426">
        <v>61.512941502380301</v>
      </c>
      <c r="Q2426">
        <v>37.305100582383602</v>
      </c>
      <c r="R2426">
        <v>39.063256362764498</v>
      </c>
      <c r="S2426">
        <v>30.013610475837201</v>
      </c>
      <c r="T2426">
        <v>64.161366018137699</v>
      </c>
      <c r="U2426">
        <v>70.661472614222703</v>
      </c>
      <c r="V2426">
        <v>55.174021791317301</v>
      </c>
      <c r="W2426">
        <v>56.054905585843301</v>
      </c>
    </row>
    <row r="2427" spans="1:23" x14ac:dyDescent="0.2">
      <c r="A2427" t="s">
        <v>4859</v>
      </c>
      <c r="B2427" s="3" t="str">
        <f>HYPERLINK("http://www.ncbi.nlm.nih.gov/gene/69660","Tmbim1")</f>
        <v>Tmbim1</v>
      </c>
      <c r="C2427">
        <v>69660</v>
      </c>
      <c r="D2427" t="s">
        <v>4860</v>
      </c>
      <c r="E2427" s="3" t="str">
        <f>HYPERLINK("http://genome.ucsc.edu/cgi-bin/hgTracks?db=mm10&amp;lastVirtModeType=default&amp;lastVirtModeExtraState=&amp;virtModeType=default&amp;virtMode=0&amp;nonVirtPosition=&amp;position=chr1:74288246-74304336","chr1:74288246-74304336")</f>
        <v>chr1:74288246-74304336</v>
      </c>
      <c r="F2427" t="s">
        <v>25</v>
      </c>
      <c r="G2427">
        <v>0.44542803996736602</v>
      </c>
      <c r="H2427">
        <v>0.14639227085276299</v>
      </c>
      <c r="I2427">
        <v>3.0427018952070402</v>
      </c>
      <c r="J2427">
        <v>2.34464476017437E-3</v>
      </c>
      <c r="K2427">
        <v>1.2936604031106301E-2</v>
      </c>
      <c r="L2427" t="s">
        <v>26</v>
      </c>
      <c r="M2427" t="s">
        <v>27</v>
      </c>
      <c r="N2427">
        <v>241.019079923265</v>
      </c>
      <c r="O2427">
        <v>198.73486337833299</v>
      </c>
      <c r="P2427">
        <v>272.73224233196402</v>
      </c>
      <c r="Q2427">
        <v>180.957577451861</v>
      </c>
      <c r="R2427">
        <v>189.62745807167201</v>
      </c>
      <c r="S2427">
        <v>225.61955461146599</v>
      </c>
      <c r="T2427">
        <v>279.560237650457</v>
      </c>
      <c r="U2427">
        <v>259.09206625215</v>
      </c>
      <c r="V2427">
        <v>308.97452203137698</v>
      </c>
      <c r="W2427">
        <v>243.302143393873</v>
      </c>
    </row>
    <row r="2428" spans="1:23" x14ac:dyDescent="0.2">
      <c r="A2428" t="s">
        <v>4861</v>
      </c>
      <c r="B2428" s="3" t="str">
        <f>HYPERLINK("http://www.ncbi.nlm.nih.gov/gene/218294","Cdc14b")</f>
        <v>Cdc14b</v>
      </c>
      <c r="C2428">
        <v>218294</v>
      </c>
      <c r="D2428" t="s">
        <v>4862</v>
      </c>
      <c r="E2428" s="3" t="str">
        <f>HYPERLINK("http://genome.ucsc.edu/cgi-bin/hgTracks?db=mm10&amp;lastVirtModeType=default&amp;lastVirtModeExtraState=&amp;virtModeType=default&amp;virtMode=0&amp;nonVirtPosition=&amp;position=chr13:64192544-64274988","chr13:64192544-64274988")</f>
        <v>chr13:64192544-64274988</v>
      </c>
      <c r="F2428" t="s">
        <v>25</v>
      </c>
      <c r="G2428">
        <v>0.66406735189621102</v>
      </c>
      <c r="H2428">
        <v>0.21826939457533601</v>
      </c>
      <c r="I2428">
        <v>3.0424208267412798</v>
      </c>
      <c r="J2428">
        <v>2.3468354514542401E-3</v>
      </c>
      <c r="K2428">
        <v>1.29433581262042E-2</v>
      </c>
      <c r="L2428" t="s">
        <v>26</v>
      </c>
      <c r="M2428" t="s">
        <v>27</v>
      </c>
      <c r="N2428">
        <v>75.046480644303401</v>
      </c>
      <c r="O2428">
        <v>56.370774614588498</v>
      </c>
      <c r="P2428">
        <v>89.053260166589496</v>
      </c>
      <c r="Q2428">
        <v>52.338499324538098</v>
      </c>
      <c r="R2428">
        <v>62.956316079795201</v>
      </c>
      <c r="S2428">
        <v>53.817508439432203</v>
      </c>
      <c r="T2428">
        <v>64.161366018137699</v>
      </c>
      <c r="U2428">
        <v>74.943986105993702</v>
      </c>
      <c r="V2428">
        <v>97.841931976602595</v>
      </c>
      <c r="W2428">
        <v>119.265756565624</v>
      </c>
    </row>
    <row r="2429" spans="1:23" x14ac:dyDescent="0.2">
      <c r="A2429" t="s">
        <v>4863</v>
      </c>
      <c r="B2429" s="3" t="str">
        <f>HYPERLINK("http://www.ncbi.nlm.nih.gov/gene/246177","Myo1g")</f>
        <v>Myo1g</v>
      </c>
      <c r="C2429">
        <v>246177</v>
      </c>
      <c r="D2429" t="s">
        <v>4864</v>
      </c>
      <c r="E2429" s="3" t="str">
        <f>HYPERLINK("http://genome.ucsc.edu/cgi-bin/hgTracks?db=mm10&amp;lastVirtModeType=default&amp;lastVirtModeExtraState=&amp;virtModeType=default&amp;virtMode=0&amp;nonVirtPosition=&amp;position=chr11:6506547-6520958","chr11:6506547-6520958")</f>
        <v>chr11:6506547-6520958</v>
      </c>
      <c r="F2429" t="s">
        <v>25</v>
      </c>
      <c r="G2429">
        <v>0.91281438230158796</v>
      </c>
      <c r="H2429">
        <v>0.30025501586356801</v>
      </c>
      <c r="I2429">
        <v>3.0401303361285401</v>
      </c>
      <c r="J2429">
        <v>2.3647578847424901E-3</v>
      </c>
      <c r="K2429">
        <v>1.30362664913201E-2</v>
      </c>
      <c r="L2429" t="s">
        <v>26</v>
      </c>
      <c r="M2429" t="s">
        <v>27</v>
      </c>
      <c r="N2429">
        <v>28.3727971007782</v>
      </c>
      <c r="O2429">
        <v>16.459751977082501</v>
      </c>
      <c r="P2429">
        <v>37.307580943550001</v>
      </c>
      <c r="Q2429">
        <v>22.271701840228999</v>
      </c>
      <c r="R2429">
        <v>13.653176981160399</v>
      </c>
      <c r="S2429">
        <v>13.454377109857999</v>
      </c>
      <c r="T2429">
        <v>54.995456586975202</v>
      </c>
      <c r="U2429">
        <v>27.836337696512</v>
      </c>
      <c r="V2429">
        <v>29.4261449553692</v>
      </c>
      <c r="W2429">
        <v>36.972384535343402</v>
      </c>
    </row>
    <row r="2430" spans="1:23" x14ac:dyDescent="0.2">
      <c r="A2430" t="s">
        <v>4865</v>
      </c>
      <c r="B2430" s="3" t="str">
        <f>HYPERLINK("http://www.ncbi.nlm.nih.gov/gene/667742","Piezo2")</f>
        <v>Piezo2</v>
      </c>
      <c r="C2430">
        <v>667742</v>
      </c>
      <c r="D2430" t="s">
        <v>4866</v>
      </c>
      <c r="E2430" s="3" t="str">
        <f>HYPERLINK("http://genome.ucsc.edu/cgi-bin/hgTracks?db=mm10&amp;lastVirtModeType=default&amp;lastVirtModeExtraState=&amp;virtModeType=default&amp;virtMode=0&amp;nonVirtPosition=&amp;position=chr18:63010212-63387183","chr18:63010212-63387183")</f>
        <v>chr18:63010212-63387183</v>
      </c>
      <c r="F2430" t="s">
        <v>25</v>
      </c>
      <c r="G2430">
        <v>0.81702103396360504</v>
      </c>
      <c r="H2430">
        <v>0.26875519412872301</v>
      </c>
      <c r="I2430">
        <v>3.0400195114825701</v>
      </c>
      <c r="J2430">
        <v>2.3656282259657902E-3</v>
      </c>
      <c r="K2430">
        <v>1.30362664913201E-2</v>
      </c>
      <c r="L2430" t="s">
        <v>26</v>
      </c>
      <c r="M2430" t="s">
        <v>27</v>
      </c>
      <c r="N2430">
        <v>186.58725595113501</v>
      </c>
      <c r="O2430">
        <v>124.520036410347</v>
      </c>
      <c r="P2430">
        <v>233.13767060672501</v>
      </c>
      <c r="Q2430">
        <v>169.82172653174601</v>
      </c>
      <c r="R2430">
        <v>72.816943899522201</v>
      </c>
      <c r="S2430">
        <v>130.92143879977201</v>
      </c>
      <c r="T2430">
        <v>119.15682260511301</v>
      </c>
      <c r="U2430">
        <v>252.668296014493</v>
      </c>
      <c r="V2430">
        <v>312.65279015079801</v>
      </c>
      <c r="W2430">
        <v>248.07277365649799</v>
      </c>
    </row>
    <row r="2431" spans="1:23" x14ac:dyDescent="0.2">
      <c r="A2431" t="s">
        <v>4867</v>
      </c>
      <c r="B2431" s="3" t="str">
        <f>HYPERLINK("http://www.ncbi.nlm.nih.gov/gene/14466","Gba")</f>
        <v>Gba</v>
      </c>
      <c r="C2431">
        <v>14466</v>
      </c>
      <c r="D2431" t="s">
        <v>4868</v>
      </c>
      <c r="E2431" s="3" t="str">
        <f>HYPERLINK("http://genome.ucsc.edu/cgi-bin/hgTracks?db=mm10&amp;lastVirtModeType=default&amp;lastVirtModeExtraState=&amp;virtModeType=default&amp;virtMode=0&amp;nonVirtPosition=&amp;position=chr3:89202924-89208966","chr3:89202924-89208966")</f>
        <v>chr3:89202924-89208966</v>
      </c>
      <c r="F2431" t="s">
        <v>30</v>
      </c>
      <c r="G2431">
        <v>-0.47942410557633203</v>
      </c>
      <c r="H2431">
        <v>0.15775254066684</v>
      </c>
      <c r="I2431">
        <v>-3.0390895991262399</v>
      </c>
      <c r="J2431">
        <v>2.3729426868965699E-3</v>
      </c>
      <c r="K2431">
        <v>1.30711951954883E-2</v>
      </c>
      <c r="L2431" t="s">
        <v>26</v>
      </c>
      <c r="M2431" t="s">
        <v>27</v>
      </c>
      <c r="N2431">
        <v>234.80915145653</v>
      </c>
      <c r="O2431">
        <v>285.19026408649398</v>
      </c>
      <c r="P2431">
        <v>197.023316984057</v>
      </c>
      <c r="Q2431">
        <v>335.189112695446</v>
      </c>
      <c r="R2431">
        <v>274.58055928778202</v>
      </c>
      <c r="S2431">
        <v>245.80112027625299</v>
      </c>
      <c r="T2431">
        <v>160.40341504534399</v>
      </c>
      <c r="U2431">
        <v>199.136877367355</v>
      </c>
      <c r="V2431">
        <v>206.718668311469</v>
      </c>
      <c r="W2431">
        <v>221.83430721206099</v>
      </c>
    </row>
    <row r="2432" spans="1:23" x14ac:dyDescent="0.2">
      <c r="A2432" t="s">
        <v>4869</v>
      </c>
      <c r="B2432" s="3" t="str">
        <f>HYPERLINK("http://www.ncbi.nlm.nih.gov/gene/20460","Stil")</f>
        <v>Stil</v>
      </c>
      <c r="C2432">
        <v>20460</v>
      </c>
      <c r="D2432" t="s">
        <v>4870</v>
      </c>
      <c r="E2432" s="3" t="str">
        <f>HYPERLINK("http://genome.ucsc.edu/cgi-bin/hgTracks?db=mm10&amp;lastVirtModeType=default&amp;lastVirtModeExtraState=&amp;virtModeType=default&amp;virtMode=0&amp;nonVirtPosition=&amp;position=chr4:115000117-115043198","chr4:115000117-115043198")</f>
        <v>chr4:115000117-115043198</v>
      </c>
      <c r="F2432" t="s">
        <v>30</v>
      </c>
      <c r="G2432">
        <v>0.79986769390572299</v>
      </c>
      <c r="H2432">
        <v>0.26334705297584698</v>
      </c>
      <c r="I2432">
        <v>3.0373140115567701</v>
      </c>
      <c r="J2432">
        <v>2.3869665627585502E-3</v>
      </c>
      <c r="K2432">
        <v>1.31430383395969E-2</v>
      </c>
      <c r="L2432" t="s">
        <v>26</v>
      </c>
      <c r="M2432" t="s">
        <v>27</v>
      </c>
      <c r="N2432">
        <v>156.08903158275399</v>
      </c>
      <c r="O2432">
        <v>102.84538470213499</v>
      </c>
      <c r="P2432">
        <v>196.021766743218</v>
      </c>
      <c r="Q2432">
        <v>49.5545365945095</v>
      </c>
      <c r="R2432">
        <v>111.500945346143</v>
      </c>
      <c r="S2432">
        <v>147.480672165752</v>
      </c>
      <c r="T2432">
        <v>242.89659992580701</v>
      </c>
      <c r="U2432">
        <v>171.30053967084299</v>
      </c>
      <c r="V2432">
        <v>189.79863496213099</v>
      </c>
      <c r="W2432">
        <v>180.09129241409201</v>
      </c>
    </row>
    <row r="2433" spans="1:23" x14ac:dyDescent="0.2">
      <c r="A2433" t="s">
        <v>4871</v>
      </c>
      <c r="B2433" s="3" t="str">
        <f>HYPERLINK("http://www.ncbi.nlm.nih.gov/gene/20091","Rps3a1")</f>
        <v>Rps3a1</v>
      </c>
      <c r="C2433">
        <v>20091</v>
      </c>
      <c r="D2433" t="s">
        <v>4872</v>
      </c>
      <c r="E2433" s="3" t="str">
        <f>HYPERLINK("http://genome.ucsc.edu/cgi-bin/hgTracks?db=mm10&amp;lastVirtModeType=default&amp;lastVirtModeExtraState=&amp;virtModeType=default&amp;virtMode=0&amp;nonVirtPosition=&amp;position=chr3:86137939-86142668","chr3:86137939-86142668")</f>
        <v>chr3:86137939-86142668</v>
      </c>
      <c r="F2433" t="s">
        <v>25</v>
      </c>
      <c r="G2433">
        <v>-0.51824921629572596</v>
      </c>
      <c r="H2433">
        <v>0.17063961528316399</v>
      </c>
      <c r="I2433">
        <v>-3.0370978945054898</v>
      </c>
      <c r="J2433">
        <v>2.3886786595749701E-3</v>
      </c>
      <c r="K2433">
        <v>1.3147059568585501E-2</v>
      </c>
      <c r="L2433" t="s">
        <v>26</v>
      </c>
      <c r="M2433" t="s">
        <v>27</v>
      </c>
      <c r="N2433">
        <v>144.58420873518199</v>
      </c>
      <c r="O2433">
        <v>178.285337459847</v>
      </c>
      <c r="P2433">
        <v>119.308362191683</v>
      </c>
      <c r="Q2433">
        <v>152.00436505956301</v>
      </c>
      <c r="R2433">
        <v>191.90298756853201</v>
      </c>
      <c r="S2433">
        <v>190.948659751447</v>
      </c>
      <c r="T2433">
        <v>105.407958458369</v>
      </c>
      <c r="U2433">
        <v>115.627864277819</v>
      </c>
      <c r="V2433">
        <v>140.509842161888</v>
      </c>
      <c r="W2433">
        <v>115.687783868655</v>
      </c>
    </row>
    <row r="2434" spans="1:23" x14ac:dyDescent="0.2">
      <c r="A2434" t="s">
        <v>4873</v>
      </c>
      <c r="B2434" s="3" t="str">
        <f>HYPERLINK("http://www.ncbi.nlm.nih.gov/gene/98660","Atp1a2")</f>
        <v>Atp1a2</v>
      </c>
      <c r="C2434">
        <v>98660</v>
      </c>
      <c r="D2434" t="s">
        <v>4874</v>
      </c>
      <c r="E2434" s="3" t="str">
        <f>HYPERLINK("http://genome.ucsc.edu/cgi-bin/hgTracks?db=mm10&amp;lastVirtModeType=default&amp;lastVirtModeExtraState=&amp;virtModeType=default&amp;virtMode=0&amp;nonVirtPosition=&amp;position=chr1:172271708-172298064","chr1:172271708-172298064")</f>
        <v>chr1:172271708-172298064</v>
      </c>
      <c r="F2434" t="s">
        <v>25</v>
      </c>
      <c r="G2434">
        <v>-0.72417000806442899</v>
      </c>
      <c r="H2434">
        <v>0.238676974714185</v>
      </c>
      <c r="I2434">
        <v>-3.0341008341153102</v>
      </c>
      <c r="J2434">
        <v>2.4125377951964102E-3</v>
      </c>
      <c r="K2434">
        <v>1.32729226029068E-2</v>
      </c>
      <c r="L2434" t="s">
        <v>26</v>
      </c>
      <c r="M2434" t="s">
        <v>27</v>
      </c>
      <c r="N2434">
        <v>2664.1813243103002</v>
      </c>
      <c r="O2434">
        <v>3526.57982067376</v>
      </c>
      <c r="P2434">
        <v>2017.3824520377</v>
      </c>
      <c r="Q2434">
        <v>5439.8631744759296</v>
      </c>
      <c r="R2434">
        <v>2425.7144436528301</v>
      </c>
      <c r="S2434">
        <v>2714.1618438925202</v>
      </c>
      <c r="T2434">
        <v>1585.7023315911199</v>
      </c>
      <c r="U2434">
        <v>1927.1310712969801</v>
      </c>
      <c r="V2434">
        <v>2293.0323456471501</v>
      </c>
      <c r="W2434">
        <v>2263.6640596155398</v>
      </c>
    </row>
    <row r="2435" spans="1:23" x14ac:dyDescent="0.2">
      <c r="A2435" t="s">
        <v>4875</v>
      </c>
      <c r="B2435" s="3" t="str">
        <f>HYPERLINK("http://www.ncbi.nlm.nih.gov/gene/54624","Paf1")</f>
        <v>Paf1</v>
      </c>
      <c r="C2435">
        <v>54624</v>
      </c>
      <c r="D2435" t="s">
        <v>4876</v>
      </c>
      <c r="E2435" s="3" t="str">
        <f>HYPERLINK("http://genome.ucsc.edu/cgi-bin/hgTracks?db=mm10&amp;lastVirtModeType=default&amp;lastVirtModeExtraState=&amp;virtModeType=default&amp;virtMode=0&amp;nonVirtPosition=&amp;position=chr7:28392995-28399383","chr7:28392995-28399383")</f>
        <v>chr7:28392995-28399383</v>
      </c>
      <c r="F2435" t="s">
        <v>30</v>
      </c>
      <c r="G2435">
        <v>-0.51585382966341198</v>
      </c>
      <c r="H2435">
        <v>0.17004447278871601</v>
      </c>
      <c r="I2435">
        <v>-3.0336406776618499</v>
      </c>
      <c r="J2435">
        <v>2.4162202860510801E-3</v>
      </c>
      <c r="K2435">
        <v>1.32877231418932E-2</v>
      </c>
      <c r="L2435" t="s">
        <v>26</v>
      </c>
      <c r="M2435" t="s">
        <v>27</v>
      </c>
      <c r="N2435">
        <v>205.65139591029799</v>
      </c>
      <c r="O2435">
        <v>250.16084490114801</v>
      </c>
      <c r="P2435">
        <v>172.269309167161</v>
      </c>
      <c r="Q2435">
        <v>247.77268297254801</v>
      </c>
      <c r="R2435">
        <v>288.992246101229</v>
      </c>
      <c r="S2435">
        <v>213.71760562966799</v>
      </c>
      <c r="T2435">
        <v>192.48409805441301</v>
      </c>
      <c r="U2435">
        <v>128.47540475313201</v>
      </c>
      <c r="V2435">
        <v>177.292523356099</v>
      </c>
      <c r="W2435">
        <v>190.82521050499801</v>
      </c>
    </row>
    <row r="2436" spans="1:23" x14ac:dyDescent="0.2">
      <c r="A2436" t="s">
        <v>4877</v>
      </c>
      <c r="B2436" s="3" t="str">
        <f>HYPERLINK("http://www.ncbi.nlm.nih.gov/gene/69470","Tmem127")</f>
        <v>Tmem127</v>
      </c>
      <c r="C2436">
        <v>69470</v>
      </c>
      <c r="D2436" t="s">
        <v>4878</v>
      </c>
      <c r="E2436" s="3" t="str">
        <f>HYPERLINK("http://genome.ucsc.edu/cgi-bin/hgTracks?db=mm10&amp;lastVirtModeType=default&amp;lastVirtModeExtraState=&amp;virtModeType=default&amp;virtMode=0&amp;nonVirtPosition=&amp;position=chr2:127247974-127260764","chr2:127247974-127260764")</f>
        <v>chr2:127247974-127260764</v>
      </c>
      <c r="F2436" t="s">
        <v>30</v>
      </c>
      <c r="G2436">
        <v>-0.467972598263521</v>
      </c>
      <c r="H2436">
        <v>0.15427477089569699</v>
      </c>
      <c r="I2436">
        <v>-3.03337088460116</v>
      </c>
      <c r="J2436">
        <v>2.4183817488914799E-3</v>
      </c>
      <c r="K2436">
        <v>1.32941502460615E-2</v>
      </c>
      <c r="L2436" t="s">
        <v>26</v>
      </c>
      <c r="M2436" t="s">
        <v>27</v>
      </c>
      <c r="N2436">
        <v>403.06878608523999</v>
      </c>
      <c r="O2436">
        <v>483.18211332511299</v>
      </c>
      <c r="P2436">
        <v>342.98379065533402</v>
      </c>
      <c r="Q2436">
        <v>595.76802422612604</v>
      </c>
      <c r="R2436">
        <v>440.314957642423</v>
      </c>
      <c r="S2436">
        <v>413.46335810679102</v>
      </c>
      <c r="T2436">
        <v>320.80683009068798</v>
      </c>
      <c r="U2436">
        <v>366.15490354642702</v>
      </c>
      <c r="V2436">
        <v>364.14854382269402</v>
      </c>
      <c r="W2436">
        <v>320.82488516152898</v>
      </c>
    </row>
    <row r="2437" spans="1:23" x14ac:dyDescent="0.2">
      <c r="A2437" t="s">
        <v>4879</v>
      </c>
      <c r="B2437" s="3" t="str">
        <f>HYPERLINK("http://www.ncbi.nlm.nih.gov/gene/69274","Ctdspl")</f>
        <v>Ctdspl</v>
      </c>
      <c r="C2437">
        <v>69274</v>
      </c>
      <c r="D2437" t="s">
        <v>4880</v>
      </c>
      <c r="E2437" s="3" t="str">
        <f>HYPERLINK("http://genome.ucsc.edu/cgi-bin/hgTracks?db=mm10&amp;lastVirtModeType=default&amp;lastVirtModeExtraState=&amp;virtModeType=default&amp;virtMode=0&amp;nonVirtPosition=&amp;position=chr9:118926535-119044119","chr9:118926535-119044119")</f>
        <v>chr9:118926535-119044119</v>
      </c>
      <c r="F2437" t="s">
        <v>30</v>
      </c>
      <c r="G2437">
        <v>0.55536253612998498</v>
      </c>
      <c r="H2437">
        <v>0.18312998211599599</v>
      </c>
      <c r="I2437">
        <v>3.0326139374502499</v>
      </c>
      <c r="J2437">
        <v>2.4244555267751398E-3</v>
      </c>
      <c r="K2437">
        <v>1.33210824158867E-2</v>
      </c>
      <c r="L2437" t="s">
        <v>26</v>
      </c>
      <c r="M2437" t="s">
        <v>27</v>
      </c>
      <c r="N2437">
        <v>104.47535137394701</v>
      </c>
      <c r="O2437">
        <v>82.850111109797197</v>
      </c>
      <c r="P2437">
        <v>120.694281572059</v>
      </c>
      <c r="Q2437">
        <v>91.313977544938894</v>
      </c>
      <c r="R2437">
        <v>69.782904570375393</v>
      </c>
      <c r="S2437">
        <v>87.453451214077205</v>
      </c>
      <c r="T2437">
        <v>91.659094311625296</v>
      </c>
      <c r="U2437">
        <v>132.75791824490301</v>
      </c>
      <c r="V2437">
        <v>123.589808812551</v>
      </c>
      <c r="W2437">
        <v>134.770304919155</v>
      </c>
    </row>
    <row r="2438" spans="1:23" x14ac:dyDescent="0.2">
      <c r="A2438" t="s">
        <v>4881</v>
      </c>
      <c r="B2438" s="3" t="str">
        <f>HYPERLINK("http://www.ncbi.nlm.nih.gov/gene/230796","Wdtc1")</f>
        <v>Wdtc1</v>
      </c>
      <c r="C2438">
        <v>230796</v>
      </c>
      <c r="D2438" t="s">
        <v>4882</v>
      </c>
      <c r="E2438" s="3" t="str">
        <f>HYPERLINK("http://genome.ucsc.edu/cgi-bin/hgTracks?db=mm10&amp;lastVirtModeType=default&amp;lastVirtModeExtraState=&amp;virtModeType=default&amp;virtMode=0&amp;nonVirtPosition=&amp;position=chr4:133292465-133339315","chr4:133292465-133339315")</f>
        <v>chr4:133292465-133339315</v>
      </c>
      <c r="F2438" t="s">
        <v>25</v>
      </c>
      <c r="G2438">
        <v>0.466335357065707</v>
      </c>
      <c r="H2438">
        <v>0.15378382053852399</v>
      </c>
      <c r="I2438">
        <v>3.0324084512446201</v>
      </c>
      <c r="J2438">
        <v>2.4261067650823498E-3</v>
      </c>
      <c r="K2438">
        <v>1.33210824158867E-2</v>
      </c>
      <c r="L2438" t="s">
        <v>26</v>
      </c>
      <c r="M2438" t="s">
        <v>27</v>
      </c>
      <c r="N2438">
        <v>230.43141281765199</v>
      </c>
      <c r="O2438">
        <v>189.46642336413501</v>
      </c>
      <c r="P2438">
        <v>261.15515490779001</v>
      </c>
      <c r="Q2438">
        <v>206.57003456812399</v>
      </c>
      <c r="R2438">
        <v>155.873770534915</v>
      </c>
      <c r="S2438">
        <v>205.955464989365</v>
      </c>
      <c r="T2438">
        <v>224.564781063482</v>
      </c>
      <c r="U2438">
        <v>286.92840394866198</v>
      </c>
      <c r="V2438">
        <v>280.28403069989201</v>
      </c>
      <c r="W2438">
        <v>252.84340391912301</v>
      </c>
    </row>
    <row r="2439" spans="1:23" x14ac:dyDescent="0.2">
      <c r="A2439" t="s">
        <v>4883</v>
      </c>
      <c r="B2439" s="3" t="str">
        <f>HYPERLINK("http://www.ncbi.nlm.nih.gov/gene/56461","Kcnip3")</f>
        <v>Kcnip3</v>
      </c>
      <c r="C2439">
        <v>56461</v>
      </c>
      <c r="D2439" t="s">
        <v>4884</v>
      </c>
      <c r="E2439" s="3" t="str">
        <f>HYPERLINK("http://genome.ucsc.edu/cgi-bin/hgTracks?db=mm10&amp;lastVirtModeType=default&amp;lastVirtModeExtraState=&amp;virtModeType=default&amp;virtMode=0&amp;nonVirtPosition=&amp;position=chr2:127456497-127522094","chr2:127456497-127522094")</f>
        <v>chr2:127456497-127522094</v>
      </c>
      <c r="F2439" t="s">
        <v>25</v>
      </c>
      <c r="G2439">
        <v>-0.66064056155808104</v>
      </c>
      <c r="H2439">
        <v>0.21786143642007499</v>
      </c>
      <c r="I2439">
        <v>-3.0323887164879002</v>
      </c>
      <c r="J2439">
        <v>2.4262654030578401E-3</v>
      </c>
      <c r="K2439">
        <v>1.33210824158867E-2</v>
      </c>
      <c r="L2439" t="s">
        <v>26</v>
      </c>
      <c r="M2439" t="s">
        <v>27</v>
      </c>
      <c r="N2439">
        <v>1699.1019541665701</v>
      </c>
      <c r="O2439">
        <v>2187.94558369778</v>
      </c>
      <c r="P2439">
        <v>1332.46923201818</v>
      </c>
      <c r="Q2439">
        <v>3195.4324215268598</v>
      </c>
      <c r="R2439">
        <v>1700.5790439867601</v>
      </c>
      <c r="S2439">
        <v>1667.82528557971</v>
      </c>
      <c r="T2439">
        <v>1516.9580108574</v>
      </c>
      <c r="U2439">
        <v>1460.3371006939401</v>
      </c>
      <c r="V2439">
        <v>1310.1991041378101</v>
      </c>
      <c r="W2439">
        <v>1042.3827123835499</v>
      </c>
    </row>
    <row r="2440" spans="1:23" x14ac:dyDescent="0.2">
      <c r="A2440" t="s">
        <v>4885</v>
      </c>
      <c r="B2440" s="3" t="str">
        <f>HYPERLINK("http://www.ncbi.nlm.nih.gov/gene/217340","Rnf157")</f>
        <v>Rnf157</v>
      </c>
      <c r="C2440">
        <v>217340</v>
      </c>
      <c r="D2440" t="s">
        <v>4886</v>
      </c>
      <c r="E2440" s="3" t="str">
        <f>HYPERLINK("http://genome.ucsc.edu/cgi-bin/hgTracks?db=mm10&amp;lastVirtModeType=default&amp;lastVirtModeExtraState=&amp;virtModeType=default&amp;virtMode=0&amp;nonVirtPosition=&amp;position=chr11:116336344-116413032","chr11:116336344-116413032")</f>
        <v>chr11:116336344-116413032</v>
      </c>
      <c r="F2440" t="s">
        <v>25</v>
      </c>
      <c r="G2440">
        <v>-0.50667624041832504</v>
      </c>
      <c r="H2440">
        <v>0.167115097572404</v>
      </c>
      <c r="I2440">
        <v>-3.0318998569162998</v>
      </c>
      <c r="J2440">
        <v>2.43019813570703E-3</v>
      </c>
      <c r="K2440">
        <v>1.3337206243956099E-2</v>
      </c>
      <c r="L2440" t="s">
        <v>26</v>
      </c>
      <c r="M2440" t="s">
        <v>27</v>
      </c>
      <c r="N2440">
        <v>369.93029935886801</v>
      </c>
      <c r="O2440">
        <v>451.52244955735603</v>
      </c>
      <c r="P2440">
        <v>308.73618671000202</v>
      </c>
      <c r="Q2440">
        <v>386.414026927973</v>
      </c>
      <c r="R2440">
        <v>533.99092192982903</v>
      </c>
      <c r="S2440">
        <v>434.16239981426497</v>
      </c>
      <c r="T2440">
        <v>229.147735779063</v>
      </c>
      <c r="U2440">
        <v>387.56747100528202</v>
      </c>
      <c r="V2440">
        <v>304.56060028807099</v>
      </c>
      <c r="W2440">
        <v>313.66893976759098</v>
      </c>
    </row>
    <row r="2441" spans="1:23" x14ac:dyDescent="0.2">
      <c r="A2441" t="s">
        <v>4887</v>
      </c>
      <c r="B2441" s="3" t="str">
        <f>HYPERLINK("http://www.ncbi.nlm.nih.gov/gene/59035","Carm1")</f>
        <v>Carm1</v>
      </c>
      <c r="C2441">
        <v>59035</v>
      </c>
      <c r="D2441" t="s">
        <v>4888</v>
      </c>
      <c r="E2441" s="3" t="str">
        <f>HYPERLINK("http://genome.ucsc.edu/cgi-bin/hgTracks?db=mm10&amp;lastVirtModeType=default&amp;lastVirtModeExtraState=&amp;virtModeType=default&amp;virtMode=0&amp;nonVirtPosition=&amp;position=chr9:21546893-21589465","chr9:21546893-21589465")</f>
        <v>chr9:21546893-21589465</v>
      </c>
      <c r="F2441" t="s">
        <v>30</v>
      </c>
      <c r="G2441">
        <v>0.59976810152119298</v>
      </c>
      <c r="H2441">
        <v>0.19794446917121999</v>
      </c>
      <c r="I2441">
        <v>3.02998161066273</v>
      </c>
      <c r="J2441">
        <v>2.4456862928200398E-3</v>
      </c>
      <c r="K2441">
        <v>1.3414895478439E-2</v>
      </c>
      <c r="L2441" t="s">
        <v>26</v>
      </c>
      <c r="M2441" t="s">
        <v>27</v>
      </c>
      <c r="N2441">
        <v>197.37514607557699</v>
      </c>
      <c r="O2441">
        <v>151.14605509490599</v>
      </c>
      <c r="P2441">
        <v>232.04696431107999</v>
      </c>
      <c r="Q2441">
        <v>116.92643466120199</v>
      </c>
      <c r="R2441">
        <v>148.667927128191</v>
      </c>
      <c r="S2441">
        <v>187.843803495326</v>
      </c>
      <c r="T2441">
        <v>160.40341504534399</v>
      </c>
      <c r="U2441">
        <v>295.49343093220398</v>
      </c>
      <c r="V2441">
        <v>236.14481326683801</v>
      </c>
      <c r="W2441">
        <v>236.146197999935</v>
      </c>
    </row>
    <row r="2442" spans="1:23" x14ac:dyDescent="0.2">
      <c r="A2442" t="s">
        <v>4889</v>
      </c>
      <c r="B2442" s="3" t="str">
        <f>HYPERLINK("http://www.ncbi.nlm.nih.gov/gene/208846","Daam1")</f>
        <v>Daam1</v>
      </c>
      <c r="C2442">
        <v>208846</v>
      </c>
      <c r="D2442" t="s">
        <v>4890</v>
      </c>
      <c r="E2442" s="3" t="str">
        <f>HYPERLINK("http://genome.ucsc.edu/cgi-bin/hgTracks?db=mm10&amp;lastVirtModeType=default&amp;lastVirtModeExtraState=&amp;virtModeType=default&amp;virtMode=0&amp;nonVirtPosition=&amp;position=chr12:71831067-71992376","chr12:71831067-71992376")</f>
        <v>chr12:71831067-71992376</v>
      </c>
      <c r="F2442" t="s">
        <v>30</v>
      </c>
      <c r="G2442">
        <v>0.39681072884229002</v>
      </c>
      <c r="H2442">
        <v>0.13096501427183899</v>
      </c>
      <c r="I2442">
        <v>3.0298987179785599</v>
      </c>
      <c r="J2442">
        <v>2.4463576102119401E-3</v>
      </c>
      <c r="K2442">
        <v>1.3414895478439E-2</v>
      </c>
      <c r="L2442" t="s">
        <v>26</v>
      </c>
      <c r="M2442" t="s">
        <v>27</v>
      </c>
      <c r="N2442">
        <v>344.26248912543298</v>
      </c>
      <c r="O2442">
        <v>292.21662767161399</v>
      </c>
      <c r="P2442">
        <v>383.29688521579698</v>
      </c>
      <c r="Q2442">
        <v>317.371751223263</v>
      </c>
      <c r="R2442">
        <v>304.16244274696197</v>
      </c>
      <c r="S2442">
        <v>255.115689044616</v>
      </c>
      <c r="T2442">
        <v>357.47046781533902</v>
      </c>
      <c r="U2442">
        <v>357.589876562884</v>
      </c>
      <c r="V2442">
        <v>418.58691199012702</v>
      </c>
      <c r="W2442">
        <v>399.54028449484002</v>
      </c>
    </row>
    <row r="2443" spans="1:23" x14ac:dyDescent="0.2">
      <c r="A2443" t="s">
        <v>4891</v>
      </c>
      <c r="B2443" s="3" t="str">
        <f>HYPERLINK("http://www.ncbi.nlm.nih.gov/gene/14678","Gnai2")</f>
        <v>Gnai2</v>
      </c>
      <c r="C2443">
        <v>14678</v>
      </c>
      <c r="D2443" t="s">
        <v>4892</v>
      </c>
      <c r="E2443" s="3" t="str">
        <f>HYPERLINK("http://genome.ucsc.edu/cgi-bin/hgTracks?db=mm10&amp;lastVirtModeType=default&amp;lastVirtModeExtraState=&amp;virtModeType=default&amp;virtMode=0&amp;nonVirtPosition=&amp;position=chr9:107614137-107635342","chr9:107614137-107635342")</f>
        <v>chr9:107614137-107635342</v>
      </c>
      <c r="F2443" t="s">
        <v>25</v>
      </c>
      <c r="G2443">
        <v>-0.37597938747548498</v>
      </c>
      <c r="H2443">
        <v>0.124120726914663</v>
      </c>
      <c r="I2443">
        <v>-3.0291426486245498</v>
      </c>
      <c r="J2443">
        <v>2.4524885262065801E-3</v>
      </c>
      <c r="K2443">
        <v>1.34430101737341E-2</v>
      </c>
      <c r="L2443" t="s">
        <v>26</v>
      </c>
      <c r="M2443" t="s">
        <v>27</v>
      </c>
      <c r="N2443">
        <v>1275.9157440300401</v>
      </c>
      <c r="O2443">
        <v>1474.22217335409</v>
      </c>
      <c r="P2443">
        <v>1127.185922037</v>
      </c>
      <c r="Q2443">
        <v>1668.1504678331501</v>
      </c>
      <c r="R2443">
        <v>1452.54632882901</v>
      </c>
      <c r="S2443">
        <v>1301.9697234001101</v>
      </c>
      <c r="T2443">
        <v>1067.82844873043</v>
      </c>
      <c r="U2443">
        <v>1241.92891261361</v>
      </c>
      <c r="V2443">
        <v>1144.6770387638601</v>
      </c>
      <c r="W2443">
        <v>1054.30928804012</v>
      </c>
    </row>
    <row r="2444" spans="1:23" x14ac:dyDescent="0.2">
      <c r="A2444" t="s">
        <v>4893</v>
      </c>
      <c r="B2444" s="3" t="str">
        <f>HYPERLINK("http://www.ncbi.nlm.nih.gov/gene/13645","Egf")</f>
        <v>Egf</v>
      </c>
      <c r="C2444">
        <v>13645</v>
      </c>
      <c r="D2444" t="s">
        <v>4894</v>
      </c>
      <c r="E2444" s="3" t="str">
        <f>HYPERLINK("http://genome.ucsc.edu/cgi-bin/hgTracks?db=mm10&amp;lastVirtModeType=default&amp;lastVirtModeExtraState=&amp;virtModeType=default&amp;virtMode=0&amp;nonVirtPosition=&amp;position=chr3:129677576-129755322","chr3:129677576-129755322")</f>
        <v>chr3:129677576-129755322</v>
      </c>
      <c r="F2444" t="s">
        <v>25</v>
      </c>
      <c r="G2444">
        <v>0.88066059603715097</v>
      </c>
      <c r="H2444">
        <v>0.29075564311096003</v>
      </c>
      <c r="I2444">
        <v>3.0288684567372899</v>
      </c>
      <c r="J2444">
        <v>2.45471540182175E-3</v>
      </c>
      <c r="K2444">
        <v>1.34497111071175E-2</v>
      </c>
      <c r="L2444" t="s">
        <v>26</v>
      </c>
      <c r="M2444" t="s">
        <v>27</v>
      </c>
      <c r="N2444">
        <v>25.277963134376702</v>
      </c>
      <c r="O2444">
        <v>16.129585039626399</v>
      </c>
      <c r="P2444">
        <v>32.139246705439398</v>
      </c>
      <c r="Q2444">
        <v>19.487739110200401</v>
      </c>
      <c r="R2444">
        <v>14.411686813447099</v>
      </c>
      <c r="S2444">
        <v>14.489329195231701</v>
      </c>
      <c r="T2444">
        <v>22.914773577906299</v>
      </c>
      <c r="U2444">
        <v>36.401364680054101</v>
      </c>
      <c r="V2444">
        <v>28.690491331484999</v>
      </c>
      <c r="W2444">
        <v>40.550357232312201</v>
      </c>
    </row>
    <row r="2445" spans="1:23" x14ac:dyDescent="0.2">
      <c r="A2445" t="s">
        <v>4895</v>
      </c>
      <c r="B2445" s="3" t="str">
        <f>HYPERLINK("http://www.ncbi.nlm.nih.gov/gene/26931","Ppp2r5c")</f>
        <v>Ppp2r5c</v>
      </c>
      <c r="C2445">
        <v>26931</v>
      </c>
      <c r="D2445" t="s">
        <v>4896</v>
      </c>
      <c r="E2445" s="3" t="str">
        <f>HYPERLINK("http://genome.ucsc.edu/cgi-bin/hgTracks?db=mm10&amp;lastVirtModeType=default&amp;lastVirtModeExtraState=&amp;virtModeType=default&amp;virtMode=0&amp;nonVirtPosition=&amp;position=chr12:110485738-110583074","chr12:110485738-110583074")</f>
        <v>chr12:110485738-110583074</v>
      </c>
      <c r="F2445" t="s">
        <v>30</v>
      </c>
      <c r="G2445">
        <v>-0.36174999413782499</v>
      </c>
      <c r="H2445">
        <v>0.11945305850989101</v>
      </c>
      <c r="I2445">
        <v>-3.0283862016632401</v>
      </c>
      <c r="J2445">
        <v>2.4586365721026701E-3</v>
      </c>
      <c r="K2445">
        <v>1.34656860274139E-2</v>
      </c>
      <c r="L2445" t="s">
        <v>26</v>
      </c>
      <c r="M2445" t="s">
        <v>27</v>
      </c>
      <c r="N2445">
        <v>778.071320020798</v>
      </c>
      <c r="O2445">
        <v>895.35894355630296</v>
      </c>
      <c r="P2445">
        <v>690.10560236916899</v>
      </c>
      <c r="Q2445">
        <v>841.31353701465002</v>
      </c>
      <c r="R2445">
        <v>927.27826997047805</v>
      </c>
      <c r="S2445">
        <v>917.48502368378104</v>
      </c>
      <c r="T2445">
        <v>646.19661489695795</v>
      </c>
      <c r="U2445">
        <v>749.43986105993702</v>
      </c>
      <c r="V2445">
        <v>757.723232600757</v>
      </c>
      <c r="W2445">
        <v>607.06270091902604</v>
      </c>
    </row>
    <row r="2446" spans="1:23" x14ac:dyDescent="0.2">
      <c r="A2446" t="s">
        <v>4897</v>
      </c>
      <c r="B2446" s="3" t="str">
        <f>HYPERLINK("http://www.ncbi.nlm.nih.gov/gene/22065","Trpc3")</f>
        <v>Trpc3</v>
      </c>
      <c r="C2446">
        <v>22065</v>
      </c>
      <c r="D2446" t="s">
        <v>4898</v>
      </c>
      <c r="E2446" s="3" t="str">
        <f>HYPERLINK("http://genome.ucsc.edu/cgi-bin/hgTracks?db=mm10&amp;lastVirtModeType=default&amp;lastVirtModeExtraState=&amp;virtModeType=default&amp;virtMode=0&amp;nonVirtPosition=&amp;position=chr3:36620481-36690167","chr3:36620481-36690167")</f>
        <v>chr3:36620481-36690167</v>
      </c>
      <c r="F2446" t="s">
        <v>25</v>
      </c>
      <c r="G2446">
        <v>-0.96114631245093496</v>
      </c>
      <c r="H2446">
        <v>0.31739431214658997</v>
      </c>
      <c r="I2446">
        <v>-3.0282405061090798</v>
      </c>
      <c r="J2446">
        <v>2.4598223357189699E-3</v>
      </c>
      <c r="K2446">
        <v>1.3466672484714899E-2</v>
      </c>
      <c r="L2446" t="s">
        <v>26</v>
      </c>
      <c r="M2446" t="s">
        <v>27</v>
      </c>
      <c r="N2446">
        <v>44.4091124572019</v>
      </c>
      <c r="O2446">
        <v>66.312805904983094</v>
      </c>
      <c r="P2446">
        <v>27.981342371365901</v>
      </c>
      <c r="Q2446">
        <v>57.349632238589699</v>
      </c>
      <c r="R2446">
        <v>102.778082274846</v>
      </c>
      <c r="S2446">
        <v>38.810703201513597</v>
      </c>
      <c r="T2446">
        <v>13.7488641467438</v>
      </c>
      <c r="U2446">
        <v>40.683878171825199</v>
      </c>
      <c r="V2446">
        <v>26.483530459832298</v>
      </c>
      <c r="W2446">
        <v>31.009096707062199</v>
      </c>
    </row>
    <row r="2447" spans="1:23" x14ac:dyDescent="0.2">
      <c r="A2447" t="s">
        <v>4899</v>
      </c>
      <c r="B2447" s="3" t="str">
        <f>HYPERLINK("http://www.ncbi.nlm.nih.gov/gene/223649","Nrbp2")</f>
        <v>Nrbp2</v>
      </c>
      <c r="C2447">
        <v>223649</v>
      </c>
      <c r="D2447" t="s">
        <v>4900</v>
      </c>
      <c r="E2447" s="3" t="str">
        <f>HYPERLINK("http://genome.ucsc.edu/cgi-bin/hgTracks?db=mm10&amp;lastVirtModeType=default&amp;lastVirtModeExtraState=&amp;virtModeType=default&amp;virtMode=0&amp;nonVirtPosition=&amp;position=chr15:76085593-76090013","chr15:76085593-76090013")</f>
        <v>chr15:76085593-76090013</v>
      </c>
      <c r="F2447" t="s">
        <v>25</v>
      </c>
      <c r="G2447">
        <v>0.57609614988963498</v>
      </c>
      <c r="H2447">
        <v>0.19026335745162701</v>
      </c>
      <c r="I2447">
        <v>3.0278880684427198</v>
      </c>
      <c r="J2447">
        <v>2.46269286318597E-3</v>
      </c>
      <c r="K2447">
        <v>1.34768778630664E-2</v>
      </c>
      <c r="L2447" t="s">
        <v>26</v>
      </c>
      <c r="M2447" t="s">
        <v>27</v>
      </c>
      <c r="N2447">
        <v>195.44110936286</v>
      </c>
      <c r="O2447">
        <v>150.212088520712</v>
      </c>
      <c r="P2447">
        <v>229.36287499446999</v>
      </c>
      <c r="Q2447">
        <v>179.84399235984901</v>
      </c>
      <c r="R2447">
        <v>148.667927128191</v>
      </c>
      <c r="S2447">
        <v>122.124346074096</v>
      </c>
      <c r="T2447">
        <v>206.23296220115699</v>
      </c>
      <c r="U2447">
        <v>256.95080950626402</v>
      </c>
      <c r="V2447">
        <v>178.763830603868</v>
      </c>
      <c r="W2447">
        <v>275.503897666591</v>
      </c>
    </row>
    <row r="2448" spans="1:23" x14ac:dyDescent="0.2">
      <c r="A2448" t="s">
        <v>4901</v>
      </c>
      <c r="B2448" s="3" t="str">
        <f>HYPERLINK("http://www.ncbi.nlm.nih.gov/gene/18549","Pcsk2")</f>
        <v>Pcsk2</v>
      </c>
      <c r="C2448">
        <v>18549</v>
      </c>
      <c r="D2448" t="s">
        <v>4902</v>
      </c>
      <c r="E2448" s="3" t="str">
        <f>HYPERLINK("http://genome.ucsc.edu/cgi-bin/hgTracks?db=mm10&amp;lastVirtModeType=default&amp;lastVirtModeExtraState=&amp;virtModeType=default&amp;virtMode=0&amp;nonVirtPosition=&amp;position=chr2:143546132-143816282","chr2:143546132-143816282")</f>
        <v>chr2:143546132-143816282</v>
      </c>
      <c r="F2448" t="s">
        <v>30</v>
      </c>
      <c r="G2448">
        <v>-0.84586407127823604</v>
      </c>
      <c r="H2448">
        <v>0.2794452375357</v>
      </c>
      <c r="I2448">
        <v>-3.0269403720654702</v>
      </c>
      <c r="J2448">
        <v>2.4704268516083801E-3</v>
      </c>
      <c r="K2448">
        <v>1.3510029976303701E-2</v>
      </c>
      <c r="L2448" t="s">
        <v>26</v>
      </c>
      <c r="M2448" t="s">
        <v>27</v>
      </c>
      <c r="N2448">
        <v>118.353727824079</v>
      </c>
      <c r="O2448">
        <v>163.18154338251699</v>
      </c>
      <c r="P2448">
        <v>84.7328661552515</v>
      </c>
      <c r="Q2448">
        <v>217.70588548823801</v>
      </c>
      <c r="R2448">
        <v>186.97267365866901</v>
      </c>
      <c r="S2448">
        <v>84.866071000643004</v>
      </c>
      <c r="T2448">
        <v>100.825003742788</v>
      </c>
      <c r="U2448">
        <v>100.63906705661999</v>
      </c>
      <c r="V2448">
        <v>55.174021791317301</v>
      </c>
      <c r="W2448">
        <v>82.293372030280594</v>
      </c>
    </row>
    <row r="2449" spans="1:23" x14ac:dyDescent="0.2">
      <c r="A2449" t="s">
        <v>4903</v>
      </c>
      <c r="B2449" s="3" t="str">
        <f>HYPERLINK("http://www.ncbi.nlm.nih.gov/gene/74185","Gbe1")</f>
        <v>Gbe1</v>
      </c>
      <c r="C2449">
        <v>74185</v>
      </c>
      <c r="D2449" t="s">
        <v>4904</v>
      </c>
      <c r="E2449" s="3" t="str">
        <f>HYPERLINK("http://genome.ucsc.edu/cgi-bin/hgTracks?db=mm10&amp;lastVirtModeType=default&amp;lastVirtModeExtraState=&amp;virtModeType=default&amp;virtMode=0&amp;nonVirtPosition=&amp;position=chr16:70313948-70569720","chr16:70313948-70569720")</f>
        <v>chr16:70313948-70569720</v>
      </c>
      <c r="F2449" t="s">
        <v>30</v>
      </c>
      <c r="G2449">
        <v>-0.81893342291593096</v>
      </c>
      <c r="H2449">
        <v>0.27055198907495198</v>
      </c>
      <c r="I2449">
        <v>-3.0268985480977499</v>
      </c>
      <c r="J2449">
        <v>2.4707686813507401E-3</v>
      </c>
      <c r="K2449">
        <v>1.3510029976303701E-2</v>
      </c>
      <c r="L2449" t="s">
        <v>26</v>
      </c>
      <c r="M2449" t="s">
        <v>27</v>
      </c>
      <c r="N2449">
        <v>79.423324218338607</v>
      </c>
      <c r="O2449">
        <v>113.08263567018901</v>
      </c>
      <c r="P2449">
        <v>54.178840629450697</v>
      </c>
      <c r="Q2449">
        <v>96.325110458990395</v>
      </c>
      <c r="R2449">
        <v>139.94506405689401</v>
      </c>
      <c r="S2449">
        <v>102.977732494683</v>
      </c>
      <c r="T2449">
        <v>22.914773577906299</v>
      </c>
      <c r="U2449">
        <v>40.683878171825199</v>
      </c>
      <c r="V2449">
        <v>77.979284131728406</v>
      </c>
      <c r="W2449">
        <v>75.137426636343093</v>
      </c>
    </row>
    <row r="2450" spans="1:23" x14ac:dyDescent="0.2">
      <c r="A2450" t="s">
        <v>4905</v>
      </c>
      <c r="B2450" s="3" t="str">
        <f>HYPERLINK("http://www.ncbi.nlm.nih.gov/gene/64660","Mrps24")</f>
        <v>Mrps24</v>
      </c>
      <c r="C2450">
        <v>64660</v>
      </c>
      <c r="D2450" t="s">
        <v>4906</v>
      </c>
      <c r="E2450" s="3" t="str">
        <f>HYPERLINK("http://genome.ucsc.edu/cgi-bin/hgTracks?db=mm10&amp;lastVirtModeType=default&amp;lastVirtModeExtraState=&amp;virtModeType=default&amp;virtMode=0&amp;nonVirtPosition=&amp;position=chr11:5703982-5707699","chr11:5703982-5707699")</f>
        <v>chr11:5703982-5707699</v>
      </c>
      <c r="F2450" t="s">
        <v>25</v>
      </c>
      <c r="G2450">
        <v>-0.64386515828818103</v>
      </c>
      <c r="H2450">
        <v>0.212769811400424</v>
      </c>
      <c r="I2450">
        <v>-3.0261114302369299</v>
      </c>
      <c r="J2450">
        <v>2.4772099185289601E-3</v>
      </c>
      <c r="K2450">
        <v>1.35349926373283E-2</v>
      </c>
      <c r="L2450" t="s">
        <v>26</v>
      </c>
      <c r="M2450" t="s">
        <v>27</v>
      </c>
      <c r="N2450">
        <v>63.432902024339903</v>
      </c>
      <c r="O2450">
        <v>81.059597964273095</v>
      </c>
      <c r="P2450">
        <v>50.212880069390103</v>
      </c>
      <c r="Q2450">
        <v>69.599068250715604</v>
      </c>
      <c r="R2450">
        <v>84.573846299965894</v>
      </c>
      <c r="S2450">
        <v>89.005879342137803</v>
      </c>
      <c r="T2450">
        <v>45.829547155812598</v>
      </c>
      <c r="U2450">
        <v>59.955188884795</v>
      </c>
      <c r="V2450">
        <v>48.553139176359203</v>
      </c>
      <c r="W2450">
        <v>46.513645060593397</v>
      </c>
    </row>
    <row r="2451" spans="1:23" x14ac:dyDescent="0.2">
      <c r="A2451" t="s">
        <v>4907</v>
      </c>
      <c r="B2451" s="3" t="str">
        <f>HYPERLINK("http://www.ncbi.nlm.nih.gov/gene/108899","2700081O15Rik")</f>
        <v>2700081O15Rik</v>
      </c>
      <c r="C2451">
        <v>108899</v>
      </c>
      <c r="D2451" t="s">
        <v>4908</v>
      </c>
      <c r="E2451" s="3" t="str">
        <f>HYPERLINK("http://genome.ucsc.edu/cgi-bin/hgTracks?db=mm10&amp;lastVirtModeType=default&amp;lastVirtModeExtraState=&amp;virtModeType=default&amp;virtMode=0&amp;nonVirtPosition=&amp;position=chr19:7417624-7425904","chr19:7417624-7425904")</f>
        <v>chr19:7417624-7425904</v>
      </c>
      <c r="F2451" t="s">
        <v>30</v>
      </c>
      <c r="G2451">
        <v>0.58109486003117194</v>
      </c>
      <c r="H2451">
        <v>0.192028048040496</v>
      </c>
      <c r="I2451">
        <v>3.02609366684093</v>
      </c>
      <c r="J2451">
        <v>2.4773554591958399E-3</v>
      </c>
      <c r="K2451">
        <v>1.35349926373283E-2</v>
      </c>
      <c r="L2451" t="s">
        <v>26</v>
      </c>
      <c r="M2451" t="s">
        <v>27</v>
      </c>
      <c r="N2451">
        <v>321.64517968780598</v>
      </c>
      <c r="O2451">
        <v>246.46014984124901</v>
      </c>
      <c r="P2451">
        <v>378.033952072722</v>
      </c>
      <c r="Q2451">
        <v>268.37400717475902</v>
      </c>
      <c r="R2451">
        <v>172.940241761365</v>
      </c>
      <c r="S2451">
        <v>298.066200587624</v>
      </c>
      <c r="T2451">
        <v>352.88751309975697</v>
      </c>
      <c r="U2451">
        <v>428.25134917710699</v>
      </c>
      <c r="V2451">
        <v>311.18148290302901</v>
      </c>
      <c r="W2451">
        <v>419.81546311099601</v>
      </c>
    </row>
    <row r="2452" spans="1:23" x14ac:dyDescent="0.2">
      <c r="A2452" t="s">
        <v>4909</v>
      </c>
      <c r="B2452" s="3" t="str">
        <f>HYPERLINK("http://www.ncbi.nlm.nih.gov/gene/58239","Dexi")</f>
        <v>Dexi</v>
      </c>
      <c r="C2452">
        <v>58239</v>
      </c>
      <c r="D2452" t="s">
        <v>4910</v>
      </c>
      <c r="E2452" s="3" t="str">
        <f>HYPERLINK("http://genome.ucsc.edu/cgi-bin/hgTracks?db=mm10&amp;lastVirtModeType=default&amp;lastVirtModeExtraState=&amp;virtModeType=default&amp;virtMode=0&amp;nonVirtPosition=&amp;position=chr16:10530206-10543054","chr16:10530206-10543054")</f>
        <v>chr16:10530206-10543054</v>
      </c>
      <c r="F2452" t="s">
        <v>25</v>
      </c>
      <c r="G2452">
        <v>0.61781031962156996</v>
      </c>
      <c r="H2452">
        <v>0.20423761797770601</v>
      </c>
      <c r="I2452">
        <v>3.0249585053866399</v>
      </c>
      <c r="J2452">
        <v>2.4866724081208402E-3</v>
      </c>
      <c r="K2452">
        <v>1.3574818678004899E-2</v>
      </c>
      <c r="L2452" t="s">
        <v>26</v>
      </c>
      <c r="M2452" t="s">
        <v>27</v>
      </c>
      <c r="N2452">
        <v>89.7715160194372</v>
      </c>
      <c r="O2452">
        <v>67.037663456609593</v>
      </c>
      <c r="P2452">
        <v>106.821905441558</v>
      </c>
      <c r="Q2452">
        <v>86.302844630887407</v>
      </c>
      <c r="R2452">
        <v>58.405257086075103</v>
      </c>
      <c r="S2452">
        <v>56.404888652866397</v>
      </c>
      <c r="T2452">
        <v>109.99091317395001</v>
      </c>
      <c r="U2452">
        <v>113.486607531933</v>
      </c>
      <c r="V2452">
        <v>100.04889284825499</v>
      </c>
      <c r="W2452">
        <v>103.761208212093</v>
      </c>
    </row>
    <row r="2453" spans="1:23" x14ac:dyDescent="0.2">
      <c r="A2453" t="s">
        <v>4911</v>
      </c>
      <c r="B2453" s="3" t="str">
        <f>HYPERLINK("http://www.ncbi.nlm.nih.gov/gene/66317","Wdr61")</f>
        <v>Wdr61</v>
      </c>
      <c r="C2453">
        <v>66317</v>
      </c>
      <c r="D2453" t="s">
        <v>4912</v>
      </c>
      <c r="E2453" s="3" t="str">
        <f>HYPERLINK("http://genome.ucsc.edu/cgi-bin/hgTracks?db=mm10&amp;lastVirtModeType=default&amp;lastVirtModeExtraState=&amp;virtModeType=default&amp;virtMode=0&amp;nonVirtPosition=&amp;position=chr9:54717152-54734549","chr9:54717152-54734549")</f>
        <v>chr9:54717152-54734549</v>
      </c>
      <c r="F2453" t="s">
        <v>25</v>
      </c>
      <c r="G2453">
        <v>-0.54616592298119204</v>
      </c>
      <c r="H2453">
        <v>0.180594287817986</v>
      </c>
      <c r="I2453">
        <v>-3.0242702002383002</v>
      </c>
      <c r="J2453">
        <v>2.4923373412248399E-3</v>
      </c>
      <c r="K2453">
        <v>1.36001994035623E-2</v>
      </c>
      <c r="L2453" t="s">
        <v>26</v>
      </c>
      <c r="M2453" t="s">
        <v>27</v>
      </c>
      <c r="N2453">
        <v>126.849712915007</v>
      </c>
      <c r="O2453">
        <v>156.512769033495</v>
      </c>
      <c r="P2453">
        <v>104.602420826141</v>
      </c>
      <c r="Q2453">
        <v>130.28945576533999</v>
      </c>
      <c r="R2453">
        <v>186.59341874252601</v>
      </c>
      <c r="S2453">
        <v>152.65543259262</v>
      </c>
      <c r="T2453">
        <v>96.242049027206505</v>
      </c>
      <c r="U2453">
        <v>113.486607531933</v>
      </c>
      <c r="V2453">
        <v>103.727160967676</v>
      </c>
      <c r="W2453">
        <v>104.953865777749</v>
      </c>
    </row>
    <row r="2454" spans="1:23" x14ac:dyDescent="0.2">
      <c r="A2454" t="s">
        <v>4913</v>
      </c>
      <c r="B2454" s="3" t="str">
        <f>HYPERLINK("http://www.ncbi.nlm.nih.gov/gene/67466","Pdcl")</f>
        <v>Pdcl</v>
      </c>
      <c r="C2454">
        <v>67466</v>
      </c>
      <c r="D2454" t="s">
        <v>4914</v>
      </c>
      <c r="E2454" s="3" t="str">
        <f>HYPERLINK("http://genome.ucsc.edu/cgi-bin/hgTracks?db=mm10&amp;lastVirtModeType=default&amp;lastVirtModeExtraState=&amp;virtModeType=default&amp;virtMode=0&amp;nonVirtPosition=&amp;position=chr2:37350073-37359332","chr2:37350073-37359332")</f>
        <v>chr2:37350073-37359332</v>
      </c>
      <c r="F2454" t="s">
        <v>25</v>
      </c>
      <c r="G2454">
        <v>-0.49196909330459998</v>
      </c>
      <c r="H2454">
        <v>0.16270026886272301</v>
      </c>
      <c r="I2454">
        <v>-3.0237755397914801</v>
      </c>
      <c r="J2454">
        <v>2.49641581617727E-3</v>
      </c>
      <c r="K2454">
        <v>1.36169059855111E-2</v>
      </c>
      <c r="L2454" t="s">
        <v>26</v>
      </c>
      <c r="M2454" t="s">
        <v>27</v>
      </c>
      <c r="N2454">
        <v>227.240654530592</v>
      </c>
      <c r="O2454">
        <v>273.32648633140599</v>
      </c>
      <c r="P2454">
        <v>192.676280679982</v>
      </c>
      <c r="Q2454">
        <v>326.28043195935498</v>
      </c>
      <c r="R2454">
        <v>242.72314633174099</v>
      </c>
      <c r="S2454">
        <v>250.97588070312099</v>
      </c>
      <c r="T2454">
        <v>215.39887163231899</v>
      </c>
      <c r="U2454">
        <v>179.86556665438499</v>
      </c>
      <c r="V2454">
        <v>209.66128280700599</v>
      </c>
      <c r="W2454">
        <v>165.77940162621701</v>
      </c>
    </row>
    <row r="2455" spans="1:23" x14ac:dyDescent="0.2">
      <c r="A2455" t="s">
        <v>4915</v>
      </c>
      <c r="B2455" s="3" t="str">
        <f>HYPERLINK("http://www.ncbi.nlm.nih.gov/gene/93708","Pcdhgc5")</f>
        <v>Pcdhgc5</v>
      </c>
      <c r="C2455">
        <v>93708</v>
      </c>
      <c r="D2455" t="s">
        <v>4916</v>
      </c>
      <c r="E2455" s="3" t="str">
        <f>HYPERLINK("http://genome.ucsc.edu/cgi-bin/hgTracks?db=mm10&amp;lastVirtModeType=default&amp;lastVirtModeExtraState=&amp;virtModeType=default&amp;virtMode=0&amp;nonVirtPosition=&amp;position=chr18:37819545-37841872","chr18:37819545-37841872")</f>
        <v>chr18:37819545-37841872</v>
      </c>
      <c r="F2455" t="s">
        <v>30</v>
      </c>
      <c r="G2455">
        <v>0.64061281664175296</v>
      </c>
      <c r="H2455">
        <v>0.211934950733731</v>
      </c>
      <c r="I2455">
        <v>3.02268603844677</v>
      </c>
      <c r="J2455">
        <v>2.5054202962238301E-3</v>
      </c>
      <c r="K2455">
        <v>1.3660457323588501E-2</v>
      </c>
      <c r="L2455" t="s">
        <v>26</v>
      </c>
      <c r="M2455" t="s">
        <v>27</v>
      </c>
      <c r="N2455">
        <v>126.930824165639</v>
      </c>
      <c r="O2455">
        <v>95.496735756925005</v>
      </c>
      <c r="P2455">
        <v>150.50639047217399</v>
      </c>
      <c r="Q2455">
        <v>86.859637176893102</v>
      </c>
      <c r="R2455">
        <v>76.988747977098996</v>
      </c>
      <c r="S2455">
        <v>122.641822116783</v>
      </c>
      <c r="T2455">
        <v>114.573867889532</v>
      </c>
      <c r="U2455">
        <v>167.018026179072</v>
      </c>
      <c r="V2455">
        <v>186.856020466594</v>
      </c>
      <c r="W2455">
        <v>133.577647353499</v>
      </c>
    </row>
    <row r="2456" spans="1:23" x14ac:dyDescent="0.2">
      <c r="A2456" t="s">
        <v>4917</v>
      </c>
      <c r="B2456" s="3" t="str">
        <f>HYPERLINK("http://www.ncbi.nlm.nih.gov/gene/68497","Arel1")</f>
        <v>Arel1</v>
      </c>
      <c r="C2456">
        <v>68497</v>
      </c>
      <c r="D2456" t="s">
        <v>4918</v>
      </c>
      <c r="E2456" s="3" t="str">
        <f>HYPERLINK("http://genome.ucsc.edu/cgi-bin/hgTracks?db=mm10&amp;lastVirtModeType=default&amp;lastVirtModeExtraState=&amp;virtModeType=default&amp;virtMode=0&amp;nonVirtPosition=&amp;position=chr12:84918148-84970886","chr12:84918148-84970886")</f>
        <v>chr12:84918148-84970886</v>
      </c>
      <c r="F2456" t="s">
        <v>25</v>
      </c>
      <c r="G2456">
        <v>-0.410062938088046</v>
      </c>
      <c r="H2456">
        <v>0.13568044357137499</v>
      </c>
      <c r="I2456">
        <v>-3.0222700287114801</v>
      </c>
      <c r="J2456">
        <v>2.5088663530774399E-3</v>
      </c>
      <c r="K2456">
        <v>1.36731661991846E-2</v>
      </c>
      <c r="L2456" t="s">
        <v>26</v>
      </c>
      <c r="M2456" t="s">
        <v>27</v>
      </c>
      <c r="N2456">
        <v>562.60415085807904</v>
      </c>
      <c r="O2456">
        <v>655.49508417194602</v>
      </c>
      <c r="P2456">
        <v>492.93595087267897</v>
      </c>
      <c r="Q2456">
        <v>772.271261309941</v>
      </c>
      <c r="R2456">
        <v>603.77382650020502</v>
      </c>
      <c r="S2456">
        <v>590.44016470569295</v>
      </c>
      <c r="T2456">
        <v>540.78865643858899</v>
      </c>
      <c r="U2456">
        <v>498.91282179132997</v>
      </c>
      <c r="V2456">
        <v>484.79573813970802</v>
      </c>
      <c r="W2456">
        <v>447.24658712108999</v>
      </c>
    </row>
    <row r="2457" spans="1:23" x14ac:dyDescent="0.2">
      <c r="A2457" t="s">
        <v>4919</v>
      </c>
      <c r="B2457" s="3" t="str">
        <f>HYPERLINK("http://www.ncbi.nlm.nih.gov/gene/53332","Mtmr1")</f>
        <v>Mtmr1</v>
      </c>
      <c r="C2457">
        <v>53332</v>
      </c>
      <c r="D2457" t="s">
        <v>4920</v>
      </c>
      <c r="E2457" s="3" t="str">
        <f>HYPERLINK("http://genome.ucsc.edu/cgi-bin/hgTracks?db=mm10&amp;lastVirtModeType=default&amp;lastVirtModeExtraState=&amp;virtModeType=default&amp;virtMode=0&amp;nonVirtPosition=&amp;position=chrX:71364759-71419196","chrX:71364759-71419196")</f>
        <v>chrX:71364759-71419196</v>
      </c>
      <c r="F2457" t="s">
        <v>30</v>
      </c>
      <c r="G2457">
        <v>-0.387992824904482</v>
      </c>
      <c r="H2457">
        <v>0.128382697934805</v>
      </c>
      <c r="I2457">
        <v>-3.0221582124836801</v>
      </c>
      <c r="J2457">
        <v>2.5097933326559399E-3</v>
      </c>
      <c r="K2457">
        <v>1.36731661991846E-2</v>
      </c>
      <c r="L2457" t="s">
        <v>26</v>
      </c>
      <c r="M2457" t="s">
        <v>27</v>
      </c>
      <c r="N2457">
        <v>316.834237278427</v>
      </c>
      <c r="O2457">
        <v>368.49742711416502</v>
      </c>
      <c r="P2457">
        <v>278.08684490162301</v>
      </c>
      <c r="Q2457">
        <v>357.46081453567501</v>
      </c>
      <c r="R2457">
        <v>398.21766195051202</v>
      </c>
      <c r="S2457">
        <v>349.81380485630899</v>
      </c>
      <c r="T2457">
        <v>274.97728293487597</v>
      </c>
      <c r="U2457">
        <v>274.08086347334898</v>
      </c>
      <c r="V2457">
        <v>310.44582927914502</v>
      </c>
      <c r="W2457">
        <v>252.84340391912301</v>
      </c>
    </row>
    <row r="2458" spans="1:23" x14ac:dyDescent="0.2">
      <c r="A2458" t="s">
        <v>4921</v>
      </c>
      <c r="B2458" s="3" t="str">
        <f>HYPERLINK("http://www.ncbi.nlm.nih.gov/gene/66667","Hspbap1")</f>
        <v>Hspbap1</v>
      </c>
      <c r="C2458">
        <v>66667</v>
      </c>
      <c r="D2458" t="s">
        <v>4922</v>
      </c>
      <c r="E2458" s="3" t="str">
        <f>HYPERLINK("http://genome.ucsc.edu/cgi-bin/hgTracks?db=mm10&amp;lastVirtModeType=default&amp;lastVirtModeExtraState=&amp;virtModeType=default&amp;virtMode=0&amp;nonVirtPosition=&amp;position=chr16:35770385-35828462","chr16:35770385-35828462")</f>
        <v>chr16:35770385-35828462</v>
      </c>
      <c r="F2458" t="s">
        <v>30</v>
      </c>
      <c r="G2458">
        <v>0.78565638378858804</v>
      </c>
      <c r="H2458">
        <v>0.26003721648505901</v>
      </c>
      <c r="I2458">
        <v>3.02132284912275</v>
      </c>
      <c r="J2458">
        <v>2.5167285872115101E-3</v>
      </c>
      <c r="K2458">
        <v>1.37033557222461E-2</v>
      </c>
      <c r="L2458" t="s">
        <v>26</v>
      </c>
      <c r="M2458" t="s">
        <v>27</v>
      </c>
      <c r="N2458">
        <v>35.2568926927379</v>
      </c>
      <c r="O2458">
        <v>24.272768136057</v>
      </c>
      <c r="P2458">
        <v>43.494986110248597</v>
      </c>
      <c r="Q2458">
        <v>28.396419846292002</v>
      </c>
      <c r="R2458">
        <v>20.1005105555973</v>
      </c>
      <c r="S2458">
        <v>24.3213740062818</v>
      </c>
      <c r="T2458">
        <v>32.0806830090688</v>
      </c>
      <c r="U2458">
        <v>53.531418647138402</v>
      </c>
      <c r="V2458">
        <v>47.817485552474999</v>
      </c>
      <c r="W2458">
        <v>40.550357232312201</v>
      </c>
    </row>
    <row r="2459" spans="1:23" x14ac:dyDescent="0.2">
      <c r="A2459" t="s">
        <v>4923</v>
      </c>
      <c r="B2459" s="3" t="str">
        <f>HYPERLINK("http://www.ncbi.nlm.nih.gov/gene/50789","Fbxl3")</f>
        <v>Fbxl3</v>
      </c>
      <c r="C2459">
        <v>50789</v>
      </c>
      <c r="D2459" t="s">
        <v>4924</v>
      </c>
      <c r="E2459" s="3" t="str">
        <f>HYPERLINK("http://genome.ucsc.edu/cgi-bin/hgTracks?db=mm10&amp;lastVirtModeType=default&amp;lastVirtModeExtraState=&amp;virtModeType=default&amp;virtMode=0&amp;nonVirtPosition=&amp;position=chr14:103080238-103099509","chr14:103080238-103099509")</f>
        <v>chr14:103080238-103099509</v>
      </c>
      <c r="F2459" t="s">
        <v>25</v>
      </c>
      <c r="G2459">
        <v>-0.46521379125298301</v>
      </c>
      <c r="H2459">
        <v>0.15398085762669</v>
      </c>
      <c r="I2459">
        <v>-3.02124431843888</v>
      </c>
      <c r="J2459">
        <v>2.5173814559573998E-3</v>
      </c>
      <c r="K2459">
        <v>1.37033557222461E-2</v>
      </c>
      <c r="L2459" t="s">
        <v>26</v>
      </c>
      <c r="M2459" t="s">
        <v>27</v>
      </c>
      <c r="N2459">
        <v>358.15814603421097</v>
      </c>
      <c r="O2459">
        <v>427.76999345752802</v>
      </c>
      <c r="P2459">
        <v>305.94926046672202</v>
      </c>
      <c r="Q2459">
        <v>454.89951008667703</v>
      </c>
      <c r="R2459">
        <v>402.01021111194501</v>
      </c>
      <c r="S2459">
        <v>426.40025917396201</v>
      </c>
      <c r="T2459">
        <v>348.304558384176</v>
      </c>
      <c r="U2459">
        <v>216.26693133443899</v>
      </c>
      <c r="V2459">
        <v>338.40066698674599</v>
      </c>
      <c r="W2459">
        <v>320.82488516152898</v>
      </c>
    </row>
    <row r="2460" spans="1:23" x14ac:dyDescent="0.2">
      <c r="A2460" t="s">
        <v>4925</v>
      </c>
      <c r="B2460" s="3" t="str">
        <f>HYPERLINK("http://www.ncbi.nlm.nih.gov/gene/69109","Fam58b")</f>
        <v>Fam58b</v>
      </c>
      <c r="C2460">
        <v>69109</v>
      </c>
      <c r="D2460" t="s">
        <v>4926</v>
      </c>
      <c r="E2460" s="3" t="str">
        <f>HYPERLINK("http://genome.ucsc.edu/cgi-bin/hgTracks?db=mm10&amp;lastVirtModeType=default&amp;lastVirtModeExtraState=&amp;virtModeType=default&amp;virtMode=0&amp;nonVirtPosition=&amp;position=chr11:78750505-78751729","chr11:78750505-78751729")</f>
        <v>chr11:78750505-78751729</v>
      </c>
      <c r="F2460" t="s">
        <v>25</v>
      </c>
      <c r="G2460">
        <v>-0.62275955692639295</v>
      </c>
      <c r="H2460">
        <v>0.20619919966139799</v>
      </c>
      <c r="I2460">
        <v>-3.0201841614760498</v>
      </c>
      <c r="J2460">
        <v>2.5262102993716899E-3</v>
      </c>
      <c r="K2460">
        <v>1.37450339148508E-2</v>
      </c>
      <c r="L2460" t="s">
        <v>26</v>
      </c>
      <c r="M2460" t="s">
        <v>27</v>
      </c>
      <c r="N2460">
        <v>68.889870399989704</v>
      </c>
      <c r="O2460">
        <v>88.906960961022094</v>
      </c>
      <c r="P2460">
        <v>53.877052479215401</v>
      </c>
      <c r="Q2460">
        <v>87.973222268904493</v>
      </c>
      <c r="R2460">
        <v>95.951493784266205</v>
      </c>
      <c r="S2460">
        <v>82.796166829895597</v>
      </c>
      <c r="T2460">
        <v>41.246592440231403</v>
      </c>
      <c r="U2460">
        <v>62.096445630680499</v>
      </c>
      <c r="V2460">
        <v>63.266211654043801</v>
      </c>
      <c r="W2460">
        <v>48.8989601919058</v>
      </c>
    </row>
    <row r="2461" spans="1:23" x14ac:dyDescent="0.2">
      <c r="A2461" t="s">
        <v>4927</v>
      </c>
      <c r="B2461" s="3" t="str">
        <f>HYPERLINK("http://www.ncbi.nlm.nih.gov/gene/269060","Dagla")</f>
        <v>Dagla</v>
      </c>
      <c r="C2461">
        <v>269060</v>
      </c>
      <c r="D2461" t="s">
        <v>4928</v>
      </c>
      <c r="E2461" s="3" t="str">
        <f>HYPERLINK("http://genome.ucsc.edu/cgi-bin/hgTracks?db=mm10&amp;lastVirtModeType=default&amp;lastVirtModeExtraState=&amp;virtModeType=default&amp;virtMode=0&amp;nonVirtPosition=&amp;position=chr19:10245264-10304877","chr19:10245264-10304877")</f>
        <v>chr19:10245264-10304877</v>
      </c>
      <c r="F2461" t="s">
        <v>25</v>
      </c>
      <c r="G2461">
        <v>0.50758794999752999</v>
      </c>
      <c r="H2461">
        <v>0.16807110512883</v>
      </c>
      <c r="I2461">
        <v>3.0200786126113202</v>
      </c>
      <c r="J2461">
        <v>2.5270908444748399E-3</v>
      </c>
      <c r="K2461">
        <v>1.37450339148508E-2</v>
      </c>
      <c r="L2461" t="s">
        <v>26</v>
      </c>
      <c r="M2461" t="s">
        <v>27</v>
      </c>
      <c r="N2461">
        <v>305.70910145513398</v>
      </c>
      <c r="O2461">
        <v>246.722212518866</v>
      </c>
      <c r="P2461">
        <v>349.94926815733498</v>
      </c>
      <c r="Q2461">
        <v>264.47645935271902</v>
      </c>
      <c r="R2461">
        <v>243.86091108017101</v>
      </c>
      <c r="S2461">
        <v>231.82926712370801</v>
      </c>
      <c r="T2461">
        <v>233.73069049464399</v>
      </c>
      <c r="U2461">
        <v>443.24014639830602</v>
      </c>
      <c r="V2461">
        <v>387.689459786989</v>
      </c>
      <c r="W2461">
        <v>335.13677594940299</v>
      </c>
    </row>
    <row r="2462" spans="1:23" x14ac:dyDescent="0.2">
      <c r="A2462" t="s">
        <v>4929</v>
      </c>
      <c r="B2462" s="3" t="str">
        <f>HYPERLINK("http://www.ncbi.nlm.nih.gov/gene/11532","Adh5")</f>
        <v>Adh5</v>
      </c>
      <c r="C2462">
        <v>11532</v>
      </c>
      <c r="D2462" t="s">
        <v>4930</v>
      </c>
      <c r="E2462" s="3" t="str">
        <f>HYPERLINK("http://genome.ucsc.edu/cgi-bin/hgTracks?db=mm10&amp;lastVirtModeType=default&amp;lastVirtModeExtraState=&amp;virtModeType=default&amp;virtMode=0&amp;nonVirtPosition=&amp;position=chr3:138443092-138455499","chr3:138443092-138455499")</f>
        <v>chr3:138443092-138455499</v>
      </c>
      <c r="F2462" t="s">
        <v>30</v>
      </c>
      <c r="G2462">
        <v>-0.449871852318175</v>
      </c>
      <c r="H2462">
        <v>0.14898786546286999</v>
      </c>
      <c r="I2462">
        <v>-3.0195200858843698</v>
      </c>
      <c r="J2462">
        <v>2.53175504839513E-3</v>
      </c>
      <c r="K2462">
        <v>1.3762632686517701E-2</v>
      </c>
      <c r="L2462" t="s">
        <v>26</v>
      </c>
      <c r="M2462" t="s">
        <v>27</v>
      </c>
      <c r="N2462">
        <v>389.19338619522199</v>
      </c>
      <c r="O2462">
        <v>464.04211052239799</v>
      </c>
      <c r="P2462">
        <v>333.05684294984098</v>
      </c>
      <c r="Q2462">
        <v>458.79705790871702</v>
      </c>
      <c r="R2462">
        <v>501.75425405764503</v>
      </c>
      <c r="S2462">
        <v>431.57501960083101</v>
      </c>
      <c r="T2462">
        <v>297.89205651278201</v>
      </c>
      <c r="U2462">
        <v>374.71993052996902</v>
      </c>
      <c r="V2462">
        <v>387.689459786989</v>
      </c>
      <c r="W2462">
        <v>271.925924969623</v>
      </c>
    </row>
    <row r="2463" spans="1:23" x14ac:dyDescent="0.2">
      <c r="A2463" t="s">
        <v>4931</v>
      </c>
      <c r="B2463" s="3" t="str">
        <f>HYPERLINK("http://www.ncbi.nlm.nih.gov/gene/72454","Ccdc71")</f>
        <v>Ccdc71</v>
      </c>
      <c r="C2463">
        <v>72454</v>
      </c>
      <c r="D2463" t="s">
        <v>4932</v>
      </c>
      <c r="E2463" s="3" t="str">
        <f>HYPERLINK("http://genome.ucsc.edu/cgi-bin/hgTracks?db=mm10&amp;lastVirtModeType=default&amp;lastVirtModeExtraState=&amp;virtModeType=default&amp;virtMode=0&amp;nonVirtPosition=&amp;position=chr9:108460517-108465945","chr9:108460517-108465945")</f>
        <v>chr9:108460517-108465945</v>
      </c>
      <c r="F2463" t="s">
        <v>30</v>
      </c>
      <c r="G2463">
        <v>-0.48794609040527098</v>
      </c>
      <c r="H2463">
        <v>0.16160654042761499</v>
      </c>
      <c r="I2463">
        <v>-3.0193461793944398</v>
      </c>
      <c r="J2463">
        <v>2.53320893178576E-3</v>
      </c>
      <c r="K2463">
        <v>1.3762632686517701E-2</v>
      </c>
      <c r="L2463" t="s">
        <v>26</v>
      </c>
      <c r="M2463" t="s">
        <v>27</v>
      </c>
      <c r="N2463">
        <v>109.259728587227</v>
      </c>
      <c r="O2463">
        <v>131.75815346769801</v>
      </c>
      <c r="P2463">
        <v>92.385909926874405</v>
      </c>
      <c r="Q2463">
        <v>128.06228558131701</v>
      </c>
      <c r="R2463">
        <v>135.773259979317</v>
      </c>
      <c r="S2463">
        <v>131.43891484245901</v>
      </c>
      <c r="T2463">
        <v>87.076139596044001</v>
      </c>
      <c r="U2463">
        <v>98.497810310734593</v>
      </c>
      <c r="V2463">
        <v>89.749742113876096</v>
      </c>
      <c r="W2463">
        <v>94.2199476868429</v>
      </c>
    </row>
    <row r="2464" spans="1:23" x14ac:dyDescent="0.2">
      <c r="A2464" t="s">
        <v>4933</v>
      </c>
      <c r="B2464" s="3" t="str">
        <f>HYPERLINK("http://www.ncbi.nlm.nih.gov/gene/17309","Mgat3")</f>
        <v>Mgat3</v>
      </c>
      <c r="C2464">
        <v>17309</v>
      </c>
      <c r="D2464" t="s">
        <v>4934</v>
      </c>
      <c r="E2464" s="3" t="str">
        <f>HYPERLINK("http://genome.ucsc.edu/cgi-bin/hgTracks?db=mm10&amp;lastVirtModeType=default&amp;lastVirtModeExtraState=&amp;virtModeType=default&amp;virtMode=0&amp;nonVirtPosition=&amp;position=chr15:80173720-80215519","chr15:80173720-80215519")</f>
        <v>chr15:80173720-80215519</v>
      </c>
      <c r="F2464" t="s">
        <v>30</v>
      </c>
      <c r="G2464">
        <v>-0.47519989983553901</v>
      </c>
      <c r="H2464">
        <v>0.15738628513737199</v>
      </c>
      <c r="I2464">
        <v>-3.0193221691506902</v>
      </c>
      <c r="J2464">
        <v>2.53340972087716E-3</v>
      </c>
      <c r="K2464">
        <v>1.3762632686517701E-2</v>
      </c>
      <c r="L2464" t="s">
        <v>26</v>
      </c>
      <c r="M2464" t="s">
        <v>27</v>
      </c>
      <c r="N2464">
        <v>495.27362448975202</v>
      </c>
      <c r="O2464">
        <v>595.23325147868695</v>
      </c>
      <c r="P2464">
        <v>420.30390424805103</v>
      </c>
      <c r="Q2464">
        <v>741.64767127962602</v>
      </c>
      <c r="R2464">
        <v>530.19837276839598</v>
      </c>
      <c r="S2464">
        <v>513.85371038803999</v>
      </c>
      <c r="T2464">
        <v>380.385241393245</v>
      </c>
      <c r="U2464">
        <v>473.21774084070302</v>
      </c>
      <c r="V2464">
        <v>434.035638091696</v>
      </c>
      <c r="W2464">
        <v>393.57699666655901</v>
      </c>
    </row>
    <row r="2465" spans="1:23" x14ac:dyDescent="0.2">
      <c r="A2465" t="s">
        <v>4935</v>
      </c>
      <c r="B2465" s="3" t="str">
        <f>HYPERLINK("http://www.ncbi.nlm.nih.gov/gene/56533","Rgs17")</f>
        <v>Rgs17</v>
      </c>
      <c r="C2465">
        <v>56533</v>
      </c>
      <c r="D2465" t="s">
        <v>4936</v>
      </c>
      <c r="E2465" s="3" t="str">
        <f>HYPERLINK("http://genome.ucsc.edu/cgi-bin/hgTracks?db=mm10&amp;lastVirtModeType=default&amp;lastVirtModeExtraState=&amp;virtModeType=default&amp;virtMode=0&amp;nonVirtPosition=&amp;position=chr10:5825663-5922400","chr10:5825663-5922400")</f>
        <v>chr10:5825663-5922400</v>
      </c>
      <c r="F2465" t="s">
        <v>25</v>
      </c>
      <c r="G2465">
        <v>-0.50401127746790597</v>
      </c>
      <c r="H2465">
        <v>0.166962920005091</v>
      </c>
      <c r="I2465">
        <v>-3.0187018617818802</v>
      </c>
      <c r="J2465">
        <v>2.53860217849229E-3</v>
      </c>
      <c r="K2465">
        <v>1.3781849794308E-2</v>
      </c>
      <c r="L2465" t="s">
        <v>26</v>
      </c>
      <c r="M2465" t="s">
        <v>27</v>
      </c>
      <c r="N2465">
        <v>228.54671431792499</v>
      </c>
      <c r="O2465">
        <v>275.73639988402698</v>
      </c>
      <c r="P2465">
        <v>193.15445014334799</v>
      </c>
      <c r="Q2465">
        <v>232.739284230393</v>
      </c>
      <c r="R2465">
        <v>298.47361900481201</v>
      </c>
      <c r="S2465">
        <v>295.99629641687699</v>
      </c>
      <c r="T2465">
        <v>183.31818862325099</v>
      </c>
      <c r="U2465">
        <v>235.538242047409</v>
      </c>
      <c r="V2465">
        <v>158.16552913510901</v>
      </c>
      <c r="W2465">
        <v>195.595840767623</v>
      </c>
    </row>
    <row r="2466" spans="1:23" x14ac:dyDescent="0.2">
      <c r="A2466" t="s">
        <v>4937</v>
      </c>
      <c r="B2466" s="3" t="str">
        <f>HYPERLINK("http://www.ncbi.nlm.nih.gov/gene/66861","Dnajc10")</f>
        <v>Dnajc10</v>
      </c>
      <c r="C2466">
        <v>66861</v>
      </c>
      <c r="D2466" t="s">
        <v>4938</v>
      </c>
      <c r="E2466" s="3" t="str">
        <f>HYPERLINK("http://genome.ucsc.edu/cgi-bin/hgTracks?db=mm10&amp;lastVirtModeType=default&amp;lastVirtModeExtraState=&amp;virtModeType=default&amp;virtMode=0&amp;nonVirtPosition=&amp;position=chr2:80315465-80354055","chr2:80315465-80354055")</f>
        <v>chr2:80315465-80354055</v>
      </c>
      <c r="F2466" t="s">
        <v>30</v>
      </c>
      <c r="G2466">
        <v>-0.41927439496699598</v>
      </c>
      <c r="H2466">
        <v>0.13889449856932901</v>
      </c>
      <c r="I2466">
        <v>-3.0186537212466802</v>
      </c>
      <c r="J2466">
        <v>2.53900555914851E-3</v>
      </c>
      <c r="K2466">
        <v>1.3781849794308E-2</v>
      </c>
      <c r="L2466" t="s">
        <v>26</v>
      </c>
      <c r="M2466" t="s">
        <v>27</v>
      </c>
      <c r="N2466">
        <v>638.96423872347998</v>
      </c>
      <c r="O2466">
        <v>754.40246972449802</v>
      </c>
      <c r="P2466">
        <v>552.38556547271605</v>
      </c>
      <c r="Q2466">
        <v>791.20220787413496</v>
      </c>
      <c r="R2466">
        <v>702.000849781331</v>
      </c>
      <c r="S2466">
        <v>770.00435151802901</v>
      </c>
      <c r="T2466">
        <v>449.129562126964</v>
      </c>
      <c r="U2466">
        <v>633.81199678211794</v>
      </c>
      <c r="V2466">
        <v>630.45515566878498</v>
      </c>
      <c r="W2466">
        <v>496.14554731299597</v>
      </c>
    </row>
    <row r="2467" spans="1:23" x14ac:dyDescent="0.2">
      <c r="A2467" t="s">
        <v>4939</v>
      </c>
      <c r="B2467" s="3" t="str">
        <f>HYPERLINK("http://www.ncbi.nlm.nih.gov/gene/72068","Cnot2")</f>
        <v>Cnot2</v>
      </c>
      <c r="C2467">
        <v>72068</v>
      </c>
      <c r="D2467" t="s">
        <v>4940</v>
      </c>
      <c r="E2467" s="3" t="str">
        <f>HYPERLINK("http://genome.ucsc.edu/cgi-bin/hgTracks?db=mm10&amp;lastVirtModeType=default&amp;lastVirtModeExtraState=&amp;virtModeType=default&amp;virtMode=0&amp;nonVirtPosition=&amp;position=chr10:116485160-116581511","chr10:116485160-116581511")</f>
        <v>chr10:116485160-116581511</v>
      </c>
      <c r="F2467" t="s">
        <v>25</v>
      </c>
      <c r="G2467">
        <v>-0.42339312929129902</v>
      </c>
      <c r="H2467">
        <v>0.14026497364659701</v>
      </c>
      <c r="I2467">
        <v>-3.0185235720932999</v>
      </c>
      <c r="J2467">
        <v>2.5400964024526701E-3</v>
      </c>
      <c r="K2467">
        <v>1.37821843295153E-2</v>
      </c>
      <c r="L2467" t="s">
        <v>26</v>
      </c>
      <c r="M2467" t="s">
        <v>27</v>
      </c>
      <c r="N2467">
        <v>310.38297401407902</v>
      </c>
      <c r="O2467">
        <v>368.53817729283497</v>
      </c>
      <c r="P2467">
        <v>266.766571555013</v>
      </c>
      <c r="Q2467">
        <v>397.54987784808799</v>
      </c>
      <c r="R2467">
        <v>370.15279815590401</v>
      </c>
      <c r="S2467">
        <v>337.91185587451201</v>
      </c>
      <c r="T2467">
        <v>242.89659992580701</v>
      </c>
      <c r="U2467">
        <v>226.973215063867</v>
      </c>
      <c r="V2467">
        <v>294.26144955369199</v>
      </c>
      <c r="W2467">
        <v>302.93502167668498</v>
      </c>
    </row>
    <row r="2468" spans="1:23" x14ac:dyDescent="0.2">
      <c r="A2468" t="s">
        <v>4941</v>
      </c>
      <c r="B2468" s="3" t="str">
        <f>HYPERLINK("http://www.ncbi.nlm.nih.gov/gene/234730","Fuk")</f>
        <v>Fuk</v>
      </c>
      <c r="C2468">
        <v>234730</v>
      </c>
      <c r="D2468" t="s">
        <v>4942</v>
      </c>
      <c r="E2468" s="3" t="str">
        <f>HYPERLINK("http://genome.ucsc.edu/cgi-bin/hgTracks?db=mm10&amp;lastVirtModeType=default&amp;lastVirtModeExtraState=&amp;virtModeType=default&amp;virtMode=0&amp;nonVirtPosition=&amp;position=chr8:110882455-110902488","chr8:110882455-110902488")</f>
        <v>chr8:110882455-110902488</v>
      </c>
      <c r="F2468" t="s">
        <v>25</v>
      </c>
      <c r="G2468">
        <v>0.62910253338935895</v>
      </c>
      <c r="H2468">
        <v>0.20842317316797601</v>
      </c>
      <c r="I2468">
        <v>3.01839053607701</v>
      </c>
      <c r="J2468">
        <v>2.5412118849567301E-3</v>
      </c>
      <c r="K2468">
        <v>1.3782652228212001E-2</v>
      </c>
      <c r="L2468" t="s">
        <v>26</v>
      </c>
      <c r="M2468" t="s">
        <v>27</v>
      </c>
      <c r="N2468">
        <v>69.506388862990704</v>
      </c>
      <c r="O2468">
        <v>51.6473127606926</v>
      </c>
      <c r="P2468">
        <v>82.900695939714197</v>
      </c>
      <c r="Q2468">
        <v>40.645855858417903</v>
      </c>
      <c r="R2468">
        <v>52.716433343924898</v>
      </c>
      <c r="S2468">
        <v>61.579649079734899</v>
      </c>
      <c r="T2468">
        <v>82.493184880462707</v>
      </c>
      <c r="U2468">
        <v>83.509013089535898</v>
      </c>
      <c r="V2468">
        <v>80.921898627265307</v>
      </c>
      <c r="W2468">
        <v>84.678687161593004</v>
      </c>
    </row>
    <row r="2469" spans="1:23" x14ac:dyDescent="0.2">
      <c r="A2469" t="s">
        <v>4943</v>
      </c>
      <c r="B2469" s="3" t="str">
        <f>HYPERLINK("http://www.ncbi.nlm.nih.gov/gene/77767","Ermn")</f>
        <v>Ermn</v>
      </c>
      <c r="C2469">
        <v>77767</v>
      </c>
      <c r="D2469" t="s">
        <v>4944</v>
      </c>
      <c r="E2469" s="3" t="str">
        <f>HYPERLINK("http://genome.ucsc.edu/cgi-bin/hgTracks?db=mm10&amp;lastVirtModeType=default&amp;lastVirtModeExtraState=&amp;virtModeType=default&amp;virtMode=0&amp;nonVirtPosition=&amp;position=chr2:58045114-58052752","chr2:58045114-58052752")</f>
        <v>chr2:58045114-58052752</v>
      </c>
      <c r="F2469" t="s">
        <v>25</v>
      </c>
      <c r="G2469">
        <v>-1.13740132862171</v>
      </c>
      <c r="H2469">
        <v>0.37685440743340598</v>
      </c>
      <c r="I2469">
        <v>-3.0181452205058799</v>
      </c>
      <c r="J2469">
        <v>2.5432699857289198E-3</v>
      </c>
      <c r="K2469">
        <v>1.3788230112913399E-2</v>
      </c>
      <c r="L2469" t="s">
        <v>26</v>
      </c>
      <c r="M2469" t="s">
        <v>27</v>
      </c>
      <c r="N2469">
        <v>26.8056293277584</v>
      </c>
      <c r="O2469">
        <v>43.782844317374199</v>
      </c>
      <c r="P2469">
        <v>14.072718085546599</v>
      </c>
      <c r="Q2469">
        <v>48.997744048503797</v>
      </c>
      <c r="R2469">
        <v>52.337178427781602</v>
      </c>
      <c r="S2469">
        <v>30.013610475837201</v>
      </c>
      <c r="T2469">
        <v>18.3318188623251</v>
      </c>
      <c r="U2469">
        <v>10.7062837294277</v>
      </c>
      <c r="V2469">
        <v>2.2069608716526901</v>
      </c>
      <c r="W2469">
        <v>25.045808878780999</v>
      </c>
    </row>
    <row r="2470" spans="1:23" x14ac:dyDescent="0.2">
      <c r="A2470" t="s">
        <v>4945</v>
      </c>
      <c r="B2470" s="3" t="str">
        <f>HYPERLINK("http://www.ncbi.nlm.nih.gov/gene/14701","Gng12")</f>
        <v>Gng12</v>
      </c>
      <c r="C2470">
        <v>14701</v>
      </c>
      <c r="D2470" t="s">
        <v>4946</v>
      </c>
      <c r="E2470" s="3" t="str">
        <f>HYPERLINK("http://genome.ucsc.edu/cgi-bin/hgTracks?db=mm10&amp;lastVirtModeType=default&amp;lastVirtModeExtraState=&amp;virtModeType=default&amp;virtMode=0&amp;nonVirtPosition=&amp;position=chr6:66896396-67021361","chr6:66896396-67021361")</f>
        <v>chr6:66896396-67021361</v>
      </c>
      <c r="F2470" t="s">
        <v>30</v>
      </c>
      <c r="G2470">
        <v>-0.33593402534575501</v>
      </c>
      <c r="H2470">
        <v>0.11133139901710799</v>
      </c>
      <c r="I2470">
        <v>-3.01742391015974</v>
      </c>
      <c r="J2470">
        <v>2.5493303291272999E-3</v>
      </c>
      <c r="K2470">
        <v>1.3807072468623401E-2</v>
      </c>
      <c r="L2470" t="s">
        <v>26</v>
      </c>
      <c r="M2470" t="s">
        <v>27</v>
      </c>
      <c r="N2470">
        <v>1402.2425998572801</v>
      </c>
      <c r="O2470">
        <v>1599.8540160933101</v>
      </c>
      <c r="P2470">
        <v>1254.0340376802601</v>
      </c>
      <c r="Q2470">
        <v>1641.9812181708801</v>
      </c>
      <c r="R2470">
        <v>1476.81864346218</v>
      </c>
      <c r="S2470">
        <v>1680.7621866468801</v>
      </c>
      <c r="T2470">
        <v>1131.9898147485701</v>
      </c>
      <c r="U2470">
        <v>1280.4715340395501</v>
      </c>
      <c r="V2470">
        <v>1385.97142739789</v>
      </c>
      <c r="W2470">
        <v>1217.70337453502</v>
      </c>
    </row>
    <row r="2471" spans="1:23" x14ac:dyDescent="0.2">
      <c r="A2471" t="s">
        <v>4947</v>
      </c>
      <c r="B2471" s="3" t="str">
        <f>HYPERLINK("http://www.ncbi.nlm.nih.gov/gene/53608","Map3k6")</f>
        <v>Map3k6</v>
      </c>
      <c r="C2471">
        <v>53608</v>
      </c>
      <c r="D2471" t="s">
        <v>4948</v>
      </c>
      <c r="E2471" s="3" t="str">
        <f>HYPERLINK("http://genome.ucsc.edu/cgi-bin/hgTracks?db=mm10&amp;lastVirtModeType=default&amp;lastVirtModeExtraState=&amp;virtModeType=default&amp;virtMode=0&amp;nonVirtPosition=&amp;position=chr4:133240817-133252928","chr4:133240817-133252928")</f>
        <v>chr4:133240817-133252928</v>
      </c>
      <c r="F2471" t="s">
        <v>30</v>
      </c>
      <c r="G2471">
        <v>-0.98279593827388401</v>
      </c>
      <c r="H2471">
        <v>0.32570891322369799</v>
      </c>
      <c r="I2471">
        <v>-3.0174057214052898</v>
      </c>
      <c r="J2471">
        <v>2.5494833189433001E-3</v>
      </c>
      <c r="K2471">
        <v>1.3807072468623401E-2</v>
      </c>
      <c r="L2471" t="s">
        <v>26</v>
      </c>
      <c r="M2471" t="s">
        <v>27</v>
      </c>
      <c r="N2471">
        <v>17.104190207665201</v>
      </c>
      <c r="O2471">
        <v>25.1445907726185</v>
      </c>
      <c r="P2471">
        <v>11.0738897839502</v>
      </c>
      <c r="Q2471">
        <v>27.8396273002862</v>
      </c>
      <c r="R2471">
        <v>22.755294968600701</v>
      </c>
      <c r="S2471">
        <v>24.838850048968698</v>
      </c>
      <c r="T2471">
        <v>13.7488641467438</v>
      </c>
      <c r="U2471">
        <v>10.7062837294277</v>
      </c>
      <c r="V2471">
        <v>10.2991507343792</v>
      </c>
      <c r="W2471">
        <v>9.5412605252499194</v>
      </c>
    </row>
    <row r="2472" spans="1:23" x14ac:dyDescent="0.2">
      <c r="A2472" t="s">
        <v>4949</v>
      </c>
      <c r="B2472" s="3" t="str">
        <f>HYPERLINK("http://www.ncbi.nlm.nih.gov/gene/217734","Pomt2")</f>
        <v>Pomt2</v>
      </c>
      <c r="C2472">
        <v>217734</v>
      </c>
      <c r="D2472" t="s">
        <v>4950</v>
      </c>
      <c r="E2472" s="3" t="str">
        <f>HYPERLINK("http://genome.ucsc.edu/cgi-bin/hgTracks?db=mm10&amp;lastVirtModeType=default&amp;lastVirtModeExtraState=&amp;virtModeType=default&amp;virtMode=0&amp;nonVirtPosition=&amp;position=chr12:87106860-87147902","chr12:87106860-87147902")</f>
        <v>chr12:87106860-87147902</v>
      </c>
      <c r="F2472" t="s">
        <v>25</v>
      </c>
      <c r="G2472">
        <v>-0.42724439233278599</v>
      </c>
      <c r="H2472">
        <v>0.141595268908324</v>
      </c>
      <c r="I2472">
        <v>-3.01736347285307</v>
      </c>
      <c r="J2472">
        <v>2.54983871368125E-3</v>
      </c>
      <c r="K2472">
        <v>1.3807072468623401E-2</v>
      </c>
      <c r="L2472" t="s">
        <v>26</v>
      </c>
      <c r="M2472" t="s">
        <v>27</v>
      </c>
      <c r="N2472">
        <v>265.64507299667099</v>
      </c>
      <c r="O2472">
        <v>314.33042673834899</v>
      </c>
      <c r="P2472">
        <v>229.13105769041201</v>
      </c>
      <c r="Q2472">
        <v>344.654585977544</v>
      </c>
      <c r="R2472">
        <v>293.54330509494901</v>
      </c>
      <c r="S2472">
        <v>304.793389142553</v>
      </c>
      <c r="T2472">
        <v>210.81591691673799</v>
      </c>
      <c r="U2472">
        <v>250.52703926860801</v>
      </c>
      <c r="V2472">
        <v>256.00746111171202</v>
      </c>
      <c r="W2472">
        <v>199.173813464592</v>
      </c>
    </row>
    <row r="2473" spans="1:23" x14ac:dyDescent="0.2">
      <c r="A2473" t="s">
        <v>4951</v>
      </c>
      <c r="B2473" s="3" t="str">
        <f>HYPERLINK("http://www.ncbi.nlm.nih.gov/gene/69847","Wnk4")</f>
        <v>Wnk4</v>
      </c>
      <c r="C2473">
        <v>69847</v>
      </c>
      <c r="D2473" t="s">
        <v>4952</v>
      </c>
      <c r="E2473" s="3" t="str">
        <f>HYPERLINK("http://genome.ucsc.edu/cgi-bin/hgTracks?db=mm10&amp;lastVirtModeType=default&amp;lastVirtModeExtraState=&amp;virtModeType=default&amp;virtMode=0&amp;nonVirtPosition=&amp;position=chr11:101260566-101277409","chr11:101260566-101277409")</f>
        <v>chr11:101260566-101277409</v>
      </c>
      <c r="F2473" t="s">
        <v>30</v>
      </c>
      <c r="G2473">
        <v>0.97333562904811</v>
      </c>
      <c r="H2473">
        <v>0.32260016520038798</v>
      </c>
      <c r="I2473">
        <v>3.0171578754260899</v>
      </c>
      <c r="J2473">
        <v>2.5515688456576998E-3</v>
      </c>
      <c r="K2473">
        <v>1.3810856270089799E-2</v>
      </c>
      <c r="L2473" t="s">
        <v>26</v>
      </c>
      <c r="M2473" t="s">
        <v>27</v>
      </c>
      <c r="N2473">
        <v>88.884355873966896</v>
      </c>
      <c r="O2473">
        <v>50.2287915609704</v>
      </c>
      <c r="P2473">
        <v>117.87602910871399</v>
      </c>
      <c r="Q2473">
        <v>25.6124571162634</v>
      </c>
      <c r="R2473">
        <v>28.823373626894199</v>
      </c>
      <c r="S2473">
        <v>96.250543939753697</v>
      </c>
      <c r="T2473">
        <v>123.739777320694</v>
      </c>
      <c r="U2473">
        <v>122.051634515476</v>
      </c>
      <c r="V2473">
        <v>89.749742113876096</v>
      </c>
      <c r="W2473">
        <v>135.96296248481099</v>
      </c>
    </row>
    <row r="2474" spans="1:23" x14ac:dyDescent="0.2">
      <c r="A2474" t="s">
        <v>4953</v>
      </c>
      <c r="B2474" s="3" t="str">
        <f>HYPERLINK("http://www.ncbi.nlm.nih.gov/gene/18003","Nedd9")</f>
        <v>Nedd9</v>
      </c>
      <c r="C2474">
        <v>18003</v>
      </c>
      <c r="D2474" t="s">
        <v>4954</v>
      </c>
      <c r="E2474" s="3" t="str">
        <f>HYPERLINK("http://genome.ucsc.edu/cgi-bin/hgTracks?db=mm10&amp;lastVirtModeType=default&amp;lastVirtModeExtraState=&amp;virtModeType=default&amp;virtMode=0&amp;nonVirtPosition=&amp;position=chr13:41309915-41487360","chr13:41309915-41487360")</f>
        <v>chr13:41309915-41487360</v>
      </c>
      <c r="F2474" t="s">
        <v>25</v>
      </c>
      <c r="G2474">
        <v>-0.74869999736152404</v>
      </c>
      <c r="H2474">
        <v>0.24818600396264201</v>
      </c>
      <c r="I2474">
        <v>-3.0166890372844</v>
      </c>
      <c r="J2474">
        <v>2.55551820252017E-3</v>
      </c>
      <c r="K2474">
        <v>1.38266441413929E-2</v>
      </c>
      <c r="L2474" t="s">
        <v>26</v>
      </c>
      <c r="M2474" t="s">
        <v>27</v>
      </c>
      <c r="N2474">
        <v>130.96490740794101</v>
      </c>
      <c r="O2474">
        <v>178.988785819085</v>
      </c>
      <c r="P2474">
        <v>94.946998599583196</v>
      </c>
      <c r="Q2474">
        <v>185.96871036591199</v>
      </c>
      <c r="R2474">
        <v>154.35675087034099</v>
      </c>
      <c r="S2474">
        <v>196.64089622100201</v>
      </c>
      <c r="T2474">
        <v>64.161366018137699</v>
      </c>
      <c r="U2474">
        <v>55.672675393023901</v>
      </c>
      <c r="V2474">
        <v>138.30288129023501</v>
      </c>
      <c r="W2474">
        <v>121.651071696936</v>
      </c>
    </row>
    <row r="2475" spans="1:23" x14ac:dyDescent="0.2">
      <c r="A2475" t="s">
        <v>4955</v>
      </c>
      <c r="B2475" s="3" t="str">
        <f>HYPERLINK("http://www.ncbi.nlm.nih.gov/gene/242585","Slc35d1")</f>
        <v>Slc35d1</v>
      </c>
      <c r="C2475">
        <v>242585</v>
      </c>
      <c r="D2475" t="s">
        <v>4956</v>
      </c>
      <c r="E2475" s="3" t="str">
        <f>HYPERLINK("http://genome.ucsc.edu/cgi-bin/hgTracks?db=mm10&amp;lastVirtModeType=default&amp;lastVirtModeExtraState=&amp;virtModeType=default&amp;virtMode=0&amp;nonVirtPosition=&amp;position=chr4:103171717-103214884","chr4:103171717-103214884")</f>
        <v>chr4:103171717-103214884</v>
      </c>
      <c r="F2475" t="s">
        <v>25</v>
      </c>
      <c r="G2475">
        <v>0.50631705679184702</v>
      </c>
      <c r="H2475">
        <v>0.167856152970602</v>
      </c>
      <c r="I2475">
        <v>3.0163747222332802</v>
      </c>
      <c r="J2475">
        <v>2.5581690309874699E-3</v>
      </c>
      <c r="K2475">
        <v>1.38350416756564E-2</v>
      </c>
      <c r="L2475" t="s">
        <v>26</v>
      </c>
      <c r="M2475" t="s">
        <v>27</v>
      </c>
      <c r="N2475">
        <v>121.50179942471399</v>
      </c>
      <c r="O2475">
        <v>97.442085112365007</v>
      </c>
      <c r="P2475">
        <v>139.546585158976</v>
      </c>
      <c r="Q2475">
        <v>108.01775392511099</v>
      </c>
      <c r="R2475">
        <v>84.953101216109204</v>
      </c>
      <c r="S2475">
        <v>99.355400195874793</v>
      </c>
      <c r="T2475">
        <v>123.739777320694</v>
      </c>
      <c r="U2475">
        <v>158.45299919553</v>
      </c>
      <c r="V2475">
        <v>131.68199867527699</v>
      </c>
      <c r="W2475">
        <v>144.31156544440501</v>
      </c>
    </row>
    <row r="2476" spans="1:23" x14ac:dyDescent="0.2">
      <c r="A2476" t="s">
        <v>4957</v>
      </c>
      <c r="B2476" s="3" t="str">
        <f>HYPERLINK("http://www.ncbi.nlm.nih.gov/gene/330671","B4galnt4")</f>
        <v>B4galnt4</v>
      </c>
      <c r="C2476">
        <v>330671</v>
      </c>
      <c r="D2476" t="s">
        <v>4958</v>
      </c>
      <c r="E2476" s="3" t="str">
        <f>HYPERLINK("http://genome.ucsc.edu/cgi-bin/hgTracks?db=mm10&amp;lastVirtModeType=default&amp;lastVirtModeExtraState=&amp;virtModeType=default&amp;virtMode=0&amp;nonVirtPosition=&amp;position=chr7:141061273-141072119","chr7:141061273-141072119")</f>
        <v>chr7:141061273-141072119</v>
      </c>
      <c r="F2476" t="s">
        <v>30</v>
      </c>
      <c r="G2476">
        <v>0.68499286308141505</v>
      </c>
      <c r="H2476">
        <v>0.22710006675342401</v>
      </c>
      <c r="I2476">
        <v>3.01626006928986</v>
      </c>
      <c r="J2476">
        <v>2.5591366014936002E-3</v>
      </c>
      <c r="K2476">
        <v>1.38350416756564E-2</v>
      </c>
      <c r="L2476" t="s">
        <v>26</v>
      </c>
      <c r="M2476" t="s">
        <v>27</v>
      </c>
      <c r="N2476">
        <v>148.42496506827499</v>
      </c>
      <c r="O2476">
        <v>106.754247733718</v>
      </c>
      <c r="P2476">
        <v>179.67800306919199</v>
      </c>
      <c r="Q2476">
        <v>70.155860796721299</v>
      </c>
      <c r="R2476">
        <v>125.91263215959</v>
      </c>
      <c r="S2476">
        <v>124.194250244843</v>
      </c>
      <c r="T2476">
        <v>146.65455089860001</v>
      </c>
      <c r="U2476">
        <v>237.67949879329399</v>
      </c>
      <c r="V2476">
        <v>147.13072477684599</v>
      </c>
      <c r="W2476">
        <v>187.24723780803001</v>
      </c>
    </row>
    <row r="2477" spans="1:23" x14ac:dyDescent="0.2">
      <c r="A2477" t="s">
        <v>4959</v>
      </c>
      <c r="B2477" s="3" t="str">
        <f>HYPERLINK("http://www.ncbi.nlm.nih.gov/gene/68952","Fam57b")</f>
        <v>Fam57b</v>
      </c>
      <c r="C2477">
        <v>68952</v>
      </c>
      <c r="D2477" t="s">
        <v>4960</v>
      </c>
      <c r="E2477" s="3" t="str">
        <f>HYPERLINK("http://genome.ucsc.edu/cgi-bin/hgTracks?db=mm10&amp;lastVirtModeType=default&amp;lastVirtModeExtraState=&amp;virtModeType=default&amp;virtMode=0&amp;nonVirtPosition=&amp;position=chr7:126816884-126830219","chr7:126816884-126830219")</f>
        <v>chr7:126816884-126830219</v>
      </c>
      <c r="F2477" t="s">
        <v>30</v>
      </c>
      <c r="G2477">
        <v>0.68151465707381897</v>
      </c>
      <c r="H2477">
        <v>0.22596079912813299</v>
      </c>
      <c r="I2477">
        <v>3.0160747337743299</v>
      </c>
      <c r="J2477">
        <v>2.5607013788379101E-3</v>
      </c>
      <c r="K2477">
        <v>1.38379145133247E-2</v>
      </c>
      <c r="L2477" t="s">
        <v>26</v>
      </c>
      <c r="M2477" t="s">
        <v>27</v>
      </c>
      <c r="N2477">
        <v>84.108695798728306</v>
      </c>
      <c r="O2477">
        <v>60.841323907633203</v>
      </c>
      <c r="P2477">
        <v>101.55922471705</v>
      </c>
      <c r="Q2477">
        <v>51.781706778532403</v>
      </c>
      <c r="R2477">
        <v>68.645139821945406</v>
      </c>
      <c r="S2477">
        <v>62.097125122421701</v>
      </c>
      <c r="T2477">
        <v>77.910230164881497</v>
      </c>
      <c r="U2477">
        <v>145.60545872021601</v>
      </c>
      <c r="V2477">
        <v>105.198468215445</v>
      </c>
      <c r="W2477">
        <v>77.522741767655603</v>
      </c>
    </row>
    <row r="2478" spans="1:23" x14ac:dyDescent="0.2">
      <c r="A2478" t="s">
        <v>4961</v>
      </c>
      <c r="B2478" s="3" t="str">
        <f>HYPERLINK("http://www.ncbi.nlm.nih.gov/gene/78394","Ddx52")</f>
        <v>Ddx52</v>
      </c>
      <c r="C2478">
        <v>78394</v>
      </c>
      <c r="D2478" t="s">
        <v>4962</v>
      </c>
      <c r="E2478" s="3" t="str">
        <f>HYPERLINK("http://genome.ucsc.edu/cgi-bin/hgTracks?db=mm10&amp;lastVirtModeType=default&amp;lastVirtModeExtraState=&amp;virtModeType=default&amp;virtMode=0&amp;nonVirtPosition=&amp;position=chr11:83942089-83963086","chr11:83942089-83963086")</f>
        <v>chr11:83942089-83963086</v>
      </c>
      <c r="F2478" t="s">
        <v>30</v>
      </c>
      <c r="G2478">
        <v>-0.44083457724325398</v>
      </c>
      <c r="H2478">
        <v>0.14619660494460701</v>
      </c>
      <c r="I2478">
        <v>-3.0153544086080801</v>
      </c>
      <c r="J2478">
        <v>2.5667913562016399E-3</v>
      </c>
      <c r="K2478">
        <v>1.38633206454043E-2</v>
      </c>
      <c r="L2478" t="s">
        <v>26</v>
      </c>
      <c r="M2478" t="s">
        <v>27</v>
      </c>
      <c r="N2478">
        <v>198.44220860346601</v>
      </c>
      <c r="O2478">
        <v>236.926892055211</v>
      </c>
      <c r="P2478">
        <v>169.57869601465799</v>
      </c>
      <c r="Q2478">
        <v>241.09117242047901</v>
      </c>
      <c r="R2478">
        <v>240.44761683487999</v>
      </c>
      <c r="S2478">
        <v>229.24188691027399</v>
      </c>
      <c r="T2478">
        <v>164.98636976092499</v>
      </c>
      <c r="U2478">
        <v>137.04043173667401</v>
      </c>
      <c r="V2478">
        <v>179.49948422775199</v>
      </c>
      <c r="W2478">
        <v>196.78849833327999</v>
      </c>
    </row>
    <row r="2479" spans="1:23" x14ac:dyDescent="0.2">
      <c r="A2479" t="s">
        <v>4963</v>
      </c>
      <c r="B2479" s="3" t="str">
        <f>HYPERLINK("http://www.ncbi.nlm.nih.gov/gene/66997","Psmd12")</f>
        <v>Psmd12</v>
      </c>
      <c r="C2479">
        <v>66997</v>
      </c>
      <c r="D2479" t="s">
        <v>4964</v>
      </c>
      <c r="E2479" s="3" t="str">
        <f>HYPERLINK("http://genome.ucsc.edu/cgi-bin/hgTracks?db=mm10&amp;lastVirtModeType=default&amp;lastVirtModeExtraState=&amp;virtModeType=default&amp;virtMode=0&amp;nonVirtPosition=&amp;position=chr11:107479527-107498036","chr11:107479527-107498036")</f>
        <v>chr11:107479527-107498036</v>
      </c>
      <c r="F2479" t="s">
        <v>30</v>
      </c>
      <c r="G2479">
        <v>-0.47081275241534198</v>
      </c>
      <c r="H2479">
        <v>0.156142618182354</v>
      </c>
      <c r="I2479">
        <v>-3.01527384320848</v>
      </c>
      <c r="J2479">
        <v>2.5674733179450902E-3</v>
      </c>
      <c r="K2479">
        <v>1.38633206454043E-2</v>
      </c>
      <c r="L2479" t="s">
        <v>26</v>
      </c>
      <c r="M2479" t="s">
        <v>27</v>
      </c>
      <c r="N2479">
        <v>349.48155218001602</v>
      </c>
      <c r="O2479">
        <v>419.10373061241597</v>
      </c>
      <c r="P2479">
        <v>297.264918355715</v>
      </c>
      <c r="Q2479">
        <v>330.17797978139498</v>
      </c>
      <c r="R2479">
        <v>478.99895908904398</v>
      </c>
      <c r="S2479">
        <v>448.13425296680998</v>
      </c>
      <c r="T2479">
        <v>297.89205651278201</v>
      </c>
      <c r="U2479">
        <v>263.374579743921</v>
      </c>
      <c r="V2479">
        <v>314.12409739856599</v>
      </c>
      <c r="W2479">
        <v>313.66893976759098</v>
      </c>
    </row>
    <row r="2480" spans="1:23" x14ac:dyDescent="0.2">
      <c r="A2480" t="s">
        <v>4965</v>
      </c>
      <c r="B2480" s="3" t="str">
        <f>HYPERLINK("http://www.ncbi.nlm.nih.gov/gene/93877","Pcdhb6")</f>
        <v>Pcdhb6</v>
      </c>
      <c r="C2480">
        <v>93877</v>
      </c>
      <c r="D2480" t="s">
        <v>4966</v>
      </c>
      <c r="E2480" s="3" t="str">
        <f>HYPERLINK("http://genome.ucsc.edu/cgi-bin/hgTracks?db=mm10&amp;lastVirtModeType=default&amp;lastVirtModeExtraState=&amp;virtModeType=default&amp;virtMode=0&amp;nonVirtPosition=&amp;position=chr18:37334027-37336346","chr18:37334027-37336346")</f>
        <v>chr18:37334027-37336346</v>
      </c>
      <c r="F2480" t="s">
        <v>30</v>
      </c>
      <c r="G2480">
        <v>-0.69116706432189701</v>
      </c>
      <c r="H2480">
        <v>0.22923951831099201</v>
      </c>
      <c r="I2480">
        <v>-3.0150432587467</v>
      </c>
      <c r="J2480">
        <v>2.5694260615203302E-3</v>
      </c>
      <c r="K2480">
        <v>1.3868272627899501E-2</v>
      </c>
      <c r="L2480" t="s">
        <v>26</v>
      </c>
      <c r="M2480" t="s">
        <v>27</v>
      </c>
      <c r="N2480">
        <v>163.210118039028</v>
      </c>
      <c r="O2480">
        <v>213.125012233446</v>
      </c>
      <c r="P2480">
        <v>125.773947393215</v>
      </c>
      <c r="Q2480">
        <v>269.487592266771</v>
      </c>
      <c r="R2480">
        <v>237.413577505734</v>
      </c>
      <c r="S2480">
        <v>132.473866927833</v>
      </c>
      <c r="T2480">
        <v>132.90568675185699</v>
      </c>
      <c r="U2480">
        <v>100.63906705661999</v>
      </c>
      <c r="V2480">
        <v>122.854155188666</v>
      </c>
      <c r="W2480">
        <v>146.69688057571801</v>
      </c>
    </row>
    <row r="2481" spans="1:23" x14ac:dyDescent="0.2">
      <c r="A2481" t="s">
        <v>4967</v>
      </c>
      <c r="B2481" s="3" t="str">
        <f>HYPERLINK("http://www.ncbi.nlm.nih.gov/gene/109115","Supt3")</f>
        <v>Supt3</v>
      </c>
      <c r="C2481">
        <v>109115</v>
      </c>
      <c r="D2481" t="s">
        <v>4968</v>
      </c>
      <c r="E2481" s="3" t="str">
        <f>HYPERLINK("http://genome.ucsc.edu/cgi-bin/hgTracks?db=mm10&amp;lastVirtModeType=default&amp;lastVirtModeExtraState=&amp;virtModeType=default&amp;virtMode=0&amp;nonVirtPosition=&amp;position=chr17:44777170-45119284","chr17:44777170-45119284")</f>
        <v>chr17:44777170-45119284</v>
      </c>
      <c r="F2481" t="s">
        <v>30</v>
      </c>
      <c r="G2481">
        <v>0.73788139664894603</v>
      </c>
      <c r="H2481">
        <v>0.24475921148936999</v>
      </c>
      <c r="I2481">
        <v>3.0147237039983299</v>
      </c>
      <c r="J2481">
        <v>2.57213451037904E-3</v>
      </c>
      <c r="K2481">
        <v>1.3877297835812199E-2</v>
      </c>
      <c r="L2481" t="s">
        <v>26</v>
      </c>
      <c r="M2481" t="s">
        <v>27</v>
      </c>
      <c r="N2481">
        <v>37.523561900320999</v>
      </c>
      <c r="O2481">
        <v>26.236281812200701</v>
      </c>
      <c r="P2481">
        <v>45.9890219664113</v>
      </c>
      <c r="Q2481">
        <v>27.8396273002862</v>
      </c>
      <c r="R2481">
        <v>26.5478441300341</v>
      </c>
      <c r="S2481">
        <v>24.3213740062818</v>
      </c>
      <c r="T2481">
        <v>41.246592440231403</v>
      </c>
      <c r="U2481">
        <v>47.107648409481797</v>
      </c>
      <c r="V2481">
        <v>41.932256561401097</v>
      </c>
      <c r="W2481">
        <v>53.669590454530798</v>
      </c>
    </row>
    <row r="2482" spans="1:23" x14ac:dyDescent="0.2">
      <c r="A2482" t="s">
        <v>4969</v>
      </c>
      <c r="B2482" s="3" t="str">
        <f>HYPERLINK("http://www.ncbi.nlm.nih.gov/gene/23872","Ets2")</f>
        <v>Ets2</v>
      </c>
      <c r="C2482">
        <v>23872</v>
      </c>
      <c r="D2482" t="s">
        <v>4970</v>
      </c>
      <c r="E2482" s="3" t="str">
        <f>HYPERLINK("http://genome.ucsc.edu/cgi-bin/hgTracks?db=mm10&amp;lastVirtModeType=default&amp;lastVirtModeExtraState=&amp;virtModeType=default&amp;virtMode=0&amp;nonVirtPosition=&amp;position=chr16:95702406-95721049","chr16:95702406-95721049")</f>
        <v>chr16:95702406-95721049</v>
      </c>
      <c r="F2482" t="s">
        <v>30</v>
      </c>
      <c r="G2482">
        <v>0.42008781651113802</v>
      </c>
      <c r="H2482">
        <v>0.139376518878429</v>
      </c>
      <c r="I2482">
        <v>3.0140501419579899</v>
      </c>
      <c r="J2482">
        <v>2.5778519703596801E-3</v>
      </c>
      <c r="K2482">
        <v>1.3902543590449699E-2</v>
      </c>
      <c r="L2482" t="s">
        <v>26</v>
      </c>
      <c r="M2482" t="s">
        <v>27</v>
      </c>
      <c r="N2482">
        <v>247.376934245521</v>
      </c>
      <c r="O2482">
        <v>206.91591609876801</v>
      </c>
      <c r="P2482">
        <v>277.72269785558501</v>
      </c>
      <c r="Q2482">
        <v>177.060029629821</v>
      </c>
      <c r="R2482">
        <v>223.76040052457299</v>
      </c>
      <c r="S2482">
        <v>219.92731814191001</v>
      </c>
      <c r="T2482">
        <v>270.39432821929501</v>
      </c>
      <c r="U2482">
        <v>263.374579743921</v>
      </c>
      <c r="V2482">
        <v>301.617985792534</v>
      </c>
      <c r="W2482">
        <v>275.503897666591</v>
      </c>
    </row>
    <row r="2483" spans="1:23" x14ac:dyDescent="0.2">
      <c r="A2483" t="s">
        <v>4971</v>
      </c>
      <c r="B2483" s="3" t="str">
        <f>HYPERLINK("http://www.ncbi.nlm.nih.gov/gene/71955","Ist1")</f>
        <v>Ist1</v>
      </c>
      <c r="C2483">
        <v>71955</v>
      </c>
      <c r="D2483" t="s">
        <v>4972</v>
      </c>
      <c r="E2483" s="3" t="str">
        <f>HYPERLINK("http://genome.ucsc.edu/cgi-bin/hgTracks?db=mm10&amp;lastVirtModeType=default&amp;lastVirtModeExtraState=&amp;virtModeType=default&amp;virtMode=0&amp;nonVirtPosition=&amp;position=chr8:109671320-109693294","chr8:109671320-109693294")</f>
        <v>chr8:109671320-109693294</v>
      </c>
      <c r="F2483" t="s">
        <v>25</v>
      </c>
      <c r="G2483">
        <v>0.35796945825530002</v>
      </c>
      <c r="H2483">
        <v>0.11879352448448199</v>
      </c>
      <c r="I2483">
        <v>3.0133751802444402</v>
      </c>
      <c r="J2483">
        <v>2.5835929666644399E-3</v>
      </c>
      <c r="K2483">
        <v>1.3927895900404001E-2</v>
      </c>
      <c r="L2483" t="s">
        <v>26</v>
      </c>
      <c r="M2483" t="s">
        <v>27</v>
      </c>
      <c r="N2483">
        <v>548.225554853924</v>
      </c>
      <c r="O2483">
        <v>473.61179380470497</v>
      </c>
      <c r="P2483">
        <v>604.18587564083896</v>
      </c>
      <c r="Q2483">
        <v>441.53648898253999</v>
      </c>
      <c r="R2483">
        <v>472.172370598464</v>
      </c>
      <c r="S2483">
        <v>507.12652183311098</v>
      </c>
      <c r="T2483">
        <v>563.70343001649496</v>
      </c>
      <c r="U2483">
        <v>554.58549718435404</v>
      </c>
      <c r="V2483">
        <v>678.27264122125996</v>
      </c>
      <c r="W2483">
        <v>620.18193414124505</v>
      </c>
    </row>
    <row r="2484" spans="1:23" x14ac:dyDescent="0.2">
      <c r="A2484" t="s">
        <v>4973</v>
      </c>
      <c r="B2484" s="3" t="str">
        <f>HYPERLINK("http://www.ncbi.nlm.nih.gov/gene/234683","Elmo3")</f>
        <v>Elmo3</v>
      </c>
      <c r="C2484">
        <v>234683</v>
      </c>
      <c r="D2484" t="s">
        <v>4974</v>
      </c>
      <c r="E2484" s="3" t="str">
        <f>HYPERLINK("http://genome.ucsc.edu/cgi-bin/hgTracks?db=mm10&amp;lastVirtModeType=default&amp;lastVirtModeExtraState=&amp;virtModeType=default&amp;virtMode=0&amp;nonVirtPosition=&amp;position=chr8:105305600-105310623","chr8:105305600-105310623")</f>
        <v>chr8:105305600-105310623</v>
      </c>
      <c r="F2484" t="s">
        <v>30</v>
      </c>
      <c r="G2484">
        <v>0.80988595484359804</v>
      </c>
      <c r="H2484">
        <v>0.26883387099087303</v>
      </c>
      <c r="I2484">
        <v>3.0125889712427401</v>
      </c>
      <c r="J2484">
        <v>2.59029493338427E-3</v>
      </c>
      <c r="K2484">
        <v>1.39584062184905E-2</v>
      </c>
      <c r="L2484" t="s">
        <v>26</v>
      </c>
      <c r="M2484" t="s">
        <v>27</v>
      </c>
      <c r="N2484">
        <v>31.340076822981299</v>
      </c>
      <c r="O2484">
        <v>21.579241233828601</v>
      </c>
      <c r="P2484">
        <v>38.660703514845899</v>
      </c>
      <c r="Q2484">
        <v>23.385286932240501</v>
      </c>
      <c r="R2484">
        <v>18.583490891023899</v>
      </c>
      <c r="S2484">
        <v>22.768945878221299</v>
      </c>
      <c r="T2484">
        <v>22.914773577906299</v>
      </c>
      <c r="U2484">
        <v>42.825134917710699</v>
      </c>
      <c r="V2484">
        <v>41.1966029375169</v>
      </c>
      <c r="W2484">
        <v>47.706302626249602</v>
      </c>
    </row>
    <row r="2485" spans="1:23" x14ac:dyDescent="0.2">
      <c r="A2485" t="s">
        <v>4975</v>
      </c>
      <c r="B2485" s="3" t="str">
        <f>HYPERLINK("http://www.ncbi.nlm.nih.gov/gene/226791","Lyplal1")</f>
        <v>Lyplal1</v>
      </c>
      <c r="C2485">
        <v>226791</v>
      </c>
      <c r="D2485" t="s">
        <v>4976</v>
      </c>
      <c r="E2485" s="3" t="str">
        <f>HYPERLINK("http://genome.ucsc.edu/cgi-bin/hgTracks?db=mm10&amp;lastVirtModeType=default&amp;lastVirtModeExtraState=&amp;virtModeType=default&amp;virtMode=0&amp;nonVirtPosition=&amp;position=chr1:186087731-186117310","chr1:186087731-186117310")</f>
        <v>chr1:186087731-186117310</v>
      </c>
      <c r="F2485" t="s">
        <v>25</v>
      </c>
      <c r="G2485">
        <v>-0.95168105961794502</v>
      </c>
      <c r="H2485">
        <v>0.31591723262791999</v>
      </c>
      <c r="I2485">
        <v>-3.0124379468049201</v>
      </c>
      <c r="J2485">
        <v>2.5915841459891301E-3</v>
      </c>
      <c r="K2485">
        <v>1.3959735840281699E-2</v>
      </c>
      <c r="L2485" t="s">
        <v>26</v>
      </c>
      <c r="M2485" t="s">
        <v>27</v>
      </c>
      <c r="N2485">
        <v>33.819633672921903</v>
      </c>
      <c r="O2485">
        <v>49.6660332214107</v>
      </c>
      <c r="P2485">
        <v>21.9348340115552</v>
      </c>
      <c r="Q2485">
        <v>65.701520428675593</v>
      </c>
      <c r="R2485">
        <v>28.4441187107508</v>
      </c>
      <c r="S2485">
        <v>54.852460524805799</v>
      </c>
      <c r="T2485">
        <v>27.497728293487601</v>
      </c>
      <c r="U2485">
        <v>12.847540475313201</v>
      </c>
      <c r="V2485">
        <v>23.540915964295401</v>
      </c>
      <c r="W2485">
        <v>23.853151313124801</v>
      </c>
    </row>
    <row r="2486" spans="1:23" x14ac:dyDescent="0.2">
      <c r="A2486" t="s">
        <v>4977</v>
      </c>
      <c r="B2486" s="3" t="str">
        <f>HYPERLINK("http://www.ncbi.nlm.nih.gov/gene/22193","Ube2e3")</f>
        <v>Ube2e3</v>
      </c>
      <c r="C2486">
        <v>22193</v>
      </c>
      <c r="D2486" t="s">
        <v>4978</v>
      </c>
      <c r="E2486" s="3" t="str">
        <f>HYPERLINK("http://genome.ucsc.edu/cgi-bin/hgTracks?db=mm10&amp;lastVirtModeType=default&amp;lastVirtModeExtraState=&amp;virtModeType=default&amp;virtMode=0&amp;nonVirtPosition=&amp;position=chr2:78869046-78920583","chr2:78869046-78920583")</f>
        <v>chr2:78869046-78920583</v>
      </c>
      <c r="F2486" t="s">
        <v>30</v>
      </c>
      <c r="G2486">
        <v>-0.35263287874744598</v>
      </c>
      <c r="H2486">
        <v>0.11708968737018299</v>
      </c>
      <c r="I2486">
        <v>-3.01164762386448</v>
      </c>
      <c r="J2486">
        <v>2.59834027189147E-3</v>
      </c>
      <c r="K2486">
        <v>1.39905004346195E-2</v>
      </c>
      <c r="L2486" t="s">
        <v>26</v>
      </c>
      <c r="M2486" t="s">
        <v>27</v>
      </c>
      <c r="N2486">
        <v>385.19709547311902</v>
      </c>
      <c r="O2486">
        <v>440.40452688475301</v>
      </c>
      <c r="P2486">
        <v>343.79152191439402</v>
      </c>
      <c r="Q2486">
        <v>422.60554241834501</v>
      </c>
      <c r="R2486">
        <v>470.65535093389099</v>
      </c>
      <c r="S2486">
        <v>427.95268730202298</v>
      </c>
      <c r="T2486">
        <v>339.13864895301401</v>
      </c>
      <c r="U2486">
        <v>370.43741703819802</v>
      </c>
      <c r="V2486">
        <v>353.11373946443001</v>
      </c>
      <c r="W2486">
        <v>312.47628220193502</v>
      </c>
    </row>
    <row r="2487" spans="1:23" x14ac:dyDescent="0.2">
      <c r="A2487" t="s">
        <v>4979</v>
      </c>
      <c r="B2487" s="3" t="str">
        <f>HYPERLINK("http://www.ncbi.nlm.nih.gov/gene/19291","Purb")</f>
        <v>Purb</v>
      </c>
      <c r="C2487">
        <v>19291</v>
      </c>
      <c r="D2487" t="s">
        <v>4980</v>
      </c>
      <c r="E2487" s="3" t="str">
        <f>HYPERLINK("http://genome.ucsc.edu/cgi-bin/hgTracks?db=mm10&amp;lastVirtModeType=default&amp;lastVirtModeExtraState=&amp;virtModeType=default&amp;virtMode=0&amp;nonVirtPosition=&amp;position=chr11:6467598-6476076","chr11:6467598-6476076")</f>
        <v>chr11:6467598-6476076</v>
      </c>
      <c r="F2487" t="s">
        <v>25</v>
      </c>
      <c r="G2487">
        <v>-0.29054877020476499</v>
      </c>
      <c r="H2487">
        <v>9.6496296119654601E-2</v>
      </c>
      <c r="I2487">
        <v>-3.01098365313926</v>
      </c>
      <c r="J2487">
        <v>2.6040287111681699E-3</v>
      </c>
      <c r="K2487">
        <v>1.40154937585422E-2</v>
      </c>
      <c r="L2487" t="s">
        <v>26</v>
      </c>
      <c r="M2487" t="s">
        <v>27</v>
      </c>
      <c r="N2487">
        <v>2485.8402951686298</v>
      </c>
      <c r="O2487">
        <v>2779.9618380544898</v>
      </c>
      <c r="P2487">
        <v>2265.2491380042302</v>
      </c>
      <c r="Q2487">
        <v>2780.6219747525902</v>
      </c>
      <c r="R2487">
        <v>2787.1443787374401</v>
      </c>
      <c r="S2487">
        <v>2772.1191606734401</v>
      </c>
      <c r="T2487">
        <v>2208.9841729101699</v>
      </c>
      <c r="U2487">
        <v>2419.6201228506502</v>
      </c>
      <c r="V2487">
        <v>2335.7002558324298</v>
      </c>
      <c r="W2487">
        <v>2096.6920004236699</v>
      </c>
    </row>
    <row r="2488" spans="1:23" x14ac:dyDescent="0.2">
      <c r="A2488" t="s">
        <v>4981</v>
      </c>
      <c r="B2488" s="3" t="str">
        <f>HYPERLINK("http://www.ncbi.nlm.nih.gov/gene/329559","Zfp335")</f>
        <v>Zfp335</v>
      </c>
      <c r="C2488">
        <v>329559</v>
      </c>
      <c r="D2488" t="s">
        <v>4982</v>
      </c>
      <c r="E2488" s="3" t="str">
        <f>HYPERLINK("http://genome.ucsc.edu/cgi-bin/hgTracks?db=mm10&amp;lastVirtModeType=default&amp;lastVirtModeExtraState=&amp;virtModeType=default&amp;virtMode=0&amp;nonVirtPosition=&amp;position=chr2:164891891-164911750","chr2:164891891-164911750")</f>
        <v>chr2:164891891-164911750</v>
      </c>
      <c r="F2488" t="s">
        <v>25</v>
      </c>
      <c r="G2488">
        <v>0.56423588904302902</v>
      </c>
      <c r="H2488">
        <v>0.18749298838599501</v>
      </c>
      <c r="I2488">
        <v>3.0093706111368199</v>
      </c>
      <c r="J2488">
        <v>2.61789559383761E-3</v>
      </c>
      <c r="K2488">
        <v>1.40844676163437E-2</v>
      </c>
      <c r="L2488" t="s">
        <v>26</v>
      </c>
      <c r="M2488" t="s">
        <v>27</v>
      </c>
      <c r="N2488">
        <v>141.28536406595001</v>
      </c>
      <c r="O2488">
        <v>107.67594206013401</v>
      </c>
      <c r="P2488">
        <v>166.49243057031299</v>
      </c>
      <c r="Q2488">
        <v>96.325110458990395</v>
      </c>
      <c r="R2488">
        <v>92.158944622832706</v>
      </c>
      <c r="S2488">
        <v>134.54377109858001</v>
      </c>
      <c r="T2488">
        <v>192.48409805441301</v>
      </c>
      <c r="U2488">
        <v>167.018026179072</v>
      </c>
      <c r="V2488">
        <v>138.30288129023501</v>
      </c>
      <c r="W2488">
        <v>168.16471675752999</v>
      </c>
    </row>
    <row r="2489" spans="1:23" x14ac:dyDescent="0.2">
      <c r="A2489" t="s">
        <v>4983</v>
      </c>
      <c r="B2489" s="3" t="str">
        <f>HYPERLINK("http://www.ncbi.nlm.nih.gov/gene/12508","Cd53")</f>
        <v>Cd53</v>
      </c>
      <c r="C2489">
        <v>12508</v>
      </c>
      <c r="D2489" t="s">
        <v>4984</v>
      </c>
      <c r="E2489" s="3" t="str">
        <f>HYPERLINK("http://genome.ucsc.edu/cgi-bin/hgTracks?db=mm10&amp;lastVirtModeType=default&amp;lastVirtModeExtraState=&amp;virtModeType=default&amp;virtMode=0&amp;nonVirtPosition=&amp;position=chr3:106758860-106790149","chr3:106758860-106790149")</f>
        <v>chr3:106758860-106790149</v>
      </c>
      <c r="F2489" t="s">
        <v>25</v>
      </c>
      <c r="G2489">
        <v>-0.87017581817355105</v>
      </c>
      <c r="H2489">
        <v>0.28939775202992701</v>
      </c>
      <c r="I2489">
        <v>-3.00685064783629</v>
      </c>
      <c r="J2489">
        <v>2.6396941909370701E-3</v>
      </c>
      <c r="K2489">
        <v>1.41960421328668E-2</v>
      </c>
      <c r="L2489" t="s">
        <v>26</v>
      </c>
      <c r="M2489" t="s">
        <v>27</v>
      </c>
      <c r="N2489">
        <v>65.8045310261883</v>
      </c>
      <c r="O2489">
        <v>92.344222445888505</v>
      </c>
      <c r="P2489">
        <v>45.899762461413097</v>
      </c>
      <c r="Q2489">
        <v>145.32285450749399</v>
      </c>
      <c r="R2489">
        <v>65.990355408941994</v>
      </c>
      <c r="S2489">
        <v>65.719457421229606</v>
      </c>
      <c r="T2489">
        <v>54.995456586975202</v>
      </c>
      <c r="U2489">
        <v>36.401364680054101</v>
      </c>
      <c r="V2489">
        <v>39.7252956897484</v>
      </c>
      <c r="W2489">
        <v>52.4769328888746</v>
      </c>
    </row>
    <row r="2490" spans="1:23" x14ac:dyDescent="0.2">
      <c r="A2490" t="s">
        <v>4985</v>
      </c>
      <c r="B2490" s="3" t="str">
        <f>HYPERLINK("http://www.ncbi.nlm.nih.gov/gene/14389","Gab2")</f>
        <v>Gab2</v>
      </c>
      <c r="C2490">
        <v>14389</v>
      </c>
      <c r="D2490" t="s">
        <v>4986</v>
      </c>
      <c r="E2490" s="3" t="str">
        <f>HYPERLINK("http://genome.ucsc.edu/cgi-bin/hgTracks?db=mm10&amp;lastVirtModeType=default&amp;lastVirtModeExtraState=&amp;virtModeType=default&amp;virtMode=0&amp;nonVirtPosition=&amp;position=chr7:97081750-97308951","chr7:97081750-97308951")</f>
        <v>chr7:97081750-97308951</v>
      </c>
      <c r="F2490" t="s">
        <v>30</v>
      </c>
      <c r="G2490">
        <v>-0.39745042781991802</v>
      </c>
      <c r="H2490">
        <v>0.13224368403032499</v>
      </c>
      <c r="I2490">
        <v>-3.0054397738101302</v>
      </c>
      <c r="J2490">
        <v>2.6519710911806298E-3</v>
      </c>
      <c r="K2490">
        <v>1.42563407796065E-2</v>
      </c>
      <c r="L2490" t="s">
        <v>26</v>
      </c>
      <c r="M2490" t="s">
        <v>27</v>
      </c>
      <c r="N2490">
        <v>435.37776392857199</v>
      </c>
      <c r="O2490">
        <v>502.78216963369601</v>
      </c>
      <c r="P2490">
        <v>384.82445964972902</v>
      </c>
      <c r="Q2490">
        <v>546.21348763161598</v>
      </c>
      <c r="R2490">
        <v>448.27931088143299</v>
      </c>
      <c r="S2490">
        <v>513.85371038803999</v>
      </c>
      <c r="T2490">
        <v>435.38069798022002</v>
      </c>
      <c r="U2490">
        <v>406.83878171825199</v>
      </c>
      <c r="V2490">
        <v>361.94158295104103</v>
      </c>
      <c r="W2490">
        <v>335.13677594940299</v>
      </c>
    </row>
    <row r="2491" spans="1:23" x14ac:dyDescent="0.2">
      <c r="A2491" t="s">
        <v>4987</v>
      </c>
      <c r="B2491" s="3" t="str">
        <f>HYPERLINK("http://www.ncbi.nlm.nih.gov/gene/67054","Paics")</f>
        <v>Paics</v>
      </c>
      <c r="C2491">
        <v>67054</v>
      </c>
      <c r="D2491" t="s">
        <v>4988</v>
      </c>
      <c r="E2491" s="3" t="str">
        <f>HYPERLINK("http://genome.ucsc.edu/cgi-bin/hgTracks?db=mm10&amp;lastVirtModeType=default&amp;lastVirtModeExtraState=&amp;virtModeType=default&amp;virtMode=0&amp;nonVirtPosition=&amp;position=chr5:76951410-76967505","chr5:76951410-76967505")</f>
        <v>chr5:76951410-76967505</v>
      </c>
      <c r="F2491" t="s">
        <v>30</v>
      </c>
      <c r="G2491">
        <v>-0.43018620105953898</v>
      </c>
      <c r="H2491">
        <v>0.143167325591504</v>
      </c>
      <c r="I2491">
        <v>-3.0047791930330501</v>
      </c>
      <c r="J2491">
        <v>2.6577371379075398E-3</v>
      </c>
      <c r="K2491">
        <v>1.42816043393739E-2</v>
      </c>
      <c r="L2491" t="s">
        <v>26</v>
      </c>
      <c r="M2491" t="s">
        <v>27</v>
      </c>
      <c r="N2491">
        <v>626.42140545295103</v>
      </c>
      <c r="O2491">
        <v>734.88553666759401</v>
      </c>
      <c r="P2491">
        <v>545.07330704196897</v>
      </c>
      <c r="Q2491">
        <v>638.08425772256101</v>
      </c>
      <c r="R2491">
        <v>862.80493422610903</v>
      </c>
      <c r="S2491">
        <v>703.76741805411302</v>
      </c>
      <c r="T2491">
        <v>637.03070546579602</v>
      </c>
      <c r="U2491">
        <v>473.21774084070302</v>
      </c>
      <c r="V2491">
        <v>533.34887731606705</v>
      </c>
      <c r="W2491">
        <v>536.69590454530805</v>
      </c>
    </row>
    <row r="2492" spans="1:23" x14ac:dyDescent="0.2">
      <c r="A2492" t="s">
        <v>4989</v>
      </c>
      <c r="B2492" s="3" t="str">
        <f>HYPERLINK("http://www.ncbi.nlm.nih.gov/gene/18230","Nxn")</f>
        <v>Nxn</v>
      </c>
      <c r="C2492">
        <v>18230</v>
      </c>
      <c r="D2492" t="s">
        <v>4990</v>
      </c>
      <c r="E2492" s="3" t="str">
        <f>HYPERLINK("http://genome.ucsc.edu/cgi-bin/hgTracks?db=mm10&amp;lastVirtModeType=default&amp;lastVirtModeExtraState=&amp;virtModeType=default&amp;virtMode=0&amp;nonVirtPosition=&amp;position=chr11:76257225-76399141","chr11:76257225-76399141")</f>
        <v>chr11:76257225-76399141</v>
      </c>
      <c r="F2492" t="s">
        <v>25</v>
      </c>
      <c r="G2492">
        <v>0.58153919516180497</v>
      </c>
      <c r="H2492">
        <v>0.193600308518834</v>
      </c>
      <c r="I2492">
        <v>3.0038133699835101</v>
      </c>
      <c r="J2492">
        <v>2.66618819492743E-3</v>
      </c>
      <c r="K2492">
        <v>1.4321270003318599E-2</v>
      </c>
      <c r="L2492" t="s">
        <v>26</v>
      </c>
      <c r="M2492" t="s">
        <v>27</v>
      </c>
      <c r="N2492">
        <v>122.832651048873</v>
      </c>
      <c r="O2492">
        <v>96.584681109239398</v>
      </c>
      <c r="P2492">
        <v>142.518628503597</v>
      </c>
      <c r="Q2492">
        <v>103.006621011059</v>
      </c>
      <c r="R2492">
        <v>102.398827358703</v>
      </c>
      <c r="S2492">
        <v>84.348594957956195</v>
      </c>
      <c r="T2492">
        <v>105.407958458369</v>
      </c>
      <c r="U2492">
        <v>122.051634515476</v>
      </c>
      <c r="V2492">
        <v>178.02817697998401</v>
      </c>
      <c r="W2492">
        <v>164.58674406056099</v>
      </c>
    </row>
    <row r="2493" spans="1:23" x14ac:dyDescent="0.2">
      <c r="A2493" t="s">
        <v>4991</v>
      </c>
      <c r="B2493" s="3" t="str">
        <f>HYPERLINK("http://www.ncbi.nlm.nih.gov/gene/29809","Rabgap1l")</f>
        <v>Rabgap1l</v>
      </c>
      <c r="C2493">
        <v>29809</v>
      </c>
      <c r="D2493" t="s">
        <v>4992</v>
      </c>
      <c r="E2493" s="3" t="str">
        <f>HYPERLINK("http://genome.ucsc.edu/cgi-bin/hgTracks?db=mm10&amp;lastVirtModeType=default&amp;lastVirtModeExtraState=&amp;virtModeType=default&amp;virtMode=0&amp;nonVirtPosition=&amp;position=chr1:160219173-160351571","chr1:160219173-160351571")</f>
        <v>chr1:160219173-160351571</v>
      </c>
      <c r="F2493" t="s">
        <v>25</v>
      </c>
      <c r="G2493">
        <v>-0.42695835438256802</v>
      </c>
      <c r="H2493">
        <v>0.14217143821859199</v>
      </c>
      <c r="I2493">
        <v>-3.0031232695705699</v>
      </c>
      <c r="J2493">
        <v>2.6722416848083599E-3</v>
      </c>
      <c r="K2493">
        <v>1.43445839994647E-2</v>
      </c>
      <c r="L2493" t="s">
        <v>26</v>
      </c>
      <c r="M2493" t="s">
        <v>27</v>
      </c>
      <c r="N2493">
        <v>695.91443937620204</v>
      </c>
      <c r="O2493">
        <v>819.03642867392205</v>
      </c>
      <c r="P2493">
        <v>603.57294740291104</v>
      </c>
      <c r="Q2493">
        <v>987.19318406815</v>
      </c>
      <c r="R2493">
        <v>791.50500999116002</v>
      </c>
      <c r="S2493">
        <v>678.41109196245702</v>
      </c>
      <c r="T2493">
        <v>604.95002245672697</v>
      </c>
      <c r="U2493">
        <v>627.38822654446199</v>
      </c>
      <c r="V2493">
        <v>604.70727883283701</v>
      </c>
      <c r="W2493">
        <v>577.24626177762002</v>
      </c>
    </row>
    <row r="2494" spans="1:23" x14ac:dyDescent="0.2">
      <c r="A2494" t="s">
        <v>4993</v>
      </c>
      <c r="B2494" s="3" t="str">
        <f>HYPERLINK("http://www.ncbi.nlm.nih.gov/gene/329575","Gm14325")</f>
        <v>Gm14325</v>
      </c>
      <c r="C2494">
        <v>329575</v>
      </c>
      <c r="D2494" t="s">
        <v>4994</v>
      </c>
      <c r="E2494" s="3" t="str">
        <f>HYPERLINK("http://genome.ucsc.edu/cgi-bin/hgTracks?db=mm10&amp;lastVirtModeType=default&amp;lastVirtModeExtraState=&amp;virtModeType=default&amp;virtMode=0&amp;nonVirtPosition=&amp;position=chr2:177828990-177840336","chr2:177828990-177840336")</f>
        <v>chr2:177828990-177840336</v>
      </c>
      <c r="F2494" t="s">
        <v>25</v>
      </c>
      <c r="G2494">
        <v>-1.0843523564503701</v>
      </c>
      <c r="H2494">
        <v>0.36108075183903598</v>
      </c>
      <c r="I2494">
        <v>-3.0030743841304299</v>
      </c>
      <c r="J2494">
        <v>2.6726709789160301E-3</v>
      </c>
      <c r="K2494">
        <v>1.43445839994647E-2</v>
      </c>
      <c r="L2494" t="s">
        <v>26</v>
      </c>
      <c r="M2494" t="s">
        <v>27</v>
      </c>
      <c r="N2494">
        <v>13.1104656296272</v>
      </c>
      <c r="O2494">
        <v>21.441913877277301</v>
      </c>
      <c r="P2494">
        <v>6.8618794438895199</v>
      </c>
      <c r="Q2494">
        <v>27.8396273002862</v>
      </c>
      <c r="R2494">
        <v>21.996785136313999</v>
      </c>
      <c r="S2494">
        <v>14.489329195231701</v>
      </c>
      <c r="T2494">
        <v>4.58295471558126</v>
      </c>
      <c r="U2494">
        <v>6.4237702376566101</v>
      </c>
      <c r="V2494">
        <v>8.0921898627265296</v>
      </c>
      <c r="W2494">
        <v>8.3486029595936806</v>
      </c>
    </row>
    <row r="2495" spans="1:23" x14ac:dyDescent="0.2">
      <c r="A2495" t="s">
        <v>4995</v>
      </c>
      <c r="B2495" s="3" t="str">
        <f>HYPERLINK("http://www.ncbi.nlm.nih.gov/gene/67474","Snap29")</f>
        <v>Snap29</v>
      </c>
      <c r="C2495">
        <v>67474</v>
      </c>
      <c r="D2495" t="s">
        <v>4996</v>
      </c>
      <c r="E2495" s="3" t="str">
        <f>HYPERLINK("http://genome.ucsc.edu/cgi-bin/hgTracks?db=mm10&amp;lastVirtModeType=default&amp;lastVirtModeExtraState=&amp;virtModeType=default&amp;virtMode=0&amp;nonVirtPosition=&amp;position=chr16:17405999-17430826","chr16:17405999-17430826")</f>
        <v>chr16:17405999-17430826</v>
      </c>
      <c r="F2495" t="s">
        <v>30</v>
      </c>
      <c r="G2495">
        <v>-0.51234404491581897</v>
      </c>
      <c r="H2495">
        <v>0.170641742252787</v>
      </c>
      <c r="I2495">
        <v>-3.00245437108136</v>
      </c>
      <c r="J2495">
        <v>2.67812117914224E-3</v>
      </c>
      <c r="K2495">
        <v>1.4368077207489499E-2</v>
      </c>
      <c r="L2495" t="s">
        <v>26</v>
      </c>
      <c r="M2495" t="s">
        <v>27</v>
      </c>
      <c r="N2495">
        <v>144.95458679726201</v>
      </c>
      <c r="O2495">
        <v>177.46312950336701</v>
      </c>
      <c r="P2495">
        <v>120.573179767683</v>
      </c>
      <c r="Q2495">
        <v>207.68361966013501</v>
      </c>
      <c r="R2495">
        <v>161.183339360921</v>
      </c>
      <c r="S2495">
        <v>163.52242948904399</v>
      </c>
      <c r="T2495">
        <v>109.99091317395001</v>
      </c>
      <c r="U2495">
        <v>130.61666149901799</v>
      </c>
      <c r="V2495">
        <v>133.15330592304599</v>
      </c>
      <c r="W2495">
        <v>108.531838474718</v>
      </c>
    </row>
    <row r="2496" spans="1:23" x14ac:dyDescent="0.2">
      <c r="A2496" t="s">
        <v>4997</v>
      </c>
      <c r="B2496" s="3" t="str">
        <f>HYPERLINK("http://www.ncbi.nlm.nih.gov/gene/20720","Serpine2")</f>
        <v>Serpine2</v>
      </c>
      <c r="C2496">
        <v>20720</v>
      </c>
      <c r="D2496" t="s">
        <v>4998</v>
      </c>
      <c r="E2496" s="3" t="str">
        <f>HYPERLINK("http://genome.ucsc.edu/cgi-bin/hgTracks?db=mm10&amp;lastVirtModeType=default&amp;lastVirtModeExtraState=&amp;virtModeType=default&amp;virtMode=0&amp;nonVirtPosition=&amp;position=chr1:79794320-79858665","chr1:79794320-79858665")</f>
        <v>chr1:79794320-79858665</v>
      </c>
      <c r="F2496" t="s">
        <v>25</v>
      </c>
      <c r="G2496">
        <v>-0.43502329764369202</v>
      </c>
      <c r="H2496">
        <v>0.14492216580898401</v>
      </c>
      <c r="I2496">
        <v>-3.0017719871581199</v>
      </c>
      <c r="J2496">
        <v>2.68413138781856E-3</v>
      </c>
      <c r="K2496">
        <v>1.43945548315092E-2</v>
      </c>
      <c r="L2496" t="s">
        <v>26</v>
      </c>
      <c r="M2496" t="s">
        <v>27</v>
      </c>
      <c r="N2496">
        <v>6435.0191724918604</v>
      </c>
      <c r="O2496">
        <v>7602.74712813307</v>
      </c>
      <c r="P2496">
        <v>5559.2232057609599</v>
      </c>
      <c r="Q2496">
        <v>8533.9593526297504</v>
      </c>
      <c r="R2496">
        <v>7334.4108232961398</v>
      </c>
      <c r="S2496">
        <v>6939.8712084733097</v>
      </c>
      <c r="T2496">
        <v>4729.6092664798598</v>
      </c>
      <c r="U2496">
        <v>6261.0347249693004</v>
      </c>
      <c r="V2496">
        <v>5579.9327371618901</v>
      </c>
      <c r="W2496">
        <v>5666.3160944328001</v>
      </c>
    </row>
    <row r="2497" spans="1:23" x14ac:dyDescent="0.2">
      <c r="A2497" t="s">
        <v>4999</v>
      </c>
      <c r="B2497" s="3" t="str">
        <f>HYPERLINK("http://www.ncbi.nlm.nih.gov/gene/16512","Kcnh3")</f>
        <v>Kcnh3</v>
      </c>
      <c r="C2497">
        <v>16512</v>
      </c>
      <c r="D2497" t="s">
        <v>5000</v>
      </c>
      <c r="E2497" s="3" t="str">
        <f>HYPERLINK("http://genome.ucsc.edu/cgi-bin/hgTracks?db=mm10&amp;lastVirtModeType=default&amp;lastVirtModeExtraState=&amp;virtModeType=default&amp;virtMode=0&amp;nonVirtPosition=&amp;position=chr15:99224975-99242817","chr15:99224975-99242817")</f>
        <v>chr15:99224975-99242817</v>
      </c>
      <c r="F2497" t="s">
        <v>30</v>
      </c>
      <c r="G2497">
        <v>1.15184817870014</v>
      </c>
      <c r="H2497">
        <v>0.38379469967123298</v>
      </c>
      <c r="I2497">
        <v>3.0012091873255198</v>
      </c>
      <c r="J2497">
        <v>2.68909761239168E-3</v>
      </c>
      <c r="K2497">
        <v>1.4415414782841101E-2</v>
      </c>
      <c r="L2497" t="s">
        <v>26</v>
      </c>
      <c r="M2497" t="s">
        <v>27</v>
      </c>
      <c r="N2497">
        <v>10.034059258005501</v>
      </c>
      <c r="O2497">
        <v>3.86425985840006</v>
      </c>
      <c r="P2497">
        <v>14.661408807709501</v>
      </c>
      <c r="Q2497">
        <v>4.4543403680458002</v>
      </c>
      <c r="R2497">
        <v>4.5510589937201402</v>
      </c>
      <c r="S2497">
        <v>2.5873802134342401</v>
      </c>
      <c r="T2497">
        <v>22.914773577906299</v>
      </c>
      <c r="U2497">
        <v>12.847540475313201</v>
      </c>
      <c r="V2497">
        <v>16.920033349337299</v>
      </c>
      <c r="W2497">
        <v>5.9632878282812003</v>
      </c>
    </row>
    <row r="2498" spans="1:23" x14ac:dyDescent="0.2">
      <c r="A2498" t="s">
        <v>5001</v>
      </c>
      <c r="B2498" s="3" t="str">
        <f>HYPERLINK("http://www.ncbi.nlm.nih.gov/gene/209692","Dhtkd1")</f>
        <v>Dhtkd1</v>
      </c>
      <c r="C2498">
        <v>209692</v>
      </c>
      <c r="D2498" t="s">
        <v>5002</v>
      </c>
      <c r="E2498" s="3" t="str">
        <f>HYPERLINK("http://genome.ucsc.edu/cgi-bin/hgTracks?db=mm10&amp;lastVirtModeType=default&amp;lastVirtModeExtraState=&amp;virtModeType=default&amp;virtMode=0&amp;nonVirtPosition=&amp;position=chr2:5898059-5942792","chr2:5898059-5942792")</f>
        <v>chr2:5898059-5942792</v>
      </c>
      <c r="F2498" t="s">
        <v>25</v>
      </c>
      <c r="G2498">
        <v>0.79010988443181196</v>
      </c>
      <c r="H2498">
        <v>0.26330326699006701</v>
      </c>
      <c r="I2498">
        <v>3.0007598973757501</v>
      </c>
      <c r="J2498">
        <v>2.6930682355537599E-3</v>
      </c>
      <c r="K2498">
        <v>1.44253657427554E-2</v>
      </c>
      <c r="L2498" t="s">
        <v>26</v>
      </c>
      <c r="M2498" t="s">
        <v>27</v>
      </c>
      <c r="N2498">
        <v>38.171437554848197</v>
      </c>
      <c r="O2498">
        <v>25.358519790013499</v>
      </c>
      <c r="P2498">
        <v>47.7811258784741</v>
      </c>
      <c r="Q2498">
        <v>22.271701840228999</v>
      </c>
      <c r="R2498">
        <v>22.755294968600701</v>
      </c>
      <c r="S2498">
        <v>31.0485625612109</v>
      </c>
      <c r="T2498">
        <v>50.4125018713939</v>
      </c>
      <c r="U2498">
        <v>42.825134917710699</v>
      </c>
      <c r="V2498">
        <v>38.253988441979999</v>
      </c>
      <c r="W2498">
        <v>59.632878282812001</v>
      </c>
    </row>
    <row r="2499" spans="1:23" x14ac:dyDescent="0.2">
      <c r="A2499" t="s">
        <v>5003</v>
      </c>
      <c r="B2499" s="3" t="str">
        <f>HYPERLINK("http://www.ncbi.nlm.nih.gov/gene/67724","Pop1")</f>
        <v>Pop1</v>
      </c>
      <c r="C2499">
        <v>67724</v>
      </c>
      <c r="D2499" t="s">
        <v>5004</v>
      </c>
      <c r="E2499" s="3" t="str">
        <f>HYPERLINK("http://genome.ucsc.edu/cgi-bin/hgTracks?db=mm10&amp;lastVirtModeType=default&amp;lastVirtModeExtraState=&amp;virtModeType=default&amp;virtMode=0&amp;nonVirtPosition=&amp;position=chr15:34495310-34530653","chr15:34495310-34530653")</f>
        <v>chr15:34495310-34530653</v>
      </c>
      <c r="F2499" t="s">
        <v>30</v>
      </c>
      <c r="G2499">
        <v>0.69243616724567902</v>
      </c>
      <c r="H2499">
        <v>0.230753955160729</v>
      </c>
      <c r="I2499">
        <v>3.0007553576421699</v>
      </c>
      <c r="J2499">
        <v>2.6931083830101302E-3</v>
      </c>
      <c r="K2499">
        <v>1.44253657427554E-2</v>
      </c>
      <c r="L2499" t="s">
        <v>26</v>
      </c>
      <c r="M2499" t="s">
        <v>27</v>
      </c>
      <c r="N2499">
        <v>124.093726402592</v>
      </c>
      <c r="O2499">
        <v>87.860473516645598</v>
      </c>
      <c r="P2499">
        <v>151.26866606705099</v>
      </c>
      <c r="Q2499">
        <v>52.8952918705439</v>
      </c>
      <c r="R2499">
        <v>107.70839618471</v>
      </c>
      <c r="S2499">
        <v>102.977732494683</v>
      </c>
      <c r="T2499">
        <v>169.56932447650701</v>
      </c>
      <c r="U2499">
        <v>158.45299919553</v>
      </c>
      <c r="V2499">
        <v>153.01595376792</v>
      </c>
      <c r="W2499">
        <v>124.03638682824899</v>
      </c>
    </row>
    <row r="2500" spans="1:23" x14ac:dyDescent="0.2">
      <c r="A2500" t="s">
        <v>5005</v>
      </c>
      <c r="B2500" s="3" t="str">
        <f>HYPERLINK("http://www.ncbi.nlm.nih.gov/gene/100040724","Mirg")</f>
        <v>Mirg</v>
      </c>
      <c r="C2500">
        <v>100040724</v>
      </c>
      <c r="D2500" t="s">
        <v>5006</v>
      </c>
      <c r="E2500" s="3" t="str">
        <f>HYPERLINK("http://genome.ucsc.edu/cgi-bin/hgTracks?db=mm10&amp;lastVirtModeType=default&amp;lastVirtModeExtraState=&amp;virtModeType=default&amp;virtMode=0&amp;nonVirtPosition=&amp;position=chr12:109734980-109749457","chr12:109734980-109749457")</f>
        <v>chr12:109734980-109749457</v>
      </c>
      <c r="F2500" t="s">
        <v>30</v>
      </c>
      <c r="G2500">
        <v>0.814631425445563</v>
      </c>
      <c r="H2500">
        <v>0.27164998080791702</v>
      </c>
      <c r="I2500">
        <v>2.99882747284855</v>
      </c>
      <c r="J2500">
        <v>2.71020728649263E-3</v>
      </c>
      <c r="K2500">
        <v>1.45111498494293E-2</v>
      </c>
      <c r="L2500" t="s">
        <v>26</v>
      </c>
      <c r="M2500" t="s">
        <v>27</v>
      </c>
      <c r="N2500">
        <v>84.100259759630305</v>
      </c>
      <c r="O2500">
        <v>56.058593689730003</v>
      </c>
      <c r="P2500">
        <v>105.131509312055</v>
      </c>
      <c r="Q2500">
        <v>51.2249142325267</v>
      </c>
      <c r="R2500">
        <v>55.371217756928303</v>
      </c>
      <c r="S2500">
        <v>61.579649079734899</v>
      </c>
      <c r="T2500">
        <v>96.242049027206505</v>
      </c>
      <c r="U2500">
        <v>49.248905155367297</v>
      </c>
      <c r="V2500">
        <v>114.02631170205601</v>
      </c>
      <c r="W2500">
        <v>161.00877136359199</v>
      </c>
    </row>
    <row r="2501" spans="1:23" x14ac:dyDescent="0.2">
      <c r="A2501" t="s">
        <v>5007</v>
      </c>
      <c r="B2501" s="3" t="str">
        <f>HYPERLINK("http://www.ncbi.nlm.nih.gov/gene/72125","Amer2")</f>
        <v>Amer2</v>
      </c>
      <c r="C2501">
        <v>72125</v>
      </c>
      <c r="D2501" t="s">
        <v>5008</v>
      </c>
      <c r="E2501" s="3" t="str">
        <f>HYPERLINK("http://genome.ucsc.edu/cgi-bin/hgTracks?db=mm10&amp;lastVirtModeType=default&amp;lastVirtModeExtraState=&amp;virtModeType=default&amp;virtMode=0&amp;nonVirtPosition=&amp;position=chr14:60378285-60381003","chr14:60378285-60381003")</f>
        <v>chr14:60378285-60381003</v>
      </c>
      <c r="F2501" t="s">
        <v>30</v>
      </c>
      <c r="G2501">
        <v>-0.42789314695383202</v>
      </c>
      <c r="H2501">
        <v>0.142726574554432</v>
      </c>
      <c r="I2501">
        <v>-2.9979921278825601</v>
      </c>
      <c r="J2501">
        <v>2.7176469304065298E-3</v>
      </c>
      <c r="K2501">
        <v>1.45441027234772E-2</v>
      </c>
      <c r="L2501" t="s">
        <v>26</v>
      </c>
      <c r="M2501" t="s">
        <v>27</v>
      </c>
      <c r="N2501">
        <v>372.54822122081703</v>
      </c>
      <c r="O2501">
        <v>434.86159342966999</v>
      </c>
      <c r="P2501">
        <v>325.81319206417697</v>
      </c>
      <c r="Q2501">
        <v>505.567631773198</v>
      </c>
      <c r="R2501">
        <v>403.14797586037503</v>
      </c>
      <c r="S2501">
        <v>395.86917265543798</v>
      </c>
      <c r="T2501">
        <v>375.80228667766397</v>
      </c>
      <c r="U2501">
        <v>327.61228212048701</v>
      </c>
      <c r="V2501">
        <v>286.16925969096599</v>
      </c>
      <c r="W2501">
        <v>313.66893976759098</v>
      </c>
    </row>
    <row r="2502" spans="1:23" x14ac:dyDescent="0.2">
      <c r="A2502" t="s">
        <v>5009</v>
      </c>
      <c r="B2502" s="3" t="str">
        <f>HYPERLINK("http://www.ncbi.nlm.nih.gov/gene/52504","Cenpo")</f>
        <v>Cenpo</v>
      </c>
      <c r="C2502">
        <v>52504</v>
      </c>
      <c r="D2502" t="s">
        <v>5010</v>
      </c>
      <c r="E2502" s="3" t="str">
        <f>HYPERLINK("http://genome.ucsc.edu/cgi-bin/hgTracks?db=mm10&amp;lastVirtModeType=default&amp;lastVirtModeExtraState=&amp;virtModeType=default&amp;virtMode=0&amp;nonVirtPosition=&amp;position=chr12:4211671-4234294","chr12:4211671-4234294")</f>
        <v>chr12:4211671-4234294</v>
      </c>
      <c r="F2502" t="s">
        <v>25</v>
      </c>
      <c r="G2502">
        <v>0.62812932004714395</v>
      </c>
      <c r="H2502">
        <v>0.209523619052809</v>
      </c>
      <c r="I2502">
        <v>2.9978926618713402</v>
      </c>
      <c r="J2502">
        <v>2.71853402411049E-3</v>
      </c>
      <c r="K2502">
        <v>1.45441027234772E-2</v>
      </c>
      <c r="L2502" t="s">
        <v>26</v>
      </c>
      <c r="M2502" t="s">
        <v>27</v>
      </c>
      <c r="N2502">
        <v>67.139364590485698</v>
      </c>
      <c r="O2502">
        <v>51.2938599368102</v>
      </c>
      <c r="P2502">
        <v>79.023493080742398</v>
      </c>
      <c r="Q2502">
        <v>45.656988772469397</v>
      </c>
      <c r="R2502">
        <v>52.337178427781602</v>
      </c>
      <c r="S2502">
        <v>55.887412610179503</v>
      </c>
      <c r="T2502">
        <v>64.161366018137699</v>
      </c>
      <c r="U2502">
        <v>68.520215868337104</v>
      </c>
      <c r="V2502">
        <v>86.807127618339194</v>
      </c>
      <c r="W2502">
        <v>96.605262818155396</v>
      </c>
    </row>
    <row r="2503" spans="1:23" x14ac:dyDescent="0.2">
      <c r="A2503" t="s">
        <v>5011</v>
      </c>
      <c r="B2503" s="3" t="str">
        <f>HYPERLINK("http://www.ncbi.nlm.nih.gov/gene/109905","Rap1a")</f>
        <v>Rap1a</v>
      </c>
      <c r="C2503">
        <v>109905</v>
      </c>
      <c r="D2503" t="s">
        <v>5012</v>
      </c>
      <c r="E2503" s="3" t="str">
        <f>HYPERLINK("http://genome.ucsc.edu/cgi-bin/hgTracks?db=mm10&amp;lastVirtModeType=default&amp;lastVirtModeExtraState=&amp;virtModeType=default&amp;virtMode=0&amp;nonVirtPosition=&amp;position=chr3:105727259-105801381","chr3:105727259-105801381")</f>
        <v>chr3:105727259-105801381</v>
      </c>
      <c r="F2503" t="s">
        <v>25</v>
      </c>
      <c r="G2503">
        <v>-0.475840874825458</v>
      </c>
      <c r="H2503">
        <v>0.158754669191147</v>
      </c>
      <c r="I2503">
        <v>-2.99733467525625</v>
      </c>
      <c r="J2503">
        <v>2.7235153688011E-3</v>
      </c>
      <c r="K2503">
        <v>1.4564933827322501E-2</v>
      </c>
      <c r="L2503" t="s">
        <v>26</v>
      </c>
      <c r="M2503" t="s">
        <v>27</v>
      </c>
      <c r="N2503">
        <v>151.95197138236401</v>
      </c>
      <c r="O2503">
        <v>184.84903994975099</v>
      </c>
      <c r="P2503">
        <v>127.279169956823</v>
      </c>
      <c r="Q2503">
        <v>198.218146378038</v>
      </c>
      <c r="R2503">
        <v>180.904595000375</v>
      </c>
      <c r="S2503">
        <v>175.42437847084099</v>
      </c>
      <c r="T2503">
        <v>114.573867889532</v>
      </c>
      <c r="U2503">
        <v>117.769121023704</v>
      </c>
      <c r="V2503">
        <v>151.54464652015099</v>
      </c>
      <c r="W2503">
        <v>125.229044393905</v>
      </c>
    </row>
    <row r="2504" spans="1:23" x14ac:dyDescent="0.2">
      <c r="A2504" t="s">
        <v>5013</v>
      </c>
      <c r="B2504" s="3" t="str">
        <f>HYPERLINK("http://www.ncbi.nlm.nih.gov/gene/67370","Zfp606")</f>
        <v>Zfp606</v>
      </c>
      <c r="C2504">
        <v>67370</v>
      </c>
      <c r="D2504" t="s">
        <v>5014</v>
      </c>
      <c r="E2504" s="3" t="str">
        <f>HYPERLINK("http://genome.ucsc.edu/cgi-bin/hgTracks?db=mm10&amp;lastVirtModeType=default&amp;lastVirtModeExtraState=&amp;virtModeType=default&amp;virtMode=0&amp;nonVirtPosition=&amp;position=chr7:12478304-12496235","chr7:12478304-12496235")</f>
        <v>chr7:12478304-12496235</v>
      </c>
      <c r="F2504" t="s">
        <v>30</v>
      </c>
      <c r="G2504">
        <v>-0.58573196965739005</v>
      </c>
      <c r="H2504">
        <v>0.19543613419693301</v>
      </c>
      <c r="I2504">
        <v>-2.9970505304161001</v>
      </c>
      <c r="J2504">
        <v>2.7260552340642699E-3</v>
      </c>
      <c r="K2504">
        <v>1.45726968620178E-2</v>
      </c>
      <c r="L2504" t="s">
        <v>26</v>
      </c>
      <c r="M2504" t="s">
        <v>27</v>
      </c>
      <c r="N2504">
        <v>190.81341767116399</v>
      </c>
      <c r="O2504">
        <v>238.04930478832</v>
      </c>
      <c r="P2504">
        <v>155.38650233329699</v>
      </c>
      <c r="Q2504">
        <v>314.03099594722897</v>
      </c>
      <c r="R2504">
        <v>222.622635776143</v>
      </c>
      <c r="S2504">
        <v>177.494282641589</v>
      </c>
      <c r="T2504">
        <v>164.98636976092499</v>
      </c>
      <c r="U2504">
        <v>156.31174244964399</v>
      </c>
      <c r="V2504">
        <v>146.395071152962</v>
      </c>
      <c r="W2504">
        <v>153.85282596965499</v>
      </c>
    </row>
    <row r="2505" spans="1:23" x14ac:dyDescent="0.2">
      <c r="A2505" t="s">
        <v>5015</v>
      </c>
      <c r="B2505" s="3" t="str">
        <f>HYPERLINK("http://www.ncbi.nlm.nih.gov/gene/67073","Pi4k2b")</f>
        <v>Pi4k2b</v>
      </c>
      <c r="C2505">
        <v>67073</v>
      </c>
      <c r="D2505" t="s">
        <v>5016</v>
      </c>
      <c r="E2505" s="3" t="str">
        <f>HYPERLINK("http://genome.ucsc.edu/cgi-bin/hgTracks?db=mm10&amp;lastVirtModeType=default&amp;lastVirtModeExtraState=&amp;virtModeType=default&amp;virtMode=0&amp;nonVirtPosition=&amp;position=chr5:52741573-52769344","chr5:52741573-52769344")</f>
        <v>chr5:52741573-52769344</v>
      </c>
      <c r="F2505" t="s">
        <v>30</v>
      </c>
      <c r="G2505">
        <v>0.88321417073876096</v>
      </c>
      <c r="H2505">
        <v>0.29474937774418503</v>
      </c>
      <c r="I2505">
        <v>2.9964920621658102</v>
      </c>
      <c r="J2505">
        <v>2.7310534819024201E-3</v>
      </c>
      <c r="K2505">
        <v>1.4593590253852901E-2</v>
      </c>
      <c r="L2505" t="s">
        <v>26</v>
      </c>
      <c r="M2505" t="s">
        <v>27</v>
      </c>
      <c r="N2505">
        <v>24.795046247380899</v>
      </c>
      <c r="O2505">
        <v>15.3512125007045</v>
      </c>
      <c r="P2505">
        <v>31.877921557388198</v>
      </c>
      <c r="Q2505">
        <v>20.601324202211799</v>
      </c>
      <c r="R2505">
        <v>12.5154122327304</v>
      </c>
      <c r="S2505">
        <v>12.936901067171201</v>
      </c>
      <c r="T2505">
        <v>32.0806830090688</v>
      </c>
      <c r="U2505">
        <v>34.260107934168602</v>
      </c>
      <c r="V2505">
        <v>30.1617985792534</v>
      </c>
      <c r="W2505">
        <v>31.009096707062199</v>
      </c>
    </row>
    <row r="2506" spans="1:23" x14ac:dyDescent="0.2">
      <c r="A2506" t="s">
        <v>5017</v>
      </c>
      <c r="B2506" s="3" t="str">
        <f>HYPERLINK("http://www.ncbi.nlm.nih.gov/gene/223593","E430025E21Rik")</f>
        <v>E430025E21Rik</v>
      </c>
      <c r="C2506">
        <v>223593</v>
      </c>
      <c r="D2506" t="s">
        <v>5018</v>
      </c>
      <c r="E2506" s="3" t="str">
        <f>HYPERLINK("http://genome.ucsc.edu/cgi-bin/hgTracks?db=mm10&amp;lastVirtModeType=default&amp;lastVirtModeExtraState=&amp;virtModeType=default&amp;virtMode=0&amp;nonVirtPosition=&amp;position=chr15:59331996-59374152","chr15:59331996-59374152")</f>
        <v>chr15:59331996-59374152</v>
      </c>
      <c r="F2506" t="s">
        <v>25</v>
      </c>
      <c r="G2506">
        <v>-0.39699245414797002</v>
      </c>
      <c r="H2506">
        <v>0.132517926295145</v>
      </c>
      <c r="I2506">
        <v>-2.9957641599657001</v>
      </c>
      <c r="J2506">
        <v>2.7375807186639099E-3</v>
      </c>
      <c r="K2506">
        <v>1.46136472602083E-2</v>
      </c>
      <c r="L2506" t="s">
        <v>26</v>
      </c>
      <c r="M2506" t="s">
        <v>27</v>
      </c>
      <c r="N2506">
        <v>453.89287454913602</v>
      </c>
      <c r="O2506">
        <v>526.38011203108499</v>
      </c>
      <c r="P2506">
        <v>399.527446437675</v>
      </c>
      <c r="Q2506">
        <v>468.81932373682002</v>
      </c>
      <c r="R2506">
        <v>534.37017684597299</v>
      </c>
      <c r="S2506">
        <v>575.95083551046196</v>
      </c>
      <c r="T2506">
        <v>403.30001497115097</v>
      </c>
      <c r="U2506">
        <v>458.228943619505</v>
      </c>
      <c r="V2506">
        <v>384.74684529145202</v>
      </c>
      <c r="W2506">
        <v>351.83398186859102</v>
      </c>
    </row>
    <row r="2507" spans="1:23" x14ac:dyDescent="0.2">
      <c r="A2507" t="s">
        <v>5019</v>
      </c>
      <c r="B2507" s="3" t="str">
        <f>HYPERLINK("http://www.ncbi.nlm.nih.gov/gene/16372","Irx2")</f>
        <v>Irx2</v>
      </c>
      <c r="C2507">
        <v>16372</v>
      </c>
      <c r="D2507" t="s">
        <v>5020</v>
      </c>
      <c r="E2507" s="3" t="str">
        <f>HYPERLINK("http://genome.ucsc.edu/cgi-bin/hgTracks?db=mm10&amp;lastVirtModeType=default&amp;lastVirtModeExtraState=&amp;virtModeType=default&amp;virtMode=0&amp;nonVirtPosition=&amp;position=chr13:72628796-72634196","chr13:72628796-72634196")</f>
        <v>chr13:72628796-72634196</v>
      </c>
      <c r="F2507" t="s">
        <v>30</v>
      </c>
      <c r="G2507">
        <v>0.444112275447125</v>
      </c>
      <c r="H2507">
        <v>0.148248228196247</v>
      </c>
      <c r="I2507">
        <v>2.9957341200680099</v>
      </c>
      <c r="J2507">
        <v>2.7378503980764598E-3</v>
      </c>
      <c r="K2507">
        <v>1.46136472602083E-2</v>
      </c>
      <c r="L2507" t="s">
        <v>26</v>
      </c>
      <c r="M2507" t="s">
        <v>27</v>
      </c>
      <c r="N2507">
        <v>155.75531700300999</v>
      </c>
      <c r="O2507">
        <v>129.08879576950201</v>
      </c>
      <c r="P2507">
        <v>175.755207928141</v>
      </c>
      <c r="Q2507">
        <v>126.3919079433</v>
      </c>
      <c r="R2507">
        <v>119.08604366901</v>
      </c>
      <c r="S2507">
        <v>141.78843569619599</v>
      </c>
      <c r="T2507">
        <v>169.56932447650701</v>
      </c>
      <c r="U2507">
        <v>164.87676943318601</v>
      </c>
      <c r="V2507">
        <v>176.55686973221501</v>
      </c>
      <c r="W2507">
        <v>192.017868070655</v>
      </c>
    </row>
    <row r="2508" spans="1:23" x14ac:dyDescent="0.2">
      <c r="A2508" t="s">
        <v>5021</v>
      </c>
      <c r="B2508" s="3" t="str">
        <f>HYPERLINK("http://www.ncbi.nlm.nih.gov/gene/22379","Fmnl3")</f>
        <v>Fmnl3</v>
      </c>
      <c r="C2508">
        <v>22379</v>
      </c>
      <c r="D2508" t="s">
        <v>5022</v>
      </c>
      <c r="E2508" s="3" t="str">
        <f>HYPERLINK("http://genome.ucsc.edu/cgi-bin/hgTracks?db=mm10&amp;lastVirtModeType=default&amp;lastVirtModeExtraState=&amp;virtModeType=default&amp;virtMode=0&amp;nonVirtPosition=&amp;position=chr15:99317211-99370482","chr15:99317211-99370482")</f>
        <v>chr15:99317211-99370482</v>
      </c>
      <c r="F2508" t="s">
        <v>25</v>
      </c>
      <c r="G2508">
        <v>0.64010868889436201</v>
      </c>
      <c r="H2508">
        <v>0.21367522899100999</v>
      </c>
      <c r="I2508">
        <v>2.9957084492994501</v>
      </c>
      <c r="J2508">
        <v>2.7380808734122001E-3</v>
      </c>
      <c r="K2508">
        <v>1.46136472602083E-2</v>
      </c>
      <c r="L2508" t="s">
        <v>26</v>
      </c>
      <c r="M2508" t="s">
        <v>27</v>
      </c>
      <c r="N2508">
        <v>159.12807249430301</v>
      </c>
      <c r="O2508">
        <v>117.46773698598101</v>
      </c>
      <c r="P2508">
        <v>190.373324125544</v>
      </c>
      <c r="Q2508">
        <v>162.02663088766599</v>
      </c>
      <c r="R2508">
        <v>91.021179874402705</v>
      </c>
      <c r="S2508">
        <v>99.355400195874793</v>
      </c>
      <c r="T2508">
        <v>215.39887163231899</v>
      </c>
      <c r="U2508">
        <v>149.88797221198701</v>
      </c>
      <c r="V2508">
        <v>183.91340597105801</v>
      </c>
      <c r="W2508">
        <v>212.29304668681101</v>
      </c>
    </row>
    <row r="2509" spans="1:23" x14ac:dyDescent="0.2">
      <c r="A2509" t="s">
        <v>5023</v>
      </c>
      <c r="B2509" s="3" t="str">
        <f>HYPERLINK("http://www.ncbi.nlm.nih.gov/gene/20280","Scp2")</f>
        <v>Scp2</v>
      </c>
      <c r="C2509">
        <v>20280</v>
      </c>
      <c r="D2509" t="s">
        <v>5024</v>
      </c>
      <c r="E2509" s="3" t="str">
        <f>HYPERLINK("http://genome.ucsc.edu/cgi-bin/hgTracks?db=mm10&amp;lastVirtModeType=default&amp;lastVirtModeExtraState=&amp;virtModeType=default&amp;virtMode=0&amp;nonVirtPosition=&amp;position=chr4:108043829-108118547","chr4:108043829-108118547")</f>
        <v>chr4:108043829-108118547</v>
      </c>
      <c r="F2509" t="s">
        <v>25</v>
      </c>
      <c r="G2509">
        <v>-0.53756081682405699</v>
      </c>
      <c r="H2509">
        <v>0.179470167290779</v>
      </c>
      <c r="I2509">
        <v>-2.99526559170749</v>
      </c>
      <c r="J2509">
        <v>2.7420596951234499E-3</v>
      </c>
      <c r="K2509">
        <v>1.46290523415929E-2</v>
      </c>
      <c r="L2509" t="s">
        <v>26</v>
      </c>
      <c r="M2509" t="s">
        <v>27</v>
      </c>
      <c r="N2509">
        <v>136.68154265990401</v>
      </c>
      <c r="O2509">
        <v>167.309950111993</v>
      </c>
      <c r="P2509">
        <v>113.710237070837</v>
      </c>
      <c r="Q2509">
        <v>203.22927929209001</v>
      </c>
      <c r="R2509">
        <v>150.18494679276401</v>
      </c>
      <c r="S2509">
        <v>148.51562425112499</v>
      </c>
      <c r="T2509">
        <v>123.739777320694</v>
      </c>
      <c r="U2509">
        <v>102.780323802506</v>
      </c>
      <c r="V2509">
        <v>106.669775463213</v>
      </c>
      <c r="W2509">
        <v>121.651071696936</v>
      </c>
    </row>
    <row r="2510" spans="1:23" x14ac:dyDescent="0.2">
      <c r="A2510" t="s">
        <v>5025</v>
      </c>
      <c r="B2510" s="3" t="str">
        <f>HYPERLINK("http://www.ncbi.nlm.nih.gov/gene/66383","Iscu")</f>
        <v>Iscu</v>
      </c>
      <c r="C2510">
        <v>66383</v>
      </c>
      <c r="D2510" t="s">
        <v>5026</v>
      </c>
      <c r="E2510" s="3" t="str">
        <f>HYPERLINK("http://genome.ucsc.edu/cgi-bin/hgTracks?db=mm10&amp;lastVirtModeType=default&amp;lastVirtModeExtraState=&amp;virtModeType=default&amp;virtMode=0&amp;nonVirtPosition=&amp;position=chr5:113772811-113778282","chr5:113772811-113778282")</f>
        <v>chr5:113772811-113778282</v>
      </c>
      <c r="F2510" t="s">
        <v>30</v>
      </c>
      <c r="G2510">
        <v>-0.787220732881449</v>
      </c>
      <c r="H2510">
        <v>0.26295575215724298</v>
      </c>
      <c r="I2510">
        <v>-2.99373840056065</v>
      </c>
      <c r="J2510">
        <v>2.7558211807616798E-3</v>
      </c>
      <c r="K2510">
        <v>1.4693765239021E-2</v>
      </c>
      <c r="L2510" t="s">
        <v>26</v>
      </c>
      <c r="M2510" t="s">
        <v>27</v>
      </c>
      <c r="N2510">
        <v>33.251682426011399</v>
      </c>
      <c r="O2510">
        <v>44.132389101424899</v>
      </c>
      <c r="P2510">
        <v>25.091152419451301</v>
      </c>
      <c r="Q2510">
        <v>42.316233496435103</v>
      </c>
      <c r="R2510">
        <v>48.1653743502048</v>
      </c>
      <c r="S2510">
        <v>41.9155594576347</v>
      </c>
      <c r="T2510">
        <v>32.0806830090688</v>
      </c>
      <c r="U2510">
        <v>23.553824204740899</v>
      </c>
      <c r="V2510">
        <v>22.069608716526901</v>
      </c>
      <c r="W2510">
        <v>22.6604937474686</v>
      </c>
    </row>
    <row r="2511" spans="1:23" x14ac:dyDescent="0.2">
      <c r="A2511" t="s">
        <v>5027</v>
      </c>
      <c r="B2511" s="3" t="str">
        <f>HYPERLINK("http://www.ncbi.nlm.nih.gov/gene/108755","Lyrm2")</f>
        <v>Lyrm2</v>
      </c>
      <c r="C2511">
        <v>108755</v>
      </c>
      <c r="D2511" t="s">
        <v>5028</v>
      </c>
      <c r="E2511" s="3" t="str">
        <f>HYPERLINK("http://genome.ucsc.edu/cgi-bin/hgTracks?db=mm10&amp;lastVirtModeType=default&amp;lastVirtModeExtraState=&amp;virtModeType=default&amp;virtMode=0&amp;nonVirtPosition=&amp;position=chr4:32800258-32802254","chr4:32800258-32802254")</f>
        <v>chr4:32800258-32802254</v>
      </c>
      <c r="F2511" t="s">
        <v>30</v>
      </c>
      <c r="G2511">
        <v>-0.80034886039851805</v>
      </c>
      <c r="H2511">
        <v>0.26734651202244603</v>
      </c>
      <c r="I2511">
        <v>-2.9936760885487899</v>
      </c>
      <c r="J2511">
        <v>2.7563840101874999E-3</v>
      </c>
      <c r="K2511">
        <v>1.4693765239021E-2</v>
      </c>
      <c r="L2511" t="s">
        <v>26</v>
      </c>
      <c r="M2511" t="s">
        <v>27</v>
      </c>
      <c r="N2511">
        <v>35.856509370154697</v>
      </c>
      <c r="O2511">
        <v>48.535610144989398</v>
      </c>
      <c r="P2511">
        <v>26.347183789028701</v>
      </c>
      <c r="Q2511">
        <v>54.008876962555298</v>
      </c>
      <c r="R2511">
        <v>49.682394014778097</v>
      </c>
      <c r="S2511">
        <v>41.9155594576347</v>
      </c>
      <c r="T2511">
        <v>36.663637724650101</v>
      </c>
      <c r="U2511">
        <v>14.9887972211987</v>
      </c>
      <c r="V2511">
        <v>28.690491331484999</v>
      </c>
      <c r="W2511">
        <v>25.045808878780999</v>
      </c>
    </row>
    <row r="2512" spans="1:23" x14ac:dyDescent="0.2">
      <c r="A2512" t="s">
        <v>5029</v>
      </c>
      <c r="B2512" s="3" t="str">
        <f>HYPERLINK("http://www.ncbi.nlm.nih.gov/gene/67557","Larp6")</f>
        <v>Larp6</v>
      </c>
      <c r="C2512">
        <v>67557</v>
      </c>
      <c r="D2512" t="s">
        <v>5030</v>
      </c>
      <c r="E2512" s="3" t="str">
        <f>HYPERLINK("http://genome.ucsc.edu/cgi-bin/hgTracks?db=mm10&amp;lastVirtModeType=default&amp;lastVirtModeExtraState=&amp;virtModeType=default&amp;virtMode=0&amp;nonVirtPosition=&amp;position=chr9:60713120-60738801","chr9:60713120-60738801")</f>
        <v>chr9:60713120-60738801</v>
      </c>
      <c r="F2512" t="s">
        <v>30</v>
      </c>
      <c r="G2512">
        <v>-0.80931668696047399</v>
      </c>
      <c r="H2512">
        <v>0.27035523707708398</v>
      </c>
      <c r="I2512">
        <v>-2.9935306440160399</v>
      </c>
      <c r="J2512">
        <v>2.75769813761583E-3</v>
      </c>
      <c r="K2512">
        <v>1.46949207165991E-2</v>
      </c>
      <c r="L2512" t="s">
        <v>26</v>
      </c>
      <c r="M2512" t="s">
        <v>27</v>
      </c>
      <c r="N2512">
        <v>45.232887533209102</v>
      </c>
      <c r="O2512">
        <v>61.565882608132902</v>
      </c>
      <c r="P2512">
        <v>32.983141227016297</v>
      </c>
      <c r="Q2512">
        <v>59.576802422612602</v>
      </c>
      <c r="R2512">
        <v>65.611100492798599</v>
      </c>
      <c r="S2512">
        <v>59.5097449089875</v>
      </c>
      <c r="T2512">
        <v>32.0806830090688</v>
      </c>
      <c r="U2512">
        <v>47.107648409481797</v>
      </c>
      <c r="V2512">
        <v>36.047027570327302</v>
      </c>
      <c r="W2512">
        <v>16.6972059191874</v>
      </c>
    </row>
    <row r="2513" spans="1:23" x14ac:dyDescent="0.2">
      <c r="A2513" t="s">
        <v>5031</v>
      </c>
      <c r="B2513" s="3" t="str">
        <f>HYPERLINK("http://www.ncbi.nlm.nih.gov/gene/102614","Rpp25")</f>
        <v>Rpp25</v>
      </c>
      <c r="C2513">
        <v>102614</v>
      </c>
      <c r="D2513" t="s">
        <v>5032</v>
      </c>
      <c r="E2513" s="3" t="str">
        <f>HYPERLINK("http://genome.ucsc.edu/cgi-bin/hgTracks?db=mm10&amp;lastVirtModeType=default&amp;lastVirtModeExtraState=&amp;virtModeType=default&amp;virtMode=0&amp;nonVirtPosition=&amp;position=chr9:57504101-57505447","chr9:57504101-57505447")</f>
        <v>chr9:57504101-57505447</v>
      </c>
      <c r="F2513" t="s">
        <v>30</v>
      </c>
      <c r="G2513">
        <v>0.99940848145813799</v>
      </c>
      <c r="H2513">
        <v>0.33387357514559401</v>
      </c>
      <c r="I2513">
        <v>2.9933740069794998</v>
      </c>
      <c r="J2513">
        <v>2.75911403213823E-3</v>
      </c>
      <c r="K2513">
        <v>1.4696617344615401E-2</v>
      </c>
      <c r="L2513" t="s">
        <v>26</v>
      </c>
      <c r="M2513" t="s">
        <v>27</v>
      </c>
      <c r="N2513">
        <v>24.530285236991599</v>
      </c>
      <c r="O2513">
        <v>13.1474933072501</v>
      </c>
      <c r="P2513">
        <v>33.0673791842977</v>
      </c>
      <c r="Q2513">
        <v>6.6815105520687004</v>
      </c>
      <c r="R2513">
        <v>20.859020387884001</v>
      </c>
      <c r="S2513">
        <v>11.901948981797499</v>
      </c>
      <c r="T2513">
        <v>36.663637724650101</v>
      </c>
      <c r="U2513">
        <v>27.836337696512</v>
      </c>
      <c r="V2513">
        <v>27.219184083716499</v>
      </c>
      <c r="W2513">
        <v>40.550357232312201</v>
      </c>
    </row>
    <row r="2514" spans="1:23" x14ac:dyDescent="0.2">
      <c r="A2514" t="s">
        <v>5033</v>
      </c>
      <c r="B2514" s="3" t="str">
        <f>HYPERLINK("http://www.ncbi.nlm.nih.gov/gene/319748","Zfp865")</f>
        <v>Zfp865</v>
      </c>
      <c r="C2514">
        <v>319748</v>
      </c>
      <c r="D2514" t="s">
        <v>5034</v>
      </c>
      <c r="E2514" s="3" t="str">
        <f>HYPERLINK("http://genome.ucsc.edu/cgi-bin/hgTracks?db=mm10&amp;lastVirtModeType=default&amp;lastVirtModeExtraState=&amp;virtModeType=default&amp;virtMode=0&amp;nonVirtPosition=&amp;position=chr7:5020375-5033223","chr7:5020375-5033223")</f>
        <v>chr7:5020375-5033223</v>
      </c>
      <c r="F2514" t="s">
        <v>30</v>
      </c>
      <c r="G2514">
        <v>0.65883977130423599</v>
      </c>
      <c r="H2514">
        <v>0.22011622981975601</v>
      </c>
      <c r="I2514">
        <v>2.99314490278037</v>
      </c>
      <c r="J2514">
        <v>2.7611861775487501E-3</v>
      </c>
      <c r="K2514">
        <v>1.47014789255322E-2</v>
      </c>
      <c r="L2514" t="s">
        <v>26</v>
      </c>
      <c r="M2514" t="s">
        <v>27</v>
      </c>
      <c r="N2514">
        <v>140.667694684851</v>
      </c>
      <c r="O2514">
        <v>103.26481578285301</v>
      </c>
      <c r="P2514">
        <v>168.71985386134901</v>
      </c>
      <c r="Q2514">
        <v>92.984355182956094</v>
      </c>
      <c r="R2514">
        <v>78.126512725528997</v>
      </c>
      <c r="S2514">
        <v>138.68357944007499</v>
      </c>
      <c r="T2514">
        <v>137.48864146743799</v>
      </c>
      <c r="U2514">
        <v>214.12567458855401</v>
      </c>
      <c r="V2514">
        <v>141.98114940965601</v>
      </c>
      <c r="W2514">
        <v>181.283949979748</v>
      </c>
    </row>
    <row r="2515" spans="1:23" x14ac:dyDescent="0.2">
      <c r="A2515" t="s">
        <v>5035</v>
      </c>
      <c r="B2515" s="3" t="str">
        <f>HYPERLINK("http://www.ncbi.nlm.nih.gov/gene/16149","Cd74")</f>
        <v>Cd74</v>
      </c>
      <c r="C2515">
        <v>16149</v>
      </c>
      <c r="D2515" t="s">
        <v>5036</v>
      </c>
      <c r="E2515" s="3" t="str">
        <f>HYPERLINK("http://genome.ucsc.edu/cgi-bin/hgTracks?db=mm10&amp;lastVirtModeType=default&amp;lastVirtModeExtraState=&amp;virtModeType=default&amp;virtMode=0&amp;nonVirtPosition=&amp;position=chr18:60803848-60812652","chr18:60803848-60812652")</f>
        <v>chr18:60803848-60812652</v>
      </c>
      <c r="F2515" t="s">
        <v>30</v>
      </c>
      <c r="G2515">
        <v>1.1925443870535799</v>
      </c>
      <c r="H2515">
        <v>0.39844045437122899</v>
      </c>
      <c r="I2515">
        <v>2.99303038627317</v>
      </c>
      <c r="J2515">
        <v>2.76222246110365E-3</v>
      </c>
      <c r="K2515">
        <v>1.47014789255322E-2</v>
      </c>
      <c r="L2515" t="s">
        <v>26</v>
      </c>
      <c r="M2515" t="s">
        <v>27</v>
      </c>
      <c r="N2515">
        <v>885.873843027926</v>
      </c>
      <c r="O2515">
        <v>186.14693259081</v>
      </c>
      <c r="P2515">
        <v>1410.6690258557601</v>
      </c>
      <c r="Q2515">
        <v>392.538744934036</v>
      </c>
      <c r="R2515">
        <v>58.784512002218399</v>
      </c>
      <c r="S2515">
        <v>107.117540836177</v>
      </c>
      <c r="T2515">
        <v>2942.2569274031698</v>
      </c>
      <c r="U2515">
        <v>477.50025433247401</v>
      </c>
      <c r="V2515">
        <v>902.64699650595003</v>
      </c>
      <c r="W2515">
        <v>1320.2719251814599</v>
      </c>
    </row>
    <row r="2516" spans="1:23" x14ac:dyDescent="0.2">
      <c r="A2516" t="s">
        <v>5037</v>
      </c>
      <c r="B2516" s="3" t="str">
        <f>HYPERLINK("http://www.ncbi.nlm.nih.gov/gene/74919","Slc35f6")</f>
        <v>Slc35f6</v>
      </c>
      <c r="C2516">
        <v>74919</v>
      </c>
      <c r="D2516" t="s">
        <v>5038</v>
      </c>
      <c r="E2516" s="3" t="str">
        <f>HYPERLINK("http://genome.ucsc.edu/cgi-bin/hgTracks?db=mm10&amp;lastVirtModeType=default&amp;lastVirtModeExtraState=&amp;virtModeType=default&amp;virtMode=0&amp;nonVirtPosition=&amp;position=chr5:30647938-30659729","chr5:30647938-30659729")</f>
        <v>chr5:30647938-30659729</v>
      </c>
      <c r="F2516" t="s">
        <v>30</v>
      </c>
      <c r="G2516">
        <v>-0.41076873205617098</v>
      </c>
      <c r="H2516">
        <v>0.137271243898198</v>
      </c>
      <c r="I2516">
        <v>-2.9923873375898098</v>
      </c>
      <c r="J2516">
        <v>2.7680481429777299E-3</v>
      </c>
      <c r="K2516">
        <v>1.47262120349506E-2</v>
      </c>
      <c r="L2516" t="s">
        <v>26</v>
      </c>
      <c r="M2516" t="s">
        <v>27</v>
      </c>
      <c r="N2516">
        <v>187.465204537717</v>
      </c>
      <c r="O2516">
        <v>220.52939905562499</v>
      </c>
      <c r="P2516">
        <v>162.667058649285</v>
      </c>
      <c r="Q2516">
        <v>235.523246960422</v>
      </c>
      <c r="R2516">
        <v>213.89977270484599</v>
      </c>
      <c r="S2516">
        <v>212.16517750160801</v>
      </c>
      <c r="T2516">
        <v>160.40341504534399</v>
      </c>
      <c r="U2516">
        <v>154.170485703759</v>
      </c>
      <c r="V2516">
        <v>175.085562484447</v>
      </c>
      <c r="W2516">
        <v>161.00877136359199</v>
      </c>
    </row>
    <row r="2517" spans="1:23" x14ac:dyDescent="0.2">
      <c r="A2517" t="s">
        <v>5039</v>
      </c>
      <c r="B2517" s="3" t="str">
        <f>HYPERLINK("http://www.ncbi.nlm.nih.gov/gene/74648","S100pbp")</f>
        <v>S100pbp</v>
      </c>
      <c r="C2517">
        <v>74648</v>
      </c>
      <c r="D2517" t="s">
        <v>5040</v>
      </c>
      <c r="E2517" s="3" t="str">
        <f>HYPERLINK("http://genome.ucsc.edu/cgi-bin/hgTracks?db=mm10&amp;lastVirtModeType=default&amp;lastVirtModeExtraState=&amp;virtModeType=default&amp;virtMode=0&amp;nonVirtPosition=&amp;position=chr4:129150824-129189482","chr4:129150824-129189482")</f>
        <v>chr4:129150824-129189482</v>
      </c>
      <c r="F2517" t="s">
        <v>25</v>
      </c>
      <c r="G2517">
        <v>0.35097135662112799</v>
      </c>
      <c r="H2517">
        <v>0.117292488582857</v>
      </c>
      <c r="I2517">
        <v>2.9922747898148301</v>
      </c>
      <c r="J2517">
        <v>2.76906891972263E-3</v>
      </c>
      <c r="K2517">
        <v>1.47262120349506E-2</v>
      </c>
      <c r="L2517" t="s">
        <v>26</v>
      </c>
      <c r="M2517" t="s">
        <v>27</v>
      </c>
      <c r="N2517">
        <v>277.16970785420301</v>
      </c>
      <c r="O2517">
        <v>239.47992543087099</v>
      </c>
      <c r="P2517">
        <v>305.43704467170198</v>
      </c>
      <c r="Q2517">
        <v>228.841736408353</v>
      </c>
      <c r="R2517">
        <v>235.51730292501699</v>
      </c>
      <c r="S2517">
        <v>254.08073695924199</v>
      </c>
      <c r="T2517">
        <v>297.89205651278201</v>
      </c>
      <c r="U2517">
        <v>297.63468767808899</v>
      </c>
      <c r="V2517">
        <v>308.97452203137698</v>
      </c>
      <c r="W2517">
        <v>317.24691246456001</v>
      </c>
    </row>
    <row r="2518" spans="1:23" x14ac:dyDescent="0.2">
      <c r="A2518" t="s">
        <v>5041</v>
      </c>
      <c r="B2518" s="3" t="str">
        <f>HYPERLINK("http://www.ncbi.nlm.nih.gov/gene/18807","Pld3")</f>
        <v>Pld3</v>
      </c>
      <c r="C2518">
        <v>18807</v>
      </c>
      <c r="D2518" t="s">
        <v>5042</v>
      </c>
      <c r="E2518" s="3" t="str">
        <f>HYPERLINK("http://genome.ucsc.edu/cgi-bin/hgTracks?db=mm10&amp;lastVirtModeType=default&amp;lastVirtModeExtraState=&amp;virtModeType=default&amp;virtMode=0&amp;nonVirtPosition=&amp;position=chr7:27531999-27553218","chr7:27531999-27553218")</f>
        <v>chr7:27531999-27553218</v>
      </c>
      <c r="F2518" t="s">
        <v>25</v>
      </c>
      <c r="G2518">
        <v>-0.416234190746546</v>
      </c>
      <c r="H2518">
        <v>0.139145572270718</v>
      </c>
      <c r="I2518">
        <v>-2.9913577841825401</v>
      </c>
      <c r="J2518">
        <v>2.7773987259399301E-3</v>
      </c>
      <c r="K2518">
        <v>1.47646472167771E-2</v>
      </c>
      <c r="L2518" t="s">
        <v>26</v>
      </c>
      <c r="M2518" t="s">
        <v>27</v>
      </c>
      <c r="N2518">
        <v>487.66623970650397</v>
      </c>
      <c r="O2518">
        <v>577.24862466759305</v>
      </c>
      <c r="P2518">
        <v>420.47945098568698</v>
      </c>
      <c r="Q2518">
        <v>649.22010864267497</v>
      </c>
      <c r="R2518">
        <v>516.92445070337897</v>
      </c>
      <c r="S2518">
        <v>565.60131465672498</v>
      </c>
      <c r="T2518">
        <v>325.38978480626997</v>
      </c>
      <c r="U2518">
        <v>451.80517338184802</v>
      </c>
      <c r="V2518">
        <v>453.89828593657001</v>
      </c>
      <c r="W2518">
        <v>450.82455981805902</v>
      </c>
    </row>
    <row r="2519" spans="1:23" x14ac:dyDescent="0.2">
      <c r="A2519" t="s">
        <v>5043</v>
      </c>
      <c r="B2519" s="3" t="str">
        <f>HYPERLINK("http://www.ncbi.nlm.nih.gov/gene/13419","Dnase1")</f>
        <v>Dnase1</v>
      </c>
      <c r="C2519">
        <v>13419</v>
      </c>
      <c r="D2519" t="s">
        <v>5044</v>
      </c>
      <c r="E2519" s="3" t="str">
        <f>HYPERLINK("http://genome.ucsc.edu/cgi-bin/hgTracks?db=mm10&amp;lastVirtModeType=default&amp;lastVirtModeExtraState=&amp;virtModeType=default&amp;virtMode=0&amp;nonVirtPosition=&amp;position=chr16:4037144-4040024","chr16:4037144-4040024")</f>
        <v>chr16:4037144-4040024</v>
      </c>
      <c r="F2519" t="s">
        <v>30</v>
      </c>
      <c r="G2519">
        <v>0.84511254959715998</v>
      </c>
      <c r="H2519">
        <v>0.282775673582915</v>
      </c>
      <c r="I2519">
        <v>2.9886324339330299</v>
      </c>
      <c r="J2519">
        <v>2.80229026525847E-3</v>
      </c>
      <c r="K2519">
        <v>1.4891059103998501E-2</v>
      </c>
      <c r="L2519" t="s">
        <v>26</v>
      </c>
      <c r="M2519" t="s">
        <v>27</v>
      </c>
      <c r="N2519">
        <v>29.363437593071499</v>
      </c>
      <c r="O2519">
        <v>18.659497633002001</v>
      </c>
      <c r="P2519">
        <v>37.391392563123702</v>
      </c>
      <c r="Q2519">
        <v>15.5901912881603</v>
      </c>
      <c r="R2519">
        <v>15.549451561877101</v>
      </c>
      <c r="S2519">
        <v>24.838850048968698</v>
      </c>
      <c r="T2519">
        <v>36.663637724650101</v>
      </c>
      <c r="U2519">
        <v>42.825134917710699</v>
      </c>
      <c r="V2519">
        <v>33.104413074790401</v>
      </c>
      <c r="W2519">
        <v>36.972384535343402</v>
      </c>
    </row>
    <row r="2520" spans="1:23" x14ac:dyDescent="0.2">
      <c r="A2520" t="s">
        <v>5045</v>
      </c>
      <c r="B2520" s="3" t="str">
        <f>HYPERLINK("http://www.ncbi.nlm.nih.gov/gene/228355","Madd")</f>
        <v>Madd</v>
      </c>
      <c r="C2520">
        <v>228355</v>
      </c>
      <c r="D2520" t="s">
        <v>5046</v>
      </c>
      <c r="E2520" s="3" t="str">
        <f>HYPERLINK("http://genome.ucsc.edu/cgi-bin/hgTracks?db=mm10&amp;lastVirtModeType=default&amp;lastVirtModeExtraState=&amp;virtModeType=default&amp;virtMode=0&amp;nonVirtPosition=&amp;position=chr2:91137359-91183047","chr2:91137359-91183047")</f>
        <v>chr2:91137359-91183047</v>
      </c>
      <c r="F2520" t="s">
        <v>25</v>
      </c>
      <c r="G2520">
        <v>0.41162256025521998</v>
      </c>
      <c r="H2520">
        <v>0.13775041917053299</v>
      </c>
      <c r="I2520">
        <v>2.98817646242976</v>
      </c>
      <c r="J2520">
        <v>2.8064746448944701E-3</v>
      </c>
      <c r="K2520">
        <v>1.4904240264298201E-2</v>
      </c>
      <c r="L2520" t="s">
        <v>26</v>
      </c>
      <c r="M2520" t="s">
        <v>27</v>
      </c>
      <c r="N2520">
        <v>406.375015060365</v>
      </c>
      <c r="O2520">
        <v>336.49915353114801</v>
      </c>
      <c r="P2520">
        <v>458.78191120727797</v>
      </c>
      <c r="Q2520">
        <v>317.371751223263</v>
      </c>
      <c r="R2520">
        <v>371.29056290433402</v>
      </c>
      <c r="S2520">
        <v>320.83514646584598</v>
      </c>
      <c r="T2520">
        <v>508.70797342952</v>
      </c>
      <c r="U2520">
        <v>488.20653806190199</v>
      </c>
      <c r="V2520">
        <v>376.65465542872602</v>
      </c>
      <c r="W2520">
        <v>461.55847790896502</v>
      </c>
    </row>
    <row r="2521" spans="1:23" x14ac:dyDescent="0.2">
      <c r="A2521" t="s">
        <v>5047</v>
      </c>
      <c r="B2521" s="3" t="str">
        <f>HYPERLINK("http://www.ncbi.nlm.nih.gov/gene/20288","Msr1")</f>
        <v>Msr1</v>
      </c>
      <c r="C2521">
        <v>20288</v>
      </c>
      <c r="D2521" t="s">
        <v>5048</v>
      </c>
      <c r="E2521" s="3" t="str">
        <f>HYPERLINK("http://genome.ucsc.edu/cgi-bin/hgTracks?db=mm10&amp;lastVirtModeType=default&amp;lastVirtModeExtraState=&amp;virtModeType=default&amp;virtMode=0&amp;nonVirtPosition=&amp;position=chr8:39581699-39642678","chr8:39581699-39642678")</f>
        <v>chr8:39581699-39642678</v>
      </c>
      <c r="F2521" t="s">
        <v>25</v>
      </c>
      <c r="G2521">
        <v>0.85257829257804596</v>
      </c>
      <c r="H2521">
        <v>0.28532267924156102</v>
      </c>
      <c r="I2521">
        <v>2.98811960845297</v>
      </c>
      <c r="J2521">
        <v>2.8069967848973298E-3</v>
      </c>
      <c r="K2521">
        <v>1.4904240264298201E-2</v>
      </c>
      <c r="L2521" t="s">
        <v>26</v>
      </c>
      <c r="M2521" t="s">
        <v>27</v>
      </c>
      <c r="N2521">
        <v>64.150934484888296</v>
      </c>
      <c r="O2521">
        <v>40.713564380460703</v>
      </c>
      <c r="P2521">
        <v>81.728962063209096</v>
      </c>
      <c r="Q2521">
        <v>32.293967668332101</v>
      </c>
      <c r="R2521">
        <v>36.029217033617698</v>
      </c>
      <c r="S2521">
        <v>53.817508439432203</v>
      </c>
      <c r="T2521">
        <v>105.407958458369</v>
      </c>
      <c r="U2521">
        <v>36.401364680054101</v>
      </c>
      <c r="V2521">
        <v>105.198468215445</v>
      </c>
      <c r="W2521">
        <v>79.908056898968098</v>
      </c>
    </row>
    <row r="2522" spans="1:23" x14ac:dyDescent="0.2">
      <c r="A2522" t="s">
        <v>5049</v>
      </c>
      <c r="B2522" s="3" t="str">
        <f>HYPERLINK("http://www.ncbi.nlm.nih.gov/gene/16570","Kif3c")</f>
        <v>Kif3c</v>
      </c>
      <c r="C2522">
        <v>16570</v>
      </c>
      <c r="D2522" t="s">
        <v>5050</v>
      </c>
      <c r="E2522" s="3" t="str">
        <f>HYPERLINK("http://genome.ucsc.edu/cgi-bin/hgTracks?db=mm10&amp;lastVirtModeType=default&amp;lastVirtModeExtraState=&amp;virtModeType=default&amp;virtMode=0&amp;nonVirtPosition=&amp;position=chr12:3365131-3406494","chr12:3365131-3406494")</f>
        <v>chr12:3365131-3406494</v>
      </c>
      <c r="F2522" t="s">
        <v>30</v>
      </c>
      <c r="G2522">
        <v>-0.42231812325026802</v>
      </c>
      <c r="H2522">
        <v>0.14136055299597</v>
      </c>
      <c r="I2522">
        <v>-2.9875245554699301</v>
      </c>
      <c r="J2522">
        <v>2.8124670047949699E-3</v>
      </c>
      <c r="K2522">
        <v>1.49231496928568E-2</v>
      </c>
      <c r="L2522" t="s">
        <v>26</v>
      </c>
      <c r="M2522" t="s">
        <v>27</v>
      </c>
      <c r="N2522">
        <v>929.50108388284605</v>
      </c>
      <c r="O2522">
        <v>1092.0273859700401</v>
      </c>
      <c r="P2522">
        <v>807.60635731745401</v>
      </c>
      <c r="Q2522">
        <v>1145.3222671337801</v>
      </c>
      <c r="R2522">
        <v>1034.2281563229001</v>
      </c>
      <c r="S2522">
        <v>1096.5317344534301</v>
      </c>
      <c r="T2522">
        <v>742.43866392416498</v>
      </c>
      <c r="U2522">
        <v>978.55433286969003</v>
      </c>
      <c r="V2522">
        <v>665.03087599134403</v>
      </c>
      <c r="W2522">
        <v>844.40155648461803</v>
      </c>
    </row>
    <row r="2523" spans="1:23" x14ac:dyDescent="0.2">
      <c r="A2523" t="s">
        <v>5051</v>
      </c>
      <c r="B2523" s="3" t="str">
        <f>HYPERLINK("http://www.ncbi.nlm.nih.gov/gene/20409","Ostf1")</f>
        <v>Ostf1</v>
      </c>
      <c r="C2523">
        <v>20409</v>
      </c>
      <c r="D2523" t="s">
        <v>5052</v>
      </c>
      <c r="E2523" s="3" t="str">
        <f>HYPERLINK("http://genome.ucsc.edu/cgi-bin/hgTracks?db=mm10&amp;lastVirtModeType=default&amp;lastVirtModeExtraState=&amp;virtModeType=default&amp;virtMode=0&amp;nonVirtPosition=&amp;position=chr19:18580363-18631813","chr19:18580363-18631813")</f>
        <v>chr19:18580363-18631813</v>
      </c>
      <c r="F2523" t="s">
        <v>25</v>
      </c>
      <c r="G2523">
        <v>-0.35629503945834101</v>
      </c>
      <c r="H2523">
        <v>0.119262345632729</v>
      </c>
      <c r="I2523">
        <v>-2.9874897862193501</v>
      </c>
      <c r="J2523">
        <v>2.8127869333709702E-3</v>
      </c>
      <c r="K2523">
        <v>1.49231496928568E-2</v>
      </c>
      <c r="L2523" t="s">
        <v>26</v>
      </c>
      <c r="M2523" t="s">
        <v>27</v>
      </c>
      <c r="N2523">
        <v>563.40441621853097</v>
      </c>
      <c r="O2523">
        <v>640.40309618947299</v>
      </c>
      <c r="P2523">
        <v>505.65540624032502</v>
      </c>
      <c r="Q2523">
        <v>682.07086885701301</v>
      </c>
      <c r="R2523">
        <v>591.258414267474</v>
      </c>
      <c r="S2523">
        <v>647.88000544393299</v>
      </c>
      <c r="T2523">
        <v>586.61820359440196</v>
      </c>
      <c r="U2523">
        <v>496.77156504544399</v>
      </c>
      <c r="V2523">
        <v>459.78351492764398</v>
      </c>
      <c r="W2523">
        <v>479.44834139380799</v>
      </c>
    </row>
    <row r="2524" spans="1:23" x14ac:dyDescent="0.2">
      <c r="A2524" t="s">
        <v>5053</v>
      </c>
      <c r="B2524" s="3" t="str">
        <f>HYPERLINK("http://www.ncbi.nlm.nih.gov/gene/93686","Rbfox2")</f>
        <v>Rbfox2</v>
      </c>
      <c r="C2524">
        <v>93686</v>
      </c>
      <c r="D2524" t="s">
        <v>5054</v>
      </c>
      <c r="E2524" s="3" t="str">
        <f>HYPERLINK("http://genome.ucsc.edu/cgi-bin/hgTracks?db=mm10&amp;lastVirtModeType=default&amp;lastVirtModeExtraState=&amp;virtModeType=default&amp;virtMode=0&amp;nonVirtPosition=&amp;position=chr15:77078989-77307053","chr15:77078989-77307053")</f>
        <v>chr15:77078989-77307053</v>
      </c>
      <c r="F2524" t="s">
        <v>25</v>
      </c>
      <c r="G2524">
        <v>0.38786284854096198</v>
      </c>
      <c r="H2524">
        <v>0.129842378780684</v>
      </c>
      <c r="I2524">
        <v>2.9871822449902901</v>
      </c>
      <c r="J2524">
        <v>2.81561821533535E-3</v>
      </c>
      <c r="K2524">
        <v>1.4932254860022001E-2</v>
      </c>
      <c r="L2524" t="s">
        <v>26</v>
      </c>
      <c r="M2524" t="s">
        <v>27</v>
      </c>
      <c r="N2524">
        <v>605.38189817643502</v>
      </c>
      <c r="O2524">
        <v>515.66900749894296</v>
      </c>
      <c r="P2524">
        <v>672.66656618455499</v>
      </c>
      <c r="Q2524">
        <v>566.814811833828</v>
      </c>
      <c r="R2524">
        <v>478.24044925675798</v>
      </c>
      <c r="S2524">
        <v>501.95176140624199</v>
      </c>
      <c r="T2524">
        <v>545.37161115416995</v>
      </c>
      <c r="U2524">
        <v>755.863631297594</v>
      </c>
      <c r="V2524">
        <v>664.29522236746004</v>
      </c>
      <c r="W2524">
        <v>725.13579991899405</v>
      </c>
    </row>
    <row r="2525" spans="1:23" x14ac:dyDescent="0.2">
      <c r="A2525" t="s">
        <v>5055</v>
      </c>
      <c r="B2525" s="3" t="str">
        <f>HYPERLINK("http://www.ncbi.nlm.nih.gov/gene/17256","Mea1")</f>
        <v>Mea1</v>
      </c>
      <c r="C2525">
        <v>17256</v>
      </c>
      <c r="D2525" t="s">
        <v>5056</v>
      </c>
      <c r="E2525" s="3" t="str">
        <f>HYPERLINK("http://genome.ucsc.edu/cgi-bin/hgTracks?db=mm10&amp;lastVirtModeType=default&amp;lastVirtModeExtraState=&amp;virtModeType=default&amp;virtMode=0&amp;nonVirtPosition=&amp;position=chr17:46680985-46683126","chr17:46680985-46683126")</f>
        <v>chr17:46680985-46683126</v>
      </c>
      <c r="F2525" t="s">
        <v>30</v>
      </c>
      <c r="G2525">
        <v>-0.55549291320352401</v>
      </c>
      <c r="H2525">
        <v>0.18597705727102801</v>
      </c>
      <c r="I2525">
        <v>-2.9868894655860401</v>
      </c>
      <c r="J2525">
        <v>2.8183160150336102E-3</v>
      </c>
      <c r="K2525">
        <v>1.49406451929197E-2</v>
      </c>
      <c r="L2525" t="s">
        <v>26</v>
      </c>
      <c r="M2525" t="s">
        <v>27</v>
      </c>
      <c r="N2525">
        <v>91.041423192577298</v>
      </c>
      <c r="O2525">
        <v>114.135804370006</v>
      </c>
      <c r="P2525">
        <v>73.720637309506003</v>
      </c>
      <c r="Q2525">
        <v>117.483227207208</v>
      </c>
      <c r="R2525">
        <v>124.01635757887399</v>
      </c>
      <c r="S2525">
        <v>100.90782832393499</v>
      </c>
      <c r="T2525">
        <v>64.161366018137699</v>
      </c>
      <c r="U2525">
        <v>68.520215868337104</v>
      </c>
      <c r="V2525">
        <v>78.714937755612596</v>
      </c>
      <c r="W2525">
        <v>83.486029595936799</v>
      </c>
    </row>
    <row r="2526" spans="1:23" x14ac:dyDescent="0.2">
      <c r="A2526" t="s">
        <v>5057</v>
      </c>
      <c r="B2526" s="3" t="str">
        <f>HYPERLINK("http://www.ncbi.nlm.nih.gov/gene/433693","Akirin2")</f>
        <v>Akirin2</v>
      </c>
      <c r="C2526">
        <v>433693</v>
      </c>
      <c r="D2526" t="s">
        <v>5058</v>
      </c>
      <c r="E2526" s="3" t="str">
        <f>HYPERLINK("http://genome.ucsc.edu/cgi-bin/hgTracks?db=mm10&amp;lastVirtModeType=default&amp;lastVirtModeExtraState=&amp;virtModeType=default&amp;virtMode=0&amp;nonVirtPosition=&amp;position=chr4:34550614-34566908","chr4:34550614-34566908")</f>
        <v>chr4:34550614-34566908</v>
      </c>
      <c r="F2526" t="s">
        <v>30</v>
      </c>
      <c r="G2526">
        <v>-0.44213667184290101</v>
      </c>
      <c r="H2526">
        <v>0.148089190195627</v>
      </c>
      <c r="I2526">
        <v>-2.9856107070261899</v>
      </c>
      <c r="J2526">
        <v>2.8301267564744101E-3</v>
      </c>
      <c r="K2526">
        <v>1.4997319903422599E-2</v>
      </c>
      <c r="L2526" t="s">
        <v>26</v>
      </c>
      <c r="M2526" t="s">
        <v>27</v>
      </c>
      <c r="N2526">
        <v>216.97578501197799</v>
      </c>
      <c r="O2526">
        <v>257.14486726072499</v>
      </c>
      <c r="P2526">
        <v>186.84897332541701</v>
      </c>
      <c r="Q2526">
        <v>237.75041714444501</v>
      </c>
      <c r="R2526">
        <v>297.71510917252601</v>
      </c>
      <c r="S2526">
        <v>235.96907546520299</v>
      </c>
      <c r="T2526">
        <v>174.152279192088</v>
      </c>
      <c r="U2526">
        <v>205.56064760501101</v>
      </c>
      <c r="V2526">
        <v>187.59167409047899</v>
      </c>
      <c r="W2526">
        <v>180.09129241409201</v>
      </c>
    </row>
    <row r="2527" spans="1:23" x14ac:dyDescent="0.2">
      <c r="A2527" t="s">
        <v>5059</v>
      </c>
      <c r="B2527" s="3" t="str">
        <f>HYPERLINK("http://www.ncbi.nlm.nih.gov/gene/67694","Ift74")</f>
        <v>Ift74</v>
      </c>
      <c r="C2527">
        <v>67694</v>
      </c>
      <c r="D2527" t="s">
        <v>5060</v>
      </c>
      <c r="E2527" s="3" t="str">
        <f>HYPERLINK("http://genome.ucsc.edu/cgi-bin/hgTracks?db=mm10&amp;lastVirtModeType=default&amp;lastVirtModeExtraState=&amp;virtModeType=default&amp;virtMode=0&amp;nonVirtPosition=&amp;position=chr4:94614490-94693233","chr4:94614490-94693233")</f>
        <v>chr4:94614490-94693233</v>
      </c>
      <c r="F2527" t="s">
        <v>30</v>
      </c>
      <c r="G2527">
        <v>-0.70834142062271299</v>
      </c>
      <c r="H2527">
        <v>0.23730302437241199</v>
      </c>
      <c r="I2527">
        <v>-2.9849658363859501</v>
      </c>
      <c r="J2527">
        <v>2.8360999725636602E-3</v>
      </c>
      <c r="K2527">
        <v>1.5023027979667701E-2</v>
      </c>
      <c r="L2527" t="s">
        <v>26</v>
      </c>
      <c r="M2527" t="s">
        <v>27</v>
      </c>
      <c r="N2527">
        <v>80.270544554565504</v>
      </c>
      <c r="O2527">
        <v>106.167055479545</v>
      </c>
      <c r="P2527">
        <v>60.848161360831</v>
      </c>
      <c r="Q2527">
        <v>124.721530305282</v>
      </c>
      <c r="R2527">
        <v>111.500945346143</v>
      </c>
      <c r="S2527">
        <v>82.278690787208802</v>
      </c>
      <c r="T2527">
        <v>64.161366018137699</v>
      </c>
      <c r="U2527">
        <v>38.5426214259396</v>
      </c>
      <c r="V2527">
        <v>59.587943534622603</v>
      </c>
      <c r="W2527">
        <v>81.100714464624303</v>
      </c>
    </row>
    <row r="2528" spans="1:23" x14ac:dyDescent="0.2">
      <c r="A2528" t="s">
        <v>5061</v>
      </c>
      <c r="B2528" s="3" t="str">
        <f>HYPERLINK("http://www.ncbi.nlm.nih.gov/gene/381356","Cacfd1")</f>
        <v>Cacfd1</v>
      </c>
      <c r="C2528">
        <v>381356</v>
      </c>
      <c r="D2528" t="s">
        <v>5062</v>
      </c>
      <c r="E2528" s="3" t="str">
        <f>HYPERLINK("http://genome.ucsc.edu/cgi-bin/hgTracks?db=mm10&amp;lastVirtModeType=default&amp;lastVirtModeExtraState=&amp;virtModeType=default&amp;virtMode=0&amp;nonVirtPosition=&amp;position=chr2:27009925-27021089","chr2:27009925-27021089")</f>
        <v>chr2:27009925-27021089</v>
      </c>
      <c r="F2528" t="s">
        <v>30</v>
      </c>
      <c r="G2528">
        <v>0.62670523749315499</v>
      </c>
      <c r="H2528">
        <v>0.210035926288554</v>
      </c>
      <c r="I2528">
        <v>2.9838001934591301</v>
      </c>
      <c r="J2528">
        <v>2.84692614079031E-3</v>
      </c>
      <c r="K2528">
        <v>1.5071683202365E-2</v>
      </c>
      <c r="L2528" t="s">
        <v>26</v>
      </c>
      <c r="M2528" t="s">
        <v>27</v>
      </c>
      <c r="N2528">
        <v>176.155259307748</v>
      </c>
      <c r="O2528">
        <v>130.32350204464399</v>
      </c>
      <c r="P2528">
        <v>210.529077255076</v>
      </c>
      <c r="Q2528">
        <v>121.93756757525399</v>
      </c>
      <c r="R2528">
        <v>91.021179874402705</v>
      </c>
      <c r="S2528">
        <v>178.011758684276</v>
      </c>
      <c r="T2528">
        <v>238.31364521022601</v>
      </c>
      <c r="U2528">
        <v>218.408188080325</v>
      </c>
      <c r="V2528">
        <v>189.79863496213099</v>
      </c>
      <c r="W2528">
        <v>195.595840767623</v>
      </c>
    </row>
    <row r="2529" spans="1:23" x14ac:dyDescent="0.2">
      <c r="A2529" t="s">
        <v>5063</v>
      </c>
      <c r="B2529" s="3" t="str">
        <f>HYPERLINK("http://www.ncbi.nlm.nih.gov/gene/229521","Syt11")</f>
        <v>Syt11</v>
      </c>
      <c r="C2529">
        <v>229521</v>
      </c>
      <c r="D2529" t="s">
        <v>5064</v>
      </c>
      <c r="E2529" s="3" t="str">
        <f>HYPERLINK("http://genome.ucsc.edu/cgi-bin/hgTracks?db=mm10&amp;lastVirtModeType=default&amp;lastVirtModeExtraState=&amp;virtModeType=default&amp;virtMode=0&amp;nonVirtPosition=&amp;position=chr3:88744700-88772599","chr3:88744700-88772599")</f>
        <v>chr3:88744700-88772599</v>
      </c>
      <c r="F2529" t="s">
        <v>25</v>
      </c>
      <c r="G2529">
        <v>-0.57348057936988905</v>
      </c>
      <c r="H2529">
        <v>0.19220227416461</v>
      </c>
      <c r="I2529">
        <v>-2.98373461949121</v>
      </c>
      <c r="J2529">
        <v>2.84753629318076E-3</v>
      </c>
      <c r="K2529">
        <v>1.5071683202365E-2</v>
      </c>
      <c r="L2529" t="s">
        <v>26</v>
      </c>
      <c r="M2529" t="s">
        <v>27</v>
      </c>
      <c r="N2529">
        <v>2816.9639820853199</v>
      </c>
      <c r="O2529">
        <v>3511.4886580710099</v>
      </c>
      <c r="P2529">
        <v>2296.0704750960599</v>
      </c>
      <c r="Q2529">
        <v>4676.5005939020803</v>
      </c>
      <c r="R2529">
        <v>2532.6643300052601</v>
      </c>
      <c r="S2529">
        <v>3325.3010503056798</v>
      </c>
      <c r="T2529">
        <v>1966.0875729843599</v>
      </c>
      <c r="U2529">
        <v>2569.5080950626402</v>
      </c>
      <c r="V2529">
        <v>2438.6917631762199</v>
      </c>
      <c r="W2529">
        <v>2209.9944691610099</v>
      </c>
    </row>
    <row r="2530" spans="1:23" x14ac:dyDescent="0.2">
      <c r="A2530" t="s">
        <v>5065</v>
      </c>
      <c r="B2530" s="3" t="str">
        <f>HYPERLINK("http://www.ncbi.nlm.nih.gov/gene/270058","Map1s")</f>
        <v>Map1s</v>
      </c>
      <c r="C2530">
        <v>270058</v>
      </c>
      <c r="D2530" t="s">
        <v>5066</v>
      </c>
      <c r="E2530" s="3" t="str">
        <f>HYPERLINK("http://genome.ucsc.edu/cgi-bin/hgTracks?db=mm10&amp;lastVirtModeType=default&amp;lastVirtModeExtraState=&amp;virtModeType=default&amp;virtMode=0&amp;nonVirtPosition=&amp;position=chr8:70905973-70917529","chr8:70905973-70917529")</f>
        <v>chr8:70905973-70917529</v>
      </c>
      <c r="F2530" t="s">
        <v>30</v>
      </c>
      <c r="G2530">
        <v>0.76424706768482198</v>
      </c>
      <c r="H2530">
        <v>0.25615413852606</v>
      </c>
      <c r="I2530">
        <v>2.9835437056859102</v>
      </c>
      <c r="J2530">
        <v>2.8493133870603599E-3</v>
      </c>
      <c r="K2530">
        <v>1.5075130606924199E-2</v>
      </c>
      <c r="L2530" t="s">
        <v>26</v>
      </c>
      <c r="M2530" t="s">
        <v>27</v>
      </c>
      <c r="N2530">
        <v>298.54939314607998</v>
      </c>
      <c r="O2530">
        <v>202.975946151865</v>
      </c>
      <c r="P2530">
        <v>370.229478391741</v>
      </c>
      <c r="Q2530">
        <v>133.073418495368</v>
      </c>
      <c r="R2530">
        <v>142.59984846989801</v>
      </c>
      <c r="S2530">
        <v>333.25457149033002</v>
      </c>
      <c r="T2530">
        <v>362.05342253091999</v>
      </c>
      <c r="U2530">
        <v>447.52265989007702</v>
      </c>
      <c r="V2530">
        <v>301.617985792534</v>
      </c>
      <c r="W2530">
        <v>369.723845353434</v>
      </c>
    </row>
    <row r="2531" spans="1:23" x14ac:dyDescent="0.2">
      <c r="A2531" t="s">
        <v>5067</v>
      </c>
      <c r="B2531" s="3" t="str">
        <f>HYPERLINK("http://www.ncbi.nlm.nih.gov/gene/19726","Rfx3")</f>
        <v>Rfx3</v>
      </c>
      <c r="C2531">
        <v>19726</v>
      </c>
      <c r="D2531" t="s">
        <v>5068</v>
      </c>
      <c r="E2531" s="3" t="str">
        <f>HYPERLINK("http://genome.ucsc.edu/cgi-bin/hgTracks?db=mm10&amp;lastVirtModeType=default&amp;lastVirtModeExtraState=&amp;virtModeType=default&amp;virtMode=0&amp;nonVirtPosition=&amp;position=chr19:27761720-28011166","chr19:27761720-28011166")</f>
        <v>chr19:27761720-28011166</v>
      </c>
      <c r="F2531" t="s">
        <v>25</v>
      </c>
      <c r="G2531">
        <v>0.40784467764035198</v>
      </c>
      <c r="H2531">
        <v>0.13673091541343599</v>
      </c>
      <c r="I2531">
        <v>2.9828270834517898</v>
      </c>
      <c r="J2531">
        <v>2.85599300037492E-3</v>
      </c>
      <c r="K2531">
        <v>1.5104503265411E-2</v>
      </c>
      <c r="L2531" t="s">
        <v>26</v>
      </c>
      <c r="M2531" t="s">
        <v>27</v>
      </c>
      <c r="N2531">
        <v>395.979167196692</v>
      </c>
      <c r="O2531">
        <v>332.06592628775201</v>
      </c>
      <c r="P2531">
        <v>443.914097878397</v>
      </c>
      <c r="Q2531">
        <v>336.85949033346401</v>
      </c>
      <c r="R2531">
        <v>279.51087319764503</v>
      </c>
      <c r="S2531">
        <v>379.82741533214602</v>
      </c>
      <c r="T2531">
        <v>453.71251684254503</v>
      </c>
      <c r="U2531">
        <v>436.81637616064899</v>
      </c>
      <c r="V2531">
        <v>470.08266566202298</v>
      </c>
      <c r="W2531">
        <v>415.04483284837102</v>
      </c>
    </row>
    <row r="2532" spans="1:23" x14ac:dyDescent="0.2">
      <c r="A2532" t="s">
        <v>5069</v>
      </c>
      <c r="B2532" s="3" t="str">
        <f>HYPERLINK("http://www.ncbi.nlm.nih.gov/gene/223843","Dbx2")</f>
        <v>Dbx2</v>
      </c>
      <c r="C2532">
        <v>223843</v>
      </c>
      <c r="D2532" t="s">
        <v>5070</v>
      </c>
      <c r="E2532" s="3" t="str">
        <f>HYPERLINK("http://genome.ucsc.edu/cgi-bin/hgTracks?db=mm10&amp;lastVirtModeType=default&amp;lastVirtModeExtraState=&amp;virtModeType=default&amp;virtMode=0&amp;nonVirtPosition=&amp;position=chr15:95623562-95654771","chr15:95623562-95654771")</f>
        <v>chr15:95623562-95654771</v>
      </c>
      <c r="F2532" t="s">
        <v>25</v>
      </c>
      <c r="G2532">
        <v>-0.99135805791073806</v>
      </c>
      <c r="H2532">
        <v>0.33240790004949899</v>
      </c>
      <c r="I2532">
        <v>-2.9823540829297799</v>
      </c>
      <c r="J2532">
        <v>2.8604096522715202E-3</v>
      </c>
      <c r="K2532">
        <v>1.51182922509214E-2</v>
      </c>
      <c r="L2532" t="s">
        <v>26</v>
      </c>
      <c r="M2532" t="s">
        <v>27</v>
      </c>
      <c r="N2532">
        <v>90.970488065743496</v>
      </c>
      <c r="O2532">
        <v>135.71609900662199</v>
      </c>
      <c r="P2532">
        <v>57.411279860084697</v>
      </c>
      <c r="Q2532">
        <v>256.68136370863903</v>
      </c>
      <c r="R2532">
        <v>82.677571719249102</v>
      </c>
      <c r="S2532">
        <v>67.789361591976999</v>
      </c>
      <c r="T2532">
        <v>68.744320733718993</v>
      </c>
      <c r="U2532">
        <v>68.520215868337104</v>
      </c>
      <c r="V2532">
        <v>37.518334818095703</v>
      </c>
      <c r="W2532">
        <v>54.862248020187003</v>
      </c>
    </row>
    <row r="2533" spans="1:23" x14ac:dyDescent="0.2">
      <c r="A2533" t="s">
        <v>5071</v>
      </c>
      <c r="B2533" s="3" t="str">
        <f>HYPERLINK("http://www.ncbi.nlm.nih.gov/gene/69536","Hemk1")</f>
        <v>Hemk1</v>
      </c>
      <c r="C2533">
        <v>69536</v>
      </c>
      <c r="D2533" t="s">
        <v>5072</v>
      </c>
      <c r="E2533" s="3" t="str">
        <f>HYPERLINK("http://genome.ucsc.edu/cgi-bin/hgTracks?db=mm10&amp;lastVirtModeType=default&amp;lastVirtModeExtraState=&amp;virtModeType=default&amp;virtMode=0&amp;nonVirtPosition=&amp;position=chr9:107327081-107338350","chr9:107327081-107338350")</f>
        <v>chr9:107327081-107338350</v>
      </c>
      <c r="F2533" t="s">
        <v>25</v>
      </c>
      <c r="G2533">
        <v>0.71758346540109097</v>
      </c>
      <c r="H2533">
        <v>0.240613621201376</v>
      </c>
      <c r="I2533">
        <v>2.9823060798396201</v>
      </c>
      <c r="J2533">
        <v>2.8608582304409601E-3</v>
      </c>
      <c r="K2533">
        <v>1.51182922509214E-2</v>
      </c>
      <c r="L2533" t="s">
        <v>26</v>
      </c>
      <c r="M2533" t="s">
        <v>27</v>
      </c>
      <c r="N2533">
        <v>53.0122388757623</v>
      </c>
      <c r="O2533">
        <v>36.134019232924501</v>
      </c>
      <c r="P2533">
        <v>65.670903607890693</v>
      </c>
      <c r="Q2533">
        <v>31.1803825763206</v>
      </c>
      <c r="R2533">
        <v>33.753687536757703</v>
      </c>
      <c r="S2533">
        <v>43.467987585695198</v>
      </c>
      <c r="T2533">
        <v>91.659094311625296</v>
      </c>
      <c r="U2533">
        <v>53.531418647138402</v>
      </c>
      <c r="V2533">
        <v>66.208826149580702</v>
      </c>
      <c r="W2533">
        <v>51.284275323218303</v>
      </c>
    </row>
    <row r="2534" spans="1:23" x14ac:dyDescent="0.2">
      <c r="A2534" t="s">
        <v>5073</v>
      </c>
      <c r="B2534" s="3" t="str">
        <f>HYPERLINK("http://www.ncbi.nlm.nih.gov/gene/72949","Ccnt2")</f>
        <v>Ccnt2</v>
      </c>
      <c r="C2534">
        <v>72949</v>
      </c>
      <c r="D2534" t="s">
        <v>5074</v>
      </c>
      <c r="E2534" s="3" t="str">
        <f>HYPERLINK("http://genome.ucsc.edu/cgi-bin/hgTracks?db=mm10&amp;lastVirtModeType=default&amp;lastVirtModeExtraState=&amp;virtModeType=default&amp;virtMode=0&amp;nonVirtPosition=&amp;position=chr1:127774163-127804837","chr1:127774163-127804837")</f>
        <v>chr1:127774163-127804837</v>
      </c>
      <c r="F2534" t="s">
        <v>30</v>
      </c>
      <c r="G2534">
        <v>0.43270851336053801</v>
      </c>
      <c r="H2534">
        <v>0.145099908047505</v>
      </c>
      <c r="I2534">
        <v>2.9821418854302202</v>
      </c>
      <c r="J2534">
        <v>2.8623930761548099E-3</v>
      </c>
      <c r="K2534">
        <v>1.51204361667807E-2</v>
      </c>
      <c r="L2534" t="s">
        <v>26</v>
      </c>
      <c r="M2534" t="s">
        <v>27</v>
      </c>
      <c r="N2534">
        <v>419.70447529676397</v>
      </c>
      <c r="O2534">
        <v>350.75333055731898</v>
      </c>
      <c r="P2534">
        <v>471.41783385134801</v>
      </c>
      <c r="Q2534">
        <v>391.42515984202498</v>
      </c>
      <c r="R2534">
        <v>315.16083531511902</v>
      </c>
      <c r="S2534">
        <v>345.67399651481401</v>
      </c>
      <c r="T2534">
        <v>421.63183383347598</v>
      </c>
      <c r="U2534">
        <v>400.41501148059501</v>
      </c>
      <c r="V2534">
        <v>534.08453093995104</v>
      </c>
      <c r="W2534">
        <v>529.53995915137</v>
      </c>
    </row>
    <row r="2535" spans="1:23" x14ac:dyDescent="0.2">
      <c r="A2535" t="s">
        <v>5075</v>
      </c>
      <c r="B2535" s="3" t="str">
        <f>HYPERLINK("http://www.ncbi.nlm.nih.gov/gene/64291","Osbpl1a")</f>
        <v>Osbpl1a</v>
      </c>
      <c r="C2535">
        <v>64291</v>
      </c>
      <c r="D2535" t="s">
        <v>5076</v>
      </c>
      <c r="E2535" s="3" t="str">
        <f>HYPERLINK("http://genome.ucsc.edu/cgi-bin/hgTracks?db=mm10&amp;lastVirtModeType=default&amp;lastVirtModeExtraState=&amp;virtModeType=default&amp;virtMode=0&amp;nonVirtPosition=&amp;position=chr18:12755311-12941841","chr18:12755311-12941841")</f>
        <v>chr18:12755311-12941841</v>
      </c>
      <c r="F2535" t="s">
        <v>25</v>
      </c>
      <c r="G2535">
        <v>-0.56324354911471997</v>
      </c>
      <c r="H2535">
        <v>0.188910555869652</v>
      </c>
      <c r="I2535">
        <v>-2.98153560832968</v>
      </c>
      <c r="J2535">
        <v>2.8680669083136099E-3</v>
      </c>
      <c r="K2535">
        <v>1.5138971807710001E-2</v>
      </c>
      <c r="L2535" t="s">
        <v>26</v>
      </c>
      <c r="M2535" t="s">
        <v>27</v>
      </c>
      <c r="N2535">
        <v>277.02169472594898</v>
      </c>
      <c r="O2535">
        <v>342.054631155089</v>
      </c>
      <c r="P2535">
        <v>228.24699240409501</v>
      </c>
      <c r="Q2535">
        <v>353.00647416763002</v>
      </c>
      <c r="R2535">
        <v>419.07668233839598</v>
      </c>
      <c r="S2535">
        <v>254.08073695924199</v>
      </c>
      <c r="T2535">
        <v>274.97728293487597</v>
      </c>
      <c r="U2535">
        <v>177.72430990849901</v>
      </c>
      <c r="V2535">
        <v>242.03004225791199</v>
      </c>
      <c r="W2535">
        <v>218.25633451509199</v>
      </c>
    </row>
    <row r="2536" spans="1:23" x14ac:dyDescent="0.2">
      <c r="A2536" t="s">
        <v>5077</v>
      </c>
      <c r="B2536" s="3" t="str">
        <f>HYPERLINK("http://www.ncbi.nlm.nih.gov/gene/100048658","Ddx43")</f>
        <v>Ddx43</v>
      </c>
      <c r="C2536">
        <v>100048658</v>
      </c>
      <c r="D2536" t="s">
        <v>5078</v>
      </c>
      <c r="E2536" s="3" t="str">
        <f>HYPERLINK("http://genome.ucsc.edu/cgi-bin/hgTracks?db=mm10&amp;lastVirtModeType=default&amp;lastVirtModeExtraState=&amp;virtModeType=default&amp;virtMode=0&amp;nonVirtPosition=&amp;position=chr9:78395776-78423589","chr9:78395776-78423589")</f>
        <v>chr9:78395776-78423589</v>
      </c>
      <c r="F2536" t="s">
        <v>30</v>
      </c>
      <c r="G2536">
        <v>0.890141167635221</v>
      </c>
      <c r="H2536">
        <v>0.29855227272752999</v>
      </c>
      <c r="I2536">
        <v>2.98152534396413</v>
      </c>
      <c r="J2536">
        <v>2.8681630554969902E-3</v>
      </c>
      <c r="K2536">
        <v>1.5138971807710001E-2</v>
      </c>
      <c r="L2536" t="s">
        <v>26</v>
      </c>
      <c r="M2536" t="s">
        <v>27</v>
      </c>
      <c r="N2536">
        <v>38.862074707677301</v>
      </c>
      <c r="O2536">
        <v>23.2373416430286</v>
      </c>
      <c r="P2536">
        <v>50.580624506163801</v>
      </c>
      <c r="Q2536">
        <v>13.363021104137401</v>
      </c>
      <c r="R2536">
        <v>35.649962117474402</v>
      </c>
      <c r="S2536">
        <v>20.699041707473899</v>
      </c>
      <c r="T2536">
        <v>59.578411302556397</v>
      </c>
      <c r="U2536">
        <v>49.248905155367297</v>
      </c>
      <c r="V2536">
        <v>43.403563809169597</v>
      </c>
      <c r="W2536">
        <v>50.091617757562098</v>
      </c>
    </row>
    <row r="2537" spans="1:23" x14ac:dyDescent="0.2">
      <c r="A2537" t="s">
        <v>5079</v>
      </c>
      <c r="B2537" s="3" t="str">
        <f>HYPERLINK("http://www.ncbi.nlm.nih.gov/gene/399558","Flrt2")</f>
        <v>Flrt2</v>
      </c>
      <c r="C2537">
        <v>399558</v>
      </c>
      <c r="D2537" t="s">
        <v>5080</v>
      </c>
      <c r="E2537" s="3" t="str">
        <f>HYPERLINK("http://genome.ucsc.edu/cgi-bin/hgTracks?db=mm10&amp;lastVirtModeType=default&amp;lastVirtModeExtraState=&amp;virtModeType=default&amp;virtMode=0&amp;nonVirtPosition=&amp;position=chr12:95692225-95785213","chr12:95692225-95785213")</f>
        <v>chr12:95692225-95785213</v>
      </c>
      <c r="F2537" t="s">
        <v>30</v>
      </c>
      <c r="G2537">
        <v>-0.68528958464442202</v>
      </c>
      <c r="H2537">
        <v>0.22991029604986299</v>
      </c>
      <c r="I2537">
        <v>-2.9806824505841001</v>
      </c>
      <c r="J2537">
        <v>2.87606855874662E-3</v>
      </c>
      <c r="K2537">
        <v>1.51692084042891E-2</v>
      </c>
      <c r="L2537" t="s">
        <v>26</v>
      </c>
      <c r="M2537" t="s">
        <v>27</v>
      </c>
      <c r="N2537">
        <v>92.428857082984507</v>
      </c>
      <c r="O2537">
        <v>121.535601277086</v>
      </c>
      <c r="P2537">
        <v>70.598798937408503</v>
      </c>
      <c r="Q2537">
        <v>155.34512033559699</v>
      </c>
      <c r="R2537">
        <v>124.39561249501701</v>
      </c>
      <c r="S2537">
        <v>84.866071000643004</v>
      </c>
      <c r="T2537">
        <v>64.161366018137699</v>
      </c>
      <c r="U2537">
        <v>62.096445630680499</v>
      </c>
      <c r="V2537">
        <v>75.036669636191505</v>
      </c>
      <c r="W2537">
        <v>81.100714464624303</v>
      </c>
    </row>
    <row r="2538" spans="1:23" x14ac:dyDescent="0.2">
      <c r="A2538" t="s">
        <v>5081</v>
      </c>
      <c r="B2538" s="3" t="str">
        <f>HYPERLINK("http://www.ncbi.nlm.nih.gov/gene/72836","Pot1b")</f>
        <v>Pot1b</v>
      </c>
      <c r="C2538">
        <v>72836</v>
      </c>
      <c r="D2538" t="s">
        <v>5082</v>
      </c>
      <c r="E2538" s="3" t="str">
        <f>HYPERLINK("http://genome.ucsc.edu/cgi-bin/hgTracks?db=mm10&amp;lastVirtModeType=default&amp;lastVirtModeExtraState=&amp;virtModeType=default&amp;virtMode=0&amp;nonVirtPosition=&amp;position=chr17:55652024-55712628","chr17:55652024-55712628")</f>
        <v>chr17:55652024-55712628</v>
      </c>
      <c r="F2538" t="s">
        <v>25</v>
      </c>
      <c r="G2538">
        <v>0.65377139850751798</v>
      </c>
      <c r="H2538">
        <v>0.219336839149122</v>
      </c>
      <c r="I2538">
        <v>2.98067301892244</v>
      </c>
      <c r="J2538">
        <v>2.87615713079607E-3</v>
      </c>
      <c r="K2538">
        <v>1.51692084042891E-2</v>
      </c>
      <c r="L2538" t="s">
        <v>26</v>
      </c>
      <c r="M2538" t="s">
        <v>27</v>
      </c>
      <c r="N2538">
        <v>66.909796921327199</v>
      </c>
      <c r="O2538">
        <v>48.0983135946936</v>
      </c>
      <c r="P2538">
        <v>81.018409416302404</v>
      </c>
      <c r="Q2538">
        <v>53.452084416549603</v>
      </c>
      <c r="R2538">
        <v>43.2350604403413</v>
      </c>
      <c r="S2538">
        <v>47.607795927189997</v>
      </c>
      <c r="T2538">
        <v>109.99091317395001</v>
      </c>
      <c r="U2538">
        <v>53.531418647138402</v>
      </c>
      <c r="V2538">
        <v>79.450591379496899</v>
      </c>
      <c r="W2538">
        <v>81.100714464624303</v>
      </c>
    </row>
    <row r="2539" spans="1:23" x14ac:dyDescent="0.2">
      <c r="A2539" t="s">
        <v>5083</v>
      </c>
      <c r="B2539" s="3" t="str">
        <f>HYPERLINK("http://www.ncbi.nlm.nih.gov/gene/11674","Aldoa")</f>
        <v>Aldoa</v>
      </c>
      <c r="C2539">
        <v>11674</v>
      </c>
      <c r="D2539" t="s">
        <v>5084</v>
      </c>
      <c r="E2539" s="3" t="str">
        <f>HYPERLINK("http://genome.ucsc.edu/cgi-bin/hgTracks?db=mm10&amp;lastVirtModeType=default&amp;lastVirtModeExtraState=&amp;virtModeType=default&amp;virtMode=0&amp;nonVirtPosition=&amp;position=chr7:126795233-126799254","chr7:126795233-126799254")</f>
        <v>chr7:126795233-126799254</v>
      </c>
      <c r="F2539" t="s">
        <v>25</v>
      </c>
      <c r="G2539">
        <v>-0.56078173190478098</v>
      </c>
      <c r="H2539">
        <v>0.188305561157735</v>
      </c>
      <c r="I2539">
        <v>-2.9780412668484102</v>
      </c>
      <c r="J2539">
        <v>2.9009692328258499E-3</v>
      </c>
      <c r="K2539">
        <v>1.52940468491224E-2</v>
      </c>
      <c r="L2539" t="s">
        <v>26</v>
      </c>
      <c r="M2539" t="s">
        <v>27</v>
      </c>
      <c r="N2539">
        <v>2255.5294682890999</v>
      </c>
      <c r="O2539">
        <v>2798.30164716433</v>
      </c>
      <c r="P2539">
        <v>1848.4503341326899</v>
      </c>
      <c r="Q2539">
        <v>1887.5267309594101</v>
      </c>
      <c r="R2539">
        <v>3370.4384397659001</v>
      </c>
      <c r="S2539">
        <v>3136.9397707676699</v>
      </c>
      <c r="T2539">
        <v>1590.2852863067001</v>
      </c>
      <c r="U2539">
        <v>1933.55484153464</v>
      </c>
      <c r="V2539">
        <v>2039.2318454070901</v>
      </c>
      <c r="W2539">
        <v>1830.72936328233</v>
      </c>
    </row>
    <row r="2540" spans="1:23" x14ac:dyDescent="0.2">
      <c r="A2540" t="s">
        <v>5085</v>
      </c>
      <c r="B2540" s="3" t="str">
        <f>HYPERLINK("http://www.ncbi.nlm.nih.gov/gene/269784","Cntn4")</f>
        <v>Cntn4</v>
      </c>
      <c r="C2540">
        <v>269784</v>
      </c>
      <c r="D2540" t="s">
        <v>5086</v>
      </c>
      <c r="E2540" s="3" t="str">
        <f>HYPERLINK("http://genome.ucsc.edu/cgi-bin/hgTracks?db=mm10&amp;lastVirtModeType=default&amp;lastVirtModeExtraState=&amp;virtModeType=default&amp;virtMode=0&amp;nonVirtPosition=&amp;position=chr6:105677744-106699305","chr6:105677744-106699305")</f>
        <v>chr6:105677744-106699305</v>
      </c>
      <c r="F2540" t="s">
        <v>30</v>
      </c>
      <c r="G2540">
        <v>-0.69641393427971299</v>
      </c>
      <c r="H2540">
        <v>0.23387460840848501</v>
      </c>
      <c r="I2540">
        <v>-2.97772357169855</v>
      </c>
      <c r="J2540">
        <v>2.9039776350151302E-3</v>
      </c>
      <c r="K2540">
        <v>1.5303882137145799E-2</v>
      </c>
      <c r="L2540" t="s">
        <v>26</v>
      </c>
      <c r="M2540" t="s">
        <v>27</v>
      </c>
      <c r="N2540">
        <v>232.84559579832501</v>
      </c>
      <c r="O2540">
        <v>304.234227387224</v>
      </c>
      <c r="P2540">
        <v>179.30412210665</v>
      </c>
      <c r="Q2540">
        <v>429.28705297041398</v>
      </c>
      <c r="R2540">
        <v>190.006712987816</v>
      </c>
      <c r="S2540">
        <v>293.40891620344303</v>
      </c>
      <c r="T2540">
        <v>197.06705276999401</v>
      </c>
      <c r="U2540">
        <v>156.31174244964399</v>
      </c>
      <c r="V2540">
        <v>151.54464652015099</v>
      </c>
      <c r="W2540">
        <v>212.29304668681101</v>
      </c>
    </row>
    <row r="2541" spans="1:23" x14ac:dyDescent="0.2">
      <c r="A2541" t="s">
        <v>5087</v>
      </c>
      <c r="B2541" s="3" t="str">
        <f>HYPERLINK("http://www.ncbi.nlm.nih.gov/gene/26370","Cetn2")</f>
        <v>Cetn2</v>
      </c>
      <c r="C2541">
        <v>26370</v>
      </c>
      <c r="D2541" t="s">
        <v>5088</v>
      </c>
      <c r="E2541" s="3" t="str">
        <f>HYPERLINK("http://genome.ucsc.edu/cgi-bin/hgTracks?db=mm10&amp;lastVirtModeType=default&amp;lastVirtModeExtraState=&amp;virtModeType=default&amp;virtMode=0&amp;nonVirtPosition=&amp;position=chrX:72913564-72918344","chrX:72913564-72918344")</f>
        <v>chrX:72913564-72918344</v>
      </c>
      <c r="F2541" t="s">
        <v>25</v>
      </c>
      <c r="G2541">
        <v>-0.54166923470043604</v>
      </c>
      <c r="H2541">
        <v>0.18196493136012801</v>
      </c>
      <c r="I2541">
        <v>-2.9767781662743298</v>
      </c>
      <c r="J2541">
        <v>2.9129469690311102E-3</v>
      </c>
      <c r="K2541">
        <v>1.534511127549E-2</v>
      </c>
      <c r="L2541" t="s">
        <v>26</v>
      </c>
      <c r="M2541" t="s">
        <v>27</v>
      </c>
      <c r="N2541">
        <v>84.009780814548094</v>
      </c>
      <c r="O2541">
        <v>104.60185481024099</v>
      </c>
      <c r="P2541">
        <v>68.5657253177787</v>
      </c>
      <c r="Q2541">
        <v>108.01775392511099</v>
      </c>
      <c r="R2541">
        <v>106.94988635242299</v>
      </c>
      <c r="S2541">
        <v>98.837924153187899</v>
      </c>
      <c r="T2541">
        <v>54.995456586975202</v>
      </c>
      <c r="U2541">
        <v>77.0852428518793</v>
      </c>
      <c r="V2541">
        <v>70.622747892886096</v>
      </c>
      <c r="W2541">
        <v>71.559453939374393</v>
      </c>
    </row>
    <row r="2542" spans="1:23" x14ac:dyDescent="0.2">
      <c r="A2542" t="s">
        <v>5089</v>
      </c>
      <c r="B2542" s="3" t="str">
        <f>HYPERLINK("http://www.ncbi.nlm.nih.gov/gene/110379","Sec13")</f>
        <v>Sec13</v>
      </c>
      <c r="C2542">
        <v>110379</v>
      </c>
      <c r="D2542" t="s">
        <v>5090</v>
      </c>
      <c r="E2542" s="3" t="str">
        <f>HYPERLINK("http://genome.ucsc.edu/cgi-bin/hgTracks?db=mm10&amp;lastVirtModeType=default&amp;lastVirtModeExtraState=&amp;virtModeType=default&amp;virtMode=0&amp;nonVirtPosition=&amp;position=chr6:113728051-113740681","chr6:113728051-113740681")</f>
        <v>chr6:113728051-113740681</v>
      </c>
      <c r="F2542" t="s">
        <v>25</v>
      </c>
      <c r="G2542">
        <v>-0.43321828176295202</v>
      </c>
      <c r="H2542">
        <v>0.14556234962852699</v>
      </c>
      <c r="I2542">
        <v>-2.9761698878076501</v>
      </c>
      <c r="J2542">
        <v>2.9187312423221501E-3</v>
      </c>
      <c r="K2542">
        <v>1.5369536007053E-2</v>
      </c>
      <c r="L2542" t="s">
        <v>26</v>
      </c>
      <c r="M2542" t="s">
        <v>27</v>
      </c>
      <c r="N2542">
        <v>410.51527086680602</v>
      </c>
      <c r="O2542">
        <v>487.66208071919999</v>
      </c>
      <c r="P2542">
        <v>352.65516347750997</v>
      </c>
      <c r="Q2542">
        <v>405.34497349216798</v>
      </c>
      <c r="R2542">
        <v>535.50794159440295</v>
      </c>
      <c r="S2542">
        <v>522.13332707102904</v>
      </c>
      <c r="T2542">
        <v>297.89205651278201</v>
      </c>
      <c r="U2542">
        <v>376.86118727585398</v>
      </c>
      <c r="V2542">
        <v>393.57468877806298</v>
      </c>
      <c r="W2542">
        <v>342.29272134334099</v>
      </c>
    </row>
    <row r="2543" spans="1:23" x14ac:dyDescent="0.2">
      <c r="A2543" t="s">
        <v>5091</v>
      </c>
      <c r="B2543" s="3" t="str">
        <f>HYPERLINK("http://www.ncbi.nlm.nih.gov/gene/236727","Slc9a7")</f>
        <v>Slc9a7</v>
      </c>
      <c r="C2543">
        <v>236727</v>
      </c>
      <c r="D2543" t="s">
        <v>5092</v>
      </c>
      <c r="E2543" s="3" t="str">
        <f>HYPERLINK("http://genome.ucsc.edu/cgi-bin/hgTracks?db=mm10&amp;lastVirtModeType=default&amp;lastVirtModeExtraState=&amp;virtModeType=default&amp;virtMode=0&amp;nonVirtPosition=&amp;position=chrX:20105754-20291764","chrX:20105754-20291764")</f>
        <v>chrX:20105754-20291764</v>
      </c>
      <c r="F2543" t="s">
        <v>25</v>
      </c>
      <c r="G2543">
        <v>-0.59676483429238203</v>
      </c>
      <c r="H2543">
        <v>0.20057544730131799</v>
      </c>
      <c r="I2543">
        <v>-2.97526363431653</v>
      </c>
      <c r="J2543">
        <v>2.9273684803029199E-3</v>
      </c>
      <c r="K2543">
        <v>1.54089588520977E-2</v>
      </c>
      <c r="L2543" t="s">
        <v>26</v>
      </c>
      <c r="M2543" t="s">
        <v>27</v>
      </c>
      <c r="N2543">
        <v>137.27566279534699</v>
      </c>
      <c r="O2543">
        <v>170.36262541791999</v>
      </c>
      <c r="P2543">
        <v>112.46044082841701</v>
      </c>
      <c r="Q2543">
        <v>213.80833766619801</v>
      </c>
      <c r="R2543">
        <v>161.183339360921</v>
      </c>
      <c r="S2543">
        <v>136.096199226641</v>
      </c>
      <c r="T2543">
        <v>137.48864146743799</v>
      </c>
      <c r="U2543">
        <v>102.780323802506</v>
      </c>
      <c r="V2543">
        <v>92.692356609412997</v>
      </c>
      <c r="W2543">
        <v>116.880441434312</v>
      </c>
    </row>
    <row r="2544" spans="1:23" x14ac:dyDescent="0.2">
      <c r="A2544" t="s">
        <v>5093</v>
      </c>
      <c r="B2544" s="3" t="str">
        <f>HYPERLINK("http://www.ncbi.nlm.nih.gov/gene/320981","Enpp6")</f>
        <v>Enpp6</v>
      </c>
      <c r="C2544">
        <v>320981</v>
      </c>
      <c r="D2544" t="s">
        <v>5094</v>
      </c>
      <c r="E2544" s="3" t="str">
        <f>HYPERLINK("http://genome.ucsc.edu/cgi-bin/hgTracks?db=mm10&amp;lastVirtModeType=default&amp;lastVirtModeExtraState=&amp;virtModeType=default&amp;virtMode=0&amp;nonVirtPosition=&amp;position=chr8:46986886-47096761","chr8:46986886-47096761")</f>
        <v>chr8:46986886-47096761</v>
      </c>
      <c r="F2544" t="s">
        <v>30</v>
      </c>
      <c r="G2544">
        <v>0.88910599647166899</v>
      </c>
      <c r="H2544">
        <v>0.29891697703320302</v>
      </c>
      <c r="I2544">
        <v>2.9744245552600699</v>
      </c>
      <c r="J2544">
        <v>2.9353862886613599E-3</v>
      </c>
      <c r="K2544">
        <v>1.54450914701235E-2</v>
      </c>
      <c r="L2544" t="s">
        <v>26</v>
      </c>
      <c r="M2544" t="s">
        <v>27</v>
      </c>
      <c r="N2544">
        <v>77.8042973570019</v>
      </c>
      <c r="O2544">
        <v>48.693594371729098</v>
      </c>
      <c r="P2544">
        <v>99.637324595956301</v>
      </c>
      <c r="Q2544">
        <v>71.269445888732804</v>
      </c>
      <c r="R2544">
        <v>26.168589213890801</v>
      </c>
      <c r="S2544">
        <v>48.6427480125637</v>
      </c>
      <c r="T2544">
        <v>91.659094311625296</v>
      </c>
      <c r="U2544">
        <v>59.955188884795</v>
      </c>
      <c r="V2544">
        <v>141.98114940965601</v>
      </c>
      <c r="W2544">
        <v>104.953865777749</v>
      </c>
    </row>
    <row r="2545" spans="1:23" x14ac:dyDescent="0.2">
      <c r="A2545" t="s">
        <v>5095</v>
      </c>
      <c r="B2545" s="3" t="str">
        <f>HYPERLINK("http://www.ncbi.nlm.nih.gov/gene/18126","Nos2")</f>
        <v>Nos2</v>
      </c>
      <c r="C2545">
        <v>18126</v>
      </c>
      <c r="D2545" t="s">
        <v>5096</v>
      </c>
      <c r="E2545" s="3" t="str">
        <f>HYPERLINK("http://genome.ucsc.edu/cgi-bin/hgTracks?db=mm10&amp;lastVirtModeType=default&amp;lastVirtModeExtraState=&amp;virtModeType=default&amp;virtMode=0&amp;nonVirtPosition=&amp;position=chr11:78920786-78960226","chr11:78920786-78960226")</f>
        <v>chr11:78920786-78960226</v>
      </c>
      <c r="F2545" t="s">
        <v>30</v>
      </c>
      <c r="G2545">
        <v>0.86028349851721397</v>
      </c>
      <c r="H2545">
        <v>0.28935069072797598</v>
      </c>
      <c r="I2545">
        <v>2.9731517016698001</v>
      </c>
      <c r="J2545">
        <v>2.9475872877476701E-3</v>
      </c>
      <c r="K2545">
        <v>1.55031977102235E-2</v>
      </c>
      <c r="L2545" t="s">
        <v>26</v>
      </c>
      <c r="M2545" t="s">
        <v>27</v>
      </c>
      <c r="N2545">
        <v>28.228407367030499</v>
      </c>
      <c r="O2545">
        <v>18.476825233453098</v>
      </c>
      <c r="P2545">
        <v>35.542093967213603</v>
      </c>
      <c r="Q2545">
        <v>23.9420794782462</v>
      </c>
      <c r="R2545">
        <v>14.411686813447099</v>
      </c>
      <c r="S2545">
        <v>17.076709408666002</v>
      </c>
      <c r="T2545">
        <v>27.497728293487601</v>
      </c>
      <c r="U2545">
        <v>36.401364680054101</v>
      </c>
      <c r="V2545">
        <v>44.874871056937998</v>
      </c>
      <c r="W2545">
        <v>33.394411838374701</v>
      </c>
    </row>
    <row r="2546" spans="1:23" x14ac:dyDescent="0.2">
      <c r="A2546" t="s">
        <v>5097</v>
      </c>
      <c r="B2546" s="3" t="str">
        <f>HYPERLINK("http://www.ncbi.nlm.nih.gov/gene/214854","Neurl3")</f>
        <v>Neurl3</v>
      </c>
      <c r="C2546">
        <v>214854</v>
      </c>
      <c r="D2546" t="s">
        <v>5098</v>
      </c>
      <c r="E2546" s="3" t="str">
        <f>HYPERLINK("http://genome.ucsc.edu/cgi-bin/hgTracks?db=mm10&amp;lastVirtModeType=default&amp;lastVirtModeExtraState=&amp;virtModeType=default&amp;virtMode=0&amp;nonVirtPosition=&amp;position=chr1:36264601-36273425","chr1:36264601-36273425")</f>
        <v>chr1:36264601-36273425</v>
      </c>
      <c r="F2546" t="s">
        <v>25</v>
      </c>
      <c r="G2546">
        <v>0.98725535949744203</v>
      </c>
      <c r="H2546">
        <v>0.33210159578700799</v>
      </c>
      <c r="I2546">
        <v>2.9727510256548499</v>
      </c>
      <c r="J2546">
        <v>2.9514375526525798E-3</v>
      </c>
      <c r="K2546">
        <v>1.55173538545625E-2</v>
      </c>
      <c r="L2546" t="s">
        <v>26</v>
      </c>
      <c r="M2546" t="s">
        <v>27</v>
      </c>
      <c r="N2546">
        <v>27.723665674179902</v>
      </c>
      <c r="O2546">
        <v>14.7030012028532</v>
      </c>
      <c r="P2546">
        <v>37.489164027675002</v>
      </c>
      <c r="Q2546">
        <v>22.828494386234699</v>
      </c>
      <c r="R2546">
        <v>8.3436081551535803</v>
      </c>
      <c r="S2546">
        <v>12.936901067171201</v>
      </c>
      <c r="T2546">
        <v>59.578411302556397</v>
      </c>
      <c r="U2546">
        <v>27.836337696512</v>
      </c>
      <c r="V2546">
        <v>27.954837707600699</v>
      </c>
      <c r="W2546">
        <v>34.587069404030998</v>
      </c>
    </row>
    <row r="2547" spans="1:23" x14ac:dyDescent="0.2">
      <c r="A2547" t="s">
        <v>5099</v>
      </c>
      <c r="B2547" s="3" t="str">
        <f>HYPERLINK("http://www.ncbi.nlm.nih.gov/gene/208104","Mlxip")</f>
        <v>Mlxip</v>
      </c>
      <c r="C2547">
        <v>208104</v>
      </c>
      <c r="D2547" t="s">
        <v>5100</v>
      </c>
      <c r="E2547" s="3" t="str">
        <f>HYPERLINK("http://genome.ucsc.edu/cgi-bin/hgTracks?db=mm10&amp;lastVirtModeType=default&amp;lastVirtModeExtraState=&amp;virtModeType=default&amp;virtMode=0&amp;nonVirtPosition=&amp;position=chr5:123394797-123457931","chr5:123394797-123457931")</f>
        <v>chr5:123394797-123457931</v>
      </c>
      <c r="F2547" t="s">
        <v>30</v>
      </c>
      <c r="G2547">
        <v>0.56429745372239903</v>
      </c>
      <c r="H2547">
        <v>0.189910662917218</v>
      </c>
      <c r="I2547">
        <v>2.9713837288239802</v>
      </c>
      <c r="J2547">
        <v>2.96461106223841E-3</v>
      </c>
      <c r="K2547">
        <v>1.55804971485222E-2</v>
      </c>
      <c r="L2547" t="s">
        <v>26</v>
      </c>
      <c r="M2547" t="s">
        <v>27</v>
      </c>
      <c r="N2547">
        <v>248.00900692546401</v>
      </c>
      <c r="O2547">
        <v>193.52190311917499</v>
      </c>
      <c r="P2547">
        <v>288.87433478018102</v>
      </c>
      <c r="Q2547">
        <v>192.65022091798099</v>
      </c>
      <c r="R2547">
        <v>146.77165254747399</v>
      </c>
      <c r="S2547">
        <v>241.143835892071</v>
      </c>
      <c r="T2547">
        <v>229.147735779063</v>
      </c>
      <c r="U2547">
        <v>291.21091744043298</v>
      </c>
      <c r="V2547">
        <v>277.34141620435503</v>
      </c>
      <c r="W2547">
        <v>357.79726969687198</v>
      </c>
    </row>
    <row r="2548" spans="1:23" x14ac:dyDescent="0.2">
      <c r="A2548" t="s">
        <v>5101</v>
      </c>
      <c r="B2548" s="3" t="str">
        <f>HYPERLINK("http://www.ncbi.nlm.nih.gov/gene/75398","Mrpl32")</f>
        <v>Mrpl32</v>
      </c>
      <c r="C2548">
        <v>75398</v>
      </c>
      <c r="D2548" t="s">
        <v>5102</v>
      </c>
      <c r="E2548" s="3" t="str">
        <f>HYPERLINK("http://genome.ucsc.edu/cgi-bin/hgTracks?db=mm10&amp;lastVirtModeType=default&amp;lastVirtModeExtraState=&amp;virtModeType=default&amp;virtMode=0&amp;nonVirtPosition=&amp;position=chr13:14610300-14613037","chr13:14610300-14613037")</f>
        <v>chr13:14610300-14613037</v>
      </c>
      <c r="F2548" t="s">
        <v>25</v>
      </c>
      <c r="G2548">
        <v>-0.634917253326858</v>
      </c>
      <c r="H2548">
        <v>0.213698595634528</v>
      </c>
      <c r="I2548">
        <v>-2.9710876266716602</v>
      </c>
      <c r="J2548">
        <v>2.9674709788098598E-3</v>
      </c>
      <c r="K2548">
        <v>1.5589409131911701E-2</v>
      </c>
      <c r="L2548" t="s">
        <v>26</v>
      </c>
      <c r="M2548" t="s">
        <v>27</v>
      </c>
      <c r="N2548">
        <v>84.927438336647398</v>
      </c>
      <c r="O2548">
        <v>107.600829088149</v>
      </c>
      <c r="P2548">
        <v>67.922395273021394</v>
      </c>
      <c r="Q2548">
        <v>85.189259538875902</v>
      </c>
      <c r="R2548">
        <v>134.63549523088699</v>
      </c>
      <c r="S2548">
        <v>102.977732494683</v>
      </c>
      <c r="T2548">
        <v>73.327275449300203</v>
      </c>
      <c r="U2548">
        <v>66.378959122451604</v>
      </c>
      <c r="V2548">
        <v>64.001865277928005</v>
      </c>
      <c r="W2548">
        <v>67.981481242405707</v>
      </c>
    </row>
    <row r="2549" spans="1:23" x14ac:dyDescent="0.2">
      <c r="A2549" t="s">
        <v>5103</v>
      </c>
      <c r="B2549" s="3" t="str">
        <f>HYPERLINK("http://www.ncbi.nlm.nih.gov/gene/20916","Sucla2")</f>
        <v>Sucla2</v>
      </c>
      <c r="C2549">
        <v>20916</v>
      </c>
      <c r="D2549" t="s">
        <v>5104</v>
      </c>
      <c r="E2549" s="3" t="str">
        <f>HYPERLINK("http://genome.ucsc.edu/cgi-bin/hgTracks?db=mm10&amp;lastVirtModeType=default&amp;lastVirtModeExtraState=&amp;virtModeType=default&amp;virtMode=0&amp;nonVirtPosition=&amp;position=chr14:73552785-73596142","chr14:73552785-73596142")</f>
        <v>chr14:73552785-73596142</v>
      </c>
      <c r="F2549" t="s">
        <v>30</v>
      </c>
      <c r="G2549">
        <v>-0.52390522573063303</v>
      </c>
      <c r="H2549">
        <v>0.17636476773866699</v>
      </c>
      <c r="I2549">
        <v>-2.9705775844466999</v>
      </c>
      <c r="J2549">
        <v>2.9724031488586899E-3</v>
      </c>
      <c r="K2549">
        <v>1.5609196300535999E-2</v>
      </c>
      <c r="L2549" t="s">
        <v>26</v>
      </c>
      <c r="M2549" t="s">
        <v>27</v>
      </c>
      <c r="N2549">
        <v>282.11254871340901</v>
      </c>
      <c r="O2549">
        <v>347.27078949534899</v>
      </c>
      <c r="P2549">
        <v>233.243868126954</v>
      </c>
      <c r="Q2549">
        <v>280.62344318688503</v>
      </c>
      <c r="R2549">
        <v>433.10911423570002</v>
      </c>
      <c r="S2549">
        <v>328.07981106346102</v>
      </c>
      <c r="T2549">
        <v>183.31818862325099</v>
      </c>
      <c r="U2549">
        <v>248.385782522722</v>
      </c>
      <c r="V2549">
        <v>231.73089152353299</v>
      </c>
      <c r="W2549">
        <v>269.54060983830999</v>
      </c>
    </row>
    <row r="2550" spans="1:23" x14ac:dyDescent="0.2">
      <c r="A2550" t="s">
        <v>5105</v>
      </c>
      <c r="B2550" s="3" t="str">
        <f>HYPERLINK("http://www.ncbi.nlm.nih.gov/gene/235574","Atp2c1")</f>
        <v>Atp2c1</v>
      </c>
      <c r="C2550">
        <v>235574</v>
      </c>
      <c r="D2550" t="s">
        <v>5106</v>
      </c>
      <c r="E2550" s="3" t="str">
        <f>HYPERLINK("http://genome.ucsc.edu/cgi-bin/hgTracks?db=mm10&amp;lastVirtModeType=default&amp;lastVirtModeExtraState=&amp;virtModeType=default&amp;virtMode=0&amp;nonVirtPosition=&amp;position=chr9:105411361-105495133","chr9:105411361-105495133")</f>
        <v>chr9:105411361-105495133</v>
      </c>
      <c r="F2550" t="s">
        <v>25</v>
      </c>
      <c r="G2550">
        <v>-0.42281034355148001</v>
      </c>
      <c r="H2550">
        <v>0.14239732716461101</v>
      </c>
      <c r="I2550">
        <v>-2.9692294930698599</v>
      </c>
      <c r="J2550">
        <v>2.9854753875921901E-3</v>
      </c>
      <c r="K2550">
        <v>1.56716977323587E-2</v>
      </c>
      <c r="L2550" t="s">
        <v>26</v>
      </c>
      <c r="M2550" t="s">
        <v>27</v>
      </c>
      <c r="N2550">
        <v>753.035280323405</v>
      </c>
      <c r="O2550">
        <v>888.61838705095704</v>
      </c>
      <c r="P2550">
        <v>651.34795027774101</v>
      </c>
      <c r="Q2550">
        <v>1056.2354597728599</v>
      </c>
      <c r="R2550">
        <v>758.88908720283303</v>
      </c>
      <c r="S2550">
        <v>850.73061417717804</v>
      </c>
      <c r="T2550">
        <v>568.28638473207695</v>
      </c>
      <c r="U2550">
        <v>668.07210471628696</v>
      </c>
      <c r="V2550">
        <v>651.053457137544</v>
      </c>
      <c r="W2550">
        <v>717.979854525056</v>
      </c>
    </row>
    <row r="2551" spans="1:23" x14ac:dyDescent="0.2">
      <c r="A2551" t="s">
        <v>5107</v>
      </c>
      <c r="B2551" s="3" t="str">
        <f>HYPERLINK("http://www.ncbi.nlm.nih.gov/gene/26364","Adgre5")</f>
        <v>Adgre5</v>
      </c>
      <c r="C2551">
        <v>26364</v>
      </c>
      <c r="D2551" t="s">
        <v>5108</v>
      </c>
      <c r="E2551" s="3" t="str">
        <f>HYPERLINK("http://genome.ucsc.edu/cgi-bin/hgTracks?db=mm10&amp;lastVirtModeType=default&amp;lastVirtModeExtraState=&amp;virtModeType=default&amp;virtMode=0&amp;nonVirtPosition=&amp;position=chr8:83723250-83741311","chr8:83723250-83741311")</f>
        <v>chr8:83723250-83741311</v>
      </c>
      <c r="F2551" t="s">
        <v>25</v>
      </c>
      <c r="G2551">
        <v>-0.64354160716762299</v>
      </c>
      <c r="H2551">
        <v>0.21677245690793101</v>
      </c>
      <c r="I2551">
        <v>-2.9687425069917999</v>
      </c>
      <c r="J2551">
        <v>2.9902104993360999E-3</v>
      </c>
      <c r="K2551">
        <v>1.5690403133467701E-2</v>
      </c>
      <c r="L2551" t="s">
        <v>26</v>
      </c>
      <c r="M2551" t="s">
        <v>27</v>
      </c>
      <c r="N2551">
        <v>94.037196702977894</v>
      </c>
      <c r="O2551">
        <v>123.10007878369601</v>
      </c>
      <c r="P2551">
        <v>72.240035142438998</v>
      </c>
      <c r="Q2551">
        <v>133.630211041374</v>
      </c>
      <c r="R2551">
        <v>95.951493784266205</v>
      </c>
      <c r="S2551">
        <v>139.71853152544901</v>
      </c>
      <c r="T2551">
        <v>54.995456586975202</v>
      </c>
      <c r="U2551">
        <v>68.520215868337104</v>
      </c>
      <c r="V2551">
        <v>92.692356609412997</v>
      </c>
      <c r="W2551">
        <v>72.752111505030598</v>
      </c>
    </row>
    <row r="2552" spans="1:23" x14ac:dyDescent="0.2">
      <c r="A2552" t="s">
        <v>5109</v>
      </c>
      <c r="B2552" s="3" t="str">
        <f>HYPERLINK("http://www.ncbi.nlm.nih.gov/gene/74996","Usp47")</f>
        <v>Usp47</v>
      </c>
      <c r="C2552">
        <v>74996</v>
      </c>
      <c r="D2552" t="s">
        <v>5110</v>
      </c>
      <c r="E2552" s="3" t="str">
        <f>HYPERLINK("http://genome.ucsc.edu/cgi-bin/hgTracks?db=mm10&amp;lastVirtModeType=default&amp;lastVirtModeExtraState=&amp;virtModeType=default&amp;virtMode=0&amp;nonVirtPosition=&amp;position=chr7:112023505-112111386","chr7:112023505-112111386")</f>
        <v>chr7:112023505-112111386</v>
      </c>
      <c r="F2552" t="s">
        <v>30</v>
      </c>
      <c r="G2552">
        <v>-0.29744902687549402</v>
      </c>
      <c r="H2552">
        <v>0.10021406190916</v>
      </c>
      <c r="I2552">
        <v>-2.9681366188421601</v>
      </c>
      <c r="J2552">
        <v>2.9961112964449299E-3</v>
      </c>
      <c r="K2552">
        <v>1.57152081357987E-2</v>
      </c>
      <c r="L2552" t="s">
        <v>26</v>
      </c>
      <c r="M2552" t="s">
        <v>27</v>
      </c>
      <c r="N2552">
        <v>926.26120645548394</v>
      </c>
      <c r="O2552">
        <v>1039.6706827129001</v>
      </c>
      <c r="P2552">
        <v>841.20409926242098</v>
      </c>
      <c r="Q2552">
        <v>1081.8479168891199</v>
      </c>
      <c r="R2552">
        <v>1036.8829407359001</v>
      </c>
      <c r="S2552">
        <v>1000.28119051368</v>
      </c>
      <c r="T2552">
        <v>847.84662238253395</v>
      </c>
      <c r="U2552">
        <v>800.83002296119002</v>
      </c>
      <c r="V2552">
        <v>906.32526462537203</v>
      </c>
      <c r="W2552">
        <v>809.81448708058701</v>
      </c>
    </row>
    <row r="2553" spans="1:23" x14ac:dyDescent="0.2">
      <c r="A2553" t="s">
        <v>5111</v>
      </c>
      <c r="B2553" s="3" t="str">
        <f>HYPERLINK("http://www.ncbi.nlm.nih.gov/gene/56224","Tspan5")</f>
        <v>Tspan5</v>
      </c>
      <c r="C2553">
        <v>56224</v>
      </c>
      <c r="D2553" t="s">
        <v>5112</v>
      </c>
      <c r="E2553" s="3" t="str">
        <f>HYPERLINK("http://genome.ucsc.edu/cgi-bin/hgTracks?db=mm10&amp;lastVirtModeType=default&amp;lastVirtModeExtraState=&amp;virtModeType=default&amp;virtMode=0&amp;nonVirtPosition=&amp;position=chr3:138742207-138904433","chr3:138742207-138904433")</f>
        <v>chr3:138742207-138904433</v>
      </c>
      <c r="F2553" t="s">
        <v>30</v>
      </c>
      <c r="G2553">
        <v>-0.46365867148729301</v>
      </c>
      <c r="H2553">
        <v>0.15623494059972001</v>
      </c>
      <c r="I2553">
        <v>-2.96770152507181</v>
      </c>
      <c r="J2553">
        <v>3.00035526355928E-3</v>
      </c>
      <c r="K2553">
        <v>1.5731306708818501E-2</v>
      </c>
      <c r="L2553" t="s">
        <v>26</v>
      </c>
      <c r="M2553" t="s">
        <v>27</v>
      </c>
      <c r="N2553">
        <v>215.32460798797899</v>
      </c>
      <c r="O2553">
        <v>259.98084308522601</v>
      </c>
      <c r="P2553">
        <v>181.832431665044</v>
      </c>
      <c r="Q2553">
        <v>252.22702334059301</v>
      </c>
      <c r="R2553">
        <v>298.47361900481201</v>
      </c>
      <c r="S2553">
        <v>229.24188691027399</v>
      </c>
      <c r="T2553">
        <v>142.07159618301901</v>
      </c>
      <c r="U2553">
        <v>203.419390859126</v>
      </c>
      <c r="V2553">
        <v>199.362132072626</v>
      </c>
      <c r="W2553">
        <v>182.47660754540499</v>
      </c>
    </row>
    <row r="2554" spans="1:23" x14ac:dyDescent="0.2">
      <c r="A2554" t="s">
        <v>5113</v>
      </c>
      <c r="B2554" s="3" t="str">
        <f>HYPERLINK("http://www.ncbi.nlm.nih.gov/gene/19250","Ptpn14")</f>
        <v>Ptpn14</v>
      </c>
      <c r="C2554">
        <v>19250</v>
      </c>
      <c r="D2554" t="s">
        <v>5114</v>
      </c>
      <c r="E2554" s="3" t="str">
        <f>HYPERLINK("http://genome.ucsc.edu/cgi-bin/hgTracks?db=mm10&amp;lastVirtModeType=default&amp;lastVirtModeExtraState=&amp;virtModeType=default&amp;virtMode=0&amp;nonVirtPosition=&amp;position=chr1:189728267-189876693","chr1:189728267-189876693")</f>
        <v>chr1:189728267-189876693</v>
      </c>
      <c r="F2554" t="s">
        <v>30</v>
      </c>
      <c r="G2554">
        <v>0.56184805691664497</v>
      </c>
      <c r="H2554">
        <v>0.18934092663232199</v>
      </c>
      <c r="I2554">
        <v>2.9673883344179801</v>
      </c>
      <c r="J2554">
        <v>3.0034135639903899E-3</v>
      </c>
      <c r="K2554">
        <v>1.5741178487434601E-2</v>
      </c>
      <c r="L2554" t="s">
        <v>26</v>
      </c>
      <c r="M2554" t="s">
        <v>27</v>
      </c>
      <c r="N2554">
        <v>323.69749122125302</v>
      </c>
      <c r="O2554">
        <v>252.340421330308</v>
      </c>
      <c r="P2554">
        <v>377.215293639462</v>
      </c>
      <c r="Q2554">
        <v>286.74816119294798</v>
      </c>
      <c r="R2554">
        <v>187.731183490956</v>
      </c>
      <c r="S2554">
        <v>282.54191930701899</v>
      </c>
      <c r="T2554">
        <v>279.560237650457</v>
      </c>
      <c r="U2554">
        <v>445.38140314419098</v>
      </c>
      <c r="V2554">
        <v>345.02154960170401</v>
      </c>
      <c r="W2554">
        <v>438.89798416149603</v>
      </c>
    </row>
    <row r="2555" spans="1:23" x14ac:dyDescent="0.2">
      <c r="A2555" t="s">
        <v>5115</v>
      </c>
      <c r="B2555" s="3" t="str">
        <f>HYPERLINK("http://www.ncbi.nlm.nih.gov/gene/66218","Ndufb9")</f>
        <v>Ndufb9</v>
      </c>
      <c r="C2555">
        <v>66218</v>
      </c>
      <c r="D2555" t="s">
        <v>5116</v>
      </c>
      <c r="E2555" s="3" t="str">
        <f>HYPERLINK("http://genome.ucsc.edu/cgi-bin/hgTracks?db=mm10&amp;lastVirtModeType=default&amp;lastVirtModeExtraState=&amp;virtModeType=default&amp;virtMode=0&amp;nonVirtPosition=&amp;position=chr15:58933809-58939489","chr15:58933809-58939489")</f>
        <v>chr15:58933809-58939489</v>
      </c>
      <c r="F2555" t="s">
        <v>30</v>
      </c>
      <c r="G2555">
        <v>-0.50649652990996996</v>
      </c>
      <c r="H2555">
        <v>0.170708600013913</v>
      </c>
      <c r="I2555">
        <v>-2.96702409760662</v>
      </c>
      <c r="J2555">
        <v>3.00697390583173E-3</v>
      </c>
      <c r="K2555">
        <v>1.5751301528158099E-2</v>
      </c>
      <c r="L2555" t="s">
        <v>26</v>
      </c>
      <c r="M2555" t="s">
        <v>27</v>
      </c>
      <c r="N2555">
        <v>288.70321309848703</v>
      </c>
      <c r="O2555">
        <v>353.10854420233397</v>
      </c>
      <c r="P2555">
        <v>240.39921477060099</v>
      </c>
      <c r="Q2555">
        <v>312.91741085521699</v>
      </c>
      <c r="R2555">
        <v>401.25170127965902</v>
      </c>
      <c r="S2555">
        <v>345.156520472127</v>
      </c>
      <c r="T2555">
        <v>174.152279192088</v>
      </c>
      <c r="U2555">
        <v>312.62348489928797</v>
      </c>
      <c r="V2555">
        <v>258.950075607249</v>
      </c>
      <c r="W2555">
        <v>215.87101938377899</v>
      </c>
    </row>
    <row r="2556" spans="1:23" x14ac:dyDescent="0.2">
      <c r="A2556" t="s">
        <v>5117</v>
      </c>
      <c r="B2556" s="3" t="str">
        <f>HYPERLINK("http://www.ncbi.nlm.nih.gov/gene/53416","Stk39")</f>
        <v>Stk39</v>
      </c>
      <c r="C2556">
        <v>53416</v>
      </c>
      <c r="D2556" t="s">
        <v>5118</v>
      </c>
      <c r="E2556" s="3" t="str">
        <f>HYPERLINK("http://genome.ucsc.edu/cgi-bin/hgTracks?db=mm10&amp;lastVirtModeType=default&amp;lastVirtModeExtraState=&amp;virtModeType=default&amp;virtMode=0&amp;nonVirtPosition=&amp;position=chr2:68210446-68471981","chr2:68210446-68471981")</f>
        <v>chr2:68210446-68471981</v>
      </c>
      <c r="F2556" t="s">
        <v>25</v>
      </c>
      <c r="G2556">
        <v>-0.58246341770488297</v>
      </c>
      <c r="H2556">
        <v>0.196321809015025</v>
      </c>
      <c r="I2556">
        <v>-2.9668808607010302</v>
      </c>
      <c r="J2556">
        <v>3.00837507231092E-3</v>
      </c>
      <c r="K2556">
        <v>1.5751301528158099E-2</v>
      </c>
      <c r="L2556" t="s">
        <v>26</v>
      </c>
      <c r="M2556" t="s">
        <v>27</v>
      </c>
      <c r="N2556">
        <v>309.48542510689498</v>
      </c>
      <c r="O2556">
        <v>388.11013266939301</v>
      </c>
      <c r="P2556">
        <v>250.51689443502099</v>
      </c>
      <c r="Q2556">
        <v>297.327219567057</v>
      </c>
      <c r="R2556">
        <v>477.86119434061402</v>
      </c>
      <c r="S2556">
        <v>389.14198410050898</v>
      </c>
      <c r="T2556">
        <v>197.06705276999401</v>
      </c>
      <c r="U2556">
        <v>334.03605235814302</v>
      </c>
      <c r="V2556">
        <v>257.47876835948102</v>
      </c>
      <c r="W2556">
        <v>213.485704252467</v>
      </c>
    </row>
    <row r="2557" spans="1:23" x14ac:dyDescent="0.2">
      <c r="A2557" t="s">
        <v>5119</v>
      </c>
      <c r="B2557" s="3" t="str">
        <f>HYPERLINK("http://www.ncbi.nlm.nih.gov/gene/229317","Eif2a")</f>
        <v>Eif2a</v>
      </c>
      <c r="C2557">
        <v>229317</v>
      </c>
      <c r="D2557" t="s">
        <v>5120</v>
      </c>
      <c r="E2557" s="3" t="str">
        <f>HYPERLINK("http://genome.ucsc.edu/cgi-bin/hgTracks?db=mm10&amp;lastVirtModeType=default&amp;lastVirtModeExtraState=&amp;virtModeType=default&amp;virtMode=0&amp;nonVirtPosition=&amp;position=chr3:58525820-58557501","chr3:58525820-58557501")</f>
        <v>chr3:58525820-58557501</v>
      </c>
      <c r="F2557" t="s">
        <v>30</v>
      </c>
      <c r="G2557">
        <v>-0.39415544426718502</v>
      </c>
      <c r="H2557">
        <v>0.13285407619311501</v>
      </c>
      <c r="I2557">
        <v>-2.9668298900686101</v>
      </c>
      <c r="J2557">
        <v>3.0088738189103501E-3</v>
      </c>
      <c r="K2557">
        <v>1.5751301528158099E-2</v>
      </c>
      <c r="L2557" t="s">
        <v>26</v>
      </c>
      <c r="M2557" t="s">
        <v>27</v>
      </c>
      <c r="N2557">
        <v>272.43866264682498</v>
      </c>
      <c r="O2557">
        <v>315.30297564685497</v>
      </c>
      <c r="P2557">
        <v>240.29042789680199</v>
      </c>
      <c r="Q2557">
        <v>314.03099594722897</v>
      </c>
      <c r="R2557">
        <v>336.399110619147</v>
      </c>
      <c r="S2557">
        <v>295.47882037418998</v>
      </c>
      <c r="T2557">
        <v>274.97728293487597</v>
      </c>
      <c r="U2557">
        <v>196.99562062146899</v>
      </c>
      <c r="V2557">
        <v>243.50134950568</v>
      </c>
      <c r="W2557">
        <v>245.68745852518501</v>
      </c>
    </row>
    <row r="2558" spans="1:23" x14ac:dyDescent="0.2">
      <c r="A2558" t="s">
        <v>5121</v>
      </c>
      <c r="B2558" s="3" t="str">
        <f>HYPERLINK("http://www.ncbi.nlm.nih.gov/gene/70430","Tbce")</f>
        <v>Tbce</v>
      </c>
      <c r="C2558">
        <v>70430</v>
      </c>
      <c r="D2558" t="s">
        <v>5122</v>
      </c>
      <c r="E2558" s="3" t="str">
        <f>HYPERLINK("http://genome.ucsc.edu/cgi-bin/hgTracks?db=mm10&amp;lastVirtModeType=default&amp;lastVirtModeExtraState=&amp;virtModeType=default&amp;virtMode=0&amp;nonVirtPosition=&amp;position=chr13:13997950-14039638","chr13:13997950-14039638")</f>
        <v>chr13:13997950-14039638</v>
      </c>
      <c r="F2558" t="s">
        <v>25</v>
      </c>
      <c r="G2558">
        <v>0.54372445490480403</v>
      </c>
      <c r="H2558">
        <v>0.18328615266748899</v>
      </c>
      <c r="I2558">
        <v>2.96653318863215</v>
      </c>
      <c r="J2558">
        <v>3.01177853416591E-3</v>
      </c>
      <c r="K2558">
        <v>1.5760346366164801E-2</v>
      </c>
      <c r="L2558" t="s">
        <v>26</v>
      </c>
      <c r="M2558" t="s">
        <v>27</v>
      </c>
      <c r="N2558">
        <v>152.48562068166001</v>
      </c>
      <c r="O2558">
        <v>117.94513647053201</v>
      </c>
      <c r="P2558">
        <v>178.39098384000701</v>
      </c>
      <c r="Q2558">
        <v>100.222658281031</v>
      </c>
      <c r="R2558">
        <v>147.53016237976101</v>
      </c>
      <c r="S2558">
        <v>106.08258875080401</v>
      </c>
      <c r="T2558">
        <v>197.06705276999401</v>
      </c>
      <c r="U2558">
        <v>162.735512687301</v>
      </c>
      <c r="V2558">
        <v>158.16552913510901</v>
      </c>
      <c r="W2558">
        <v>195.595840767623</v>
      </c>
    </row>
    <row r="2559" spans="1:23" x14ac:dyDescent="0.2">
      <c r="A2559" t="s">
        <v>5123</v>
      </c>
      <c r="B2559" s="3" t="str">
        <f>HYPERLINK("http://www.ncbi.nlm.nih.gov/gene/13113","Cyp3a13")</f>
        <v>Cyp3a13</v>
      </c>
      <c r="C2559">
        <v>13113</v>
      </c>
      <c r="D2559" t="s">
        <v>5124</v>
      </c>
      <c r="E2559" s="3" t="str">
        <f>HYPERLINK("http://genome.ucsc.edu/cgi-bin/hgTracks?db=mm10&amp;lastVirtModeType=default&amp;lastVirtModeExtraState=&amp;virtModeType=default&amp;virtMode=0&amp;nonVirtPosition=&amp;position=chr5:137892932-137921619","chr5:137892932-137921619")</f>
        <v>chr5:137892932-137921619</v>
      </c>
      <c r="F2559" t="s">
        <v>25</v>
      </c>
      <c r="G2559">
        <v>0.85749290847278103</v>
      </c>
      <c r="H2559">
        <v>0.289146865689976</v>
      </c>
      <c r="I2559">
        <v>2.96559641560212</v>
      </c>
      <c r="J2559">
        <v>3.0209663638666399E-3</v>
      </c>
      <c r="K2559">
        <v>1.58022502259914E-2</v>
      </c>
      <c r="L2559" t="s">
        <v>26</v>
      </c>
      <c r="M2559" t="s">
        <v>27</v>
      </c>
      <c r="N2559">
        <v>31.7141845430899</v>
      </c>
      <c r="O2559">
        <v>19.1724129200961</v>
      </c>
      <c r="P2559">
        <v>41.120513260335301</v>
      </c>
      <c r="Q2559">
        <v>22.271701840228999</v>
      </c>
      <c r="R2559">
        <v>19.721255639453901</v>
      </c>
      <c r="S2559">
        <v>15.5242812806054</v>
      </c>
      <c r="T2559">
        <v>64.161366018137699</v>
      </c>
      <c r="U2559">
        <v>27.836337696512</v>
      </c>
      <c r="V2559">
        <v>42.6679101852854</v>
      </c>
      <c r="W2559">
        <v>29.816439141406001</v>
      </c>
    </row>
    <row r="2560" spans="1:23" x14ac:dyDescent="0.2">
      <c r="A2560" t="s">
        <v>5125</v>
      </c>
      <c r="B2560" s="3" t="str">
        <f>HYPERLINK("http://www.ncbi.nlm.nih.gov/gene/101883","Igflr1")</f>
        <v>Igflr1</v>
      </c>
      <c r="C2560">
        <v>101883</v>
      </c>
      <c r="D2560" t="s">
        <v>5126</v>
      </c>
      <c r="E2560" s="3" t="str">
        <f>HYPERLINK("http://genome.ucsc.edu/cgi-bin/hgTracks?db=mm10&amp;lastVirtModeType=default&amp;lastVirtModeExtraState=&amp;virtModeType=default&amp;virtMode=0&amp;nonVirtPosition=&amp;position=chr7:30565426-30567962","chr7:30565426-30567962")</f>
        <v>chr7:30565426-30567962</v>
      </c>
      <c r="F2560" t="s">
        <v>30</v>
      </c>
      <c r="G2560">
        <v>0.93471588015893003</v>
      </c>
      <c r="H2560">
        <v>0.31521193408863901</v>
      </c>
      <c r="I2560">
        <v>2.96535688872771</v>
      </c>
      <c r="J2560">
        <v>3.0233197339991401E-3</v>
      </c>
      <c r="K2560">
        <v>1.5808385223733901E-2</v>
      </c>
      <c r="L2560" t="s">
        <v>26</v>
      </c>
      <c r="M2560" t="s">
        <v>27</v>
      </c>
      <c r="N2560">
        <v>19.3989091525204</v>
      </c>
      <c r="O2560">
        <v>11.3491404257125</v>
      </c>
      <c r="P2560">
        <v>25.436235697626302</v>
      </c>
      <c r="Q2560">
        <v>12.2494360121259</v>
      </c>
      <c r="R2560">
        <v>8.3436081551535803</v>
      </c>
      <c r="S2560">
        <v>13.454377109857999</v>
      </c>
      <c r="T2560">
        <v>27.497728293487601</v>
      </c>
      <c r="U2560">
        <v>23.553824204740899</v>
      </c>
      <c r="V2560">
        <v>22.069608716526901</v>
      </c>
      <c r="W2560">
        <v>28.623781575749799</v>
      </c>
    </row>
    <row r="2561" spans="1:23" x14ac:dyDescent="0.2">
      <c r="A2561" t="s">
        <v>5127</v>
      </c>
      <c r="B2561" s="3" t="str">
        <f>HYPERLINK("http://www.ncbi.nlm.nih.gov/gene/67057","Yaf2")</f>
        <v>Yaf2</v>
      </c>
      <c r="C2561">
        <v>67057</v>
      </c>
      <c r="D2561" t="s">
        <v>5128</v>
      </c>
      <c r="E2561" s="3" t="str">
        <f>HYPERLINK("http://genome.ucsc.edu/cgi-bin/hgTracks?db=mm10&amp;lastVirtModeType=default&amp;lastVirtModeExtraState=&amp;virtModeType=default&amp;virtMode=0&amp;nonVirtPosition=&amp;position=chr15:93283832-93336935","chr15:93283832-93336935")</f>
        <v>chr15:93283832-93336935</v>
      </c>
      <c r="F2561" t="s">
        <v>25</v>
      </c>
      <c r="G2561">
        <v>-0.38425143325316602</v>
      </c>
      <c r="H2561">
        <v>0.12962341232997501</v>
      </c>
      <c r="I2561">
        <v>-2.9643675193104602</v>
      </c>
      <c r="J2561">
        <v>3.0330580948068299E-3</v>
      </c>
      <c r="K2561">
        <v>1.58531151239494E-2</v>
      </c>
      <c r="L2561" t="s">
        <v>26</v>
      </c>
      <c r="M2561" t="s">
        <v>27</v>
      </c>
      <c r="N2561">
        <v>216.77312126602899</v>
      </c>
      <c r="O2561">
        <v>252.17172726527599</v>
      </c>
      <c r="P2561">
        <v>190.22416676659401</v>
      </c>
      <c r="Q2561">
        <v>237.19362459843899</v>
      </c>
      <c r="R2561">
        <v>259.03110772590401</v>
      </c>
      <c r="S2561">
        <v>260.29044947148401</v>
      </c>
      <c r="T2561">
        <v>187.90114333883199</v>
      </c>
      <c r="U2561">
        <v>179.86556665438499</v>
      </c>
      <c r="V2561">
        <v>202.30474656816301</v>
      </c>
      <c r="W2561">
        <v>190.82521050499801</v>
      </c>
    </row>
    <row r="2562" spans="1:23" x14ac:dyDescent="0.2">
      <c r="A2562" t="s">
        <v>5129</v>
      </c>
      <c r="B2562" s="3" t="str">
        <f>HYPERLINK("http://www.ncbi.nlm.nih.gov/gene/20397","Sgpl1")</f>
        <v>Sgpl1</v>
      </c>
      <c r="C2562">
        <v>20397</v>
      </c>
      <c r="D2562" t="s">
        <v>5130</v>
      </c>
      <c r="E2562" s="3" t="str">
        <f>HYPERLINK("http://genome.ucsc.edu/cgi-bin/hgTracks?db=mm10&amp;lastVirtModeType=default&amp;lastVirtModeExtraState=&amp;virtModeType=default&amp;virtMode=0&amp;nonVirtPosition=&amp;position=chr10:61098641-61147684","chr10:61098641-61147684")</f>
        <v>chr10:61098641-61147684</v>
      </c>
      <c r="F2562" t="s">
        <v>25</v>
      </c>
      <c r="G2562">
        <v>-0.45782393733792398</v>
      </c>
      <c r="H2562">
        <v>0.15448345009180101</v>
      </c>
      <c r="I2562">
        <v>-2.9635791864168199</v>
      </c>
      <c r="J2562">
        <v>3.0408381255148001E-3</v>
      </c>
      <c r="K2562">
        <v>1.5887578360814902E-2</v>
      </c>
      <c r="L2562" t="s">
        <v>26</v>
      </c>
      <c r="M2562" t="s">
        <v>27</v>
      </c>
      <c r="N2562">
        <v>826.45995485695403</v>
      </c>
      <c r="O2562">
        <v>987.41834361742701</v>
      </c>
      <c r="P2562">
        <v>705.7411632866</v>
      </c>
      <c r="Q2562">
        <v>1194.87680372829</v>
      </c>
      <c r="R2562">
        <v>878.35438578798596</v>
      </c>
      <c r="S2562">
        <v>889.02384133600401</v>
      </c>
      <c r="T2562">
        <v>637.03070546579602</v>
      </c>
      <c r="U2562">
        <v>736.59232058462396</v>
      </c>
      <c r="V2562">
        <v>823.19640512645401</v>
      </c>
      <c r="W2562">
        <v>626.14522196952601</v>
      </c>
    </row>
    <row r="2563" spans="1:23" x14ac:dyDescent="0.2">
      <c r="A2563" t="s">
        <v>5131</v>
      </c>
      <c r="B2563" s="3" t="str">
        <f>HYPERLINK("http://www.ncbi.nlm.nih.gov/gene/329015","Atg2a")</f>
        <v>Atg2a</v>
      </c>
      <c r="C2563">
        <v>329015</v>
      </c>
      <c r="D2563" t="s">
        <v>5132</v>
      </c>
      <c r="E2563" s="3" t="str">
        <f>HYPERLINK("http://genome.ucsc.edu/cgi-bin/hgTracks?db=mm10&amp;lastVirtModeType=default&amp;lastVirtModeExtraState=&amp;virtModeType=default&amp;virtMode=0&amp;nonVirtPosition=&amp;position=chr19:6241667-6262304","chr19:6241667-6262304")</f>
        <v>chr19:6241667-6262304</v>
      </c>
      <c r="F2563" t="s">
        <v>30</v>
      </c>
      <c r="G2563">
        <v>0.483412015554537</v>
      </c>
      <c r="H2563">
        <v>0.163181253912734</v>
      </c>
      <c r="I2563">
        <v>2.9624237096073198</v>
      </c>
      <c r="J2563">
        <v>3.0522743813986902E-3</v>
      </c>
      <c r="K2563">
        <v>1.5941110078513999E-2</v>
      </c>
      <c r="L2563" t="s">
        <v>26</v>
      </c>
      <c r="M2563" t="s">
        <v>27</v>
      </c>
      <c r="N2563">
        <v>240.40554535135701</v>
      </c>
      <c r="O2563">
        <v>192.69883550143899</v>
      </c>
      <c r="P2563">
        <v>276.18557773879598</v>
      </c>
      <c r="Q2563">
        <v>206.57003456812399</v>
      </c>
      <c r="R2563">
        <v>150.564201708908</v>
      </c>
      <c r="S2563">
        <v>220.96227022728399</v>
      </c>
      <c r="T2563">
        <v>311.64092065952599</v>
      </c>
      <c r="U2563">
        <v>261.23332299803502</v>
      </c>
      <c r="V2563">
        <v>251.59353936840699</v>
      </c>
      <c r="W2563">
        <v>280.27452792921599</v>
      </c>
    </row>
    <row r="2564" spans="1:23" x14ac:dyDescent="0.2">
      <c r="A2564" t="s">
        <v>5133</v>
      </c>
      <c r="B2564" s="3" t="str">
        <f>HYPERLINK("http://www.ncbi.nlm.nih.gov/gene/69938","Scrn1")</f>
        <v>Scrn1</v>
      </c>
      <c r="C2564">
        <v>69938</v>
      </c>
      <c r="D2564" t="s">
        <v>5134</v>
      </c>
      <c r="E2564" s="3" t="str">
        <f>HYPERLINK("http://genome.ucsc.edu/cgi-bin/hgTracks?db=mm10&amp;lastVirtModeType=default&amp;lastVirtModeExtraState=&amp;virtModeType=default&amp;virtMode=0&amp;nonVirtPosition=&amp;position=chr6:54508815-54566382","chr6:54508815-54566382")</f>
        <v>chr6:54508815-54566382</v>
      </c>
      <c r="F2564" t="s">
        <v>25</v>
      </c>
      <c r="G2564">
        <v>-0.48162279641460098</v>
      </c>
      <c r="H2564">
        <v>0.16273869174436201</v>
      </c>
      <c r="I2564">
        <v>-2.95948548714621</v>
      </c>
      <c r="J2564">
        <v>3.0815321592255799E-3</v>
      </c>
      <c r="K2564">
        <v>1.6082708580041401E-2</v>
      </c>
      <c r="L2564" t="s">
        <v>26</v>
      </c>
      <c r="M2564" t="s">
        <v>27</v>
      </c>
      <c r="N2564">
        <v>957.48287438815601</v>
      </c>
      <c r="O2564">
        <v>1152.0488651508001</v>
      </c>
      <c r="P2564">
        <v>811.55838131617304</v>
      </c>
      <c r="Q2564">
        <v>1442.09269415483</v>
      </c>
      <c r="R2564">
        <v>1145.7291016690399</v>
      </c>
      <c r="S2564">
        <v>868.32479962852995</v>
      </c>
      <c r="T2564">
        <v>792.85116579555904</v>
      </c>
      <c r="U2564">
        <v>783.69996899410603</v>
      </c>
      <c r="V2564">
        <v>812.16160076819006</v>
      </c>
      <c r="W2564">
        <v>857.52078970683601</v>
      </c>
    </row>
    <row r="2565" spans="1:23" x14ac:dyDescent="0.2">
      <c r="A2565" t="s">
        <v>5135</v>
      </c>
      <c r="B2565" s="3" t="str">
        <f>HYPERLINK("http://www.ncbi.nlm.nih.gov/gene/78748","Rassf10")</f>
        <v>Rassf10</v>
      </c>
      <c r="C2565">
        <v>78748</v>
      </c>
      <c r="D2565" t="s">
        <v>5136</v>
      </c>
      <c r="E2565" s="3" t="str">
        <f>HYPERLINK("http://genome.ucsc.edu/cgi-bin/hgTracks?db=mm10&amp;lastVirtModeType=default&amp;lastVirtModeExtraState=&amp;virtModeType=default&amp;virtMode=0&amp;nonVirtPosition=&amp;position=chr7:112953961-112957458","chr7:112953961-112957458")</f>
        <v>chr7:112953961-112957458</v>
      </c>
      <c r="F2565" t="s">
        <v>30</v>
      </c>
      <c r="G2565">
        <v>1.1163959243063999</v>
      </c>
      <c r="H2565">
        <v>0.37722962281849698</v>
      </c>
      <c r="I2565">
        <v>2.9594598535639101</v>
      </c>
      <c r="J2565">
        <v>3.0817885308331199E-3</v>
      </c>
      <c r="K2565">
        <v>1.6082708580041401E-2</v>
      </c>
      <c r="L2565" t="s">
        <v>26</v>
      </c>
      <c r="M2565" t="s">
        <v>27</v>
      </c>
      <c r="N2565">
        <v>19.3483789344405</v>
      </c>
      <c r="O2565">
        <v>8.7958659958215204</v>
      </c>
      <c r="P2565">
        <v>27.2627636384046</v>
      </c>
      <c r="Q2565">
        <v>11.692643466120201</v>
      </c>
      <c r="R2565">
        <v>2.2755294968600701</v>
      </c>
      <c r="S2565">
        <v>12.419425024484299</v>
      </c>
      <c r="T2565">
        <v>27.497728293487601</v>
      </c>
      <c r="U2565">
        <v>12.847540475313201</v>
      </c>
      <c r="V2565">
        <v>35.311373946442998</v>
      </c>
      <c r="W2565">
        <v>33.394411838374701</v>
      </c>
    </row>
    <row r="2566" spans="1:23" x14ac:dyDescent="0.2">
      <c r="A2566" t="s">
        <v>5137</v>
      </c>
      <c r="B2566" s="3" t="str">
        <f>HYPERLINK("http://www.ncbi.nlm.nih.gov/gene/68799","Rgmb")</f>
        <v>Rgmb</v>
      </c>
      <c r="C2566">
        <v>68799</v>
      </c>
      <c r="D2566" t="s">
        <v>5138</v>
      </c>
      <c r="E2566" s="3" t="str">
        <f>HYPERLINK("http://genome.ucsc.edu/cgi-bin/hgTracks?db=mm10&amp;lastVirtModeType=default&amp;lastVirtModeExtraState=&amp;virtModeType=default&amp;virtMode=0&amp;nonVirtPosition=&amp;position=chr17:15806252-15826586","chr17:15806252-15826586")</f>
        <v>chr17:15806252-15826586</v>
      </c>
      <c r="F2566" t="s">
        <v>25</v>
      </c>
      <c r="G2566">
        <v>0.53967995134453095</v>
      </c>
      <c r="H2566">
        <v>0.18237269892028701</v>
      </c>
      <c r="I2566">
        <v>2.95921458935265</v>
      </c>
      <c r="J2566">
        <v>3.0842424988530999E-3</v>
      </c>
      <c r="K2566">
        <v>1.60892447612551E-2</v>
      </c>
      <c r="L2566" t="s">
        <v>26</v>
      </c>
      <c r="M2566" t="s">
        <v>27</v>
      </c>
      <c r="N2566">
        <v>115.173040435066</v>
      </c>
      <c r="O2566">
        <v>89.423299427907097</v>
      </c>
      <c r="P2566">
        <v>134.485346190434</v>
      </c>
      <c r="Q2566">
        <v>87.973222268904493</v>
      </c>
      <c r="R2566">
        <v>101.640317526416</v>
      </c>
      <c r="S2566">
        <v>78.656358488400798</v>
      </c>
      <c r="T2566">
        <v>132.90568675185699</v>
      </c>
      <c r="U2566">
        <v>145.60545872021601</v>
      </c>
      <c r="V2566">
        <v>110.348043582635</v>
      </c>
      <c r="W2566">
        <v>149.08219570703</v>
      </c>
    </row>
    <row r="2567" spans="1:23" x14ac:dyDescent="0.2">
      <c r="A2567" t="s">
        <v>5139</v>
      </c>
      <c r="B2567" s="3" t="str">
        <f>HYPERLINK("http://www.ncbi.nlm.nih.gov/gene/26398","Map2k4")</f>
        <v>Map2k4</v>
      </c>
      <c r="C2567">
        <v>26398</v>
      </c>
      <c r="D2567" t="s">
        <v>5140</v>
      </c>
      <c r="E2567" s="3" t="str">
        <f>HYPERLINK("http://genome.ucsc.edu/cgi-bin/hgTracks?db=mm10&amp;lastVirtModeType=default&amp;lastVirtModeExtraState=&amp;virtModeType=default&amp;virtMode=0&amp;nonVirtPosition=&amp;position=chr11:65688243-65788359","chr11:65688243-65788359")</f>
        <v>chr11:65688243-65788359</v>
      </c>
      <c r="F2567" t="s">
        <v>25</v>
      </c>
      <c r="G2567">
        <v>-0.43377907147414102</v>
      </c>
      <c r="H2567">
        <v>0.14666608640635501</v>
      </c>
      <c r="I2567">
        <v>-2.95759627943101</v>
      </c>
      <c r="J2567">
        <v>3.1004790632684601E-3</v>
      </c>
      <c r="K2567">
        <v>1.61645171771694E-2</v>
      </c>
      <c r="L2567" t="s">
        <v>26</v>
      </c>
      <c r="M2567" t="s">
        <v>27</v>
      </c>
      <c r="N2567">
        <v>326.38176793343899</v>
      </c>
      <c r="O2567">
        <v>389.550671216144</v>
      </c>
      <c r="P2567">
        <v>279.00509047141003</v>
      </c>
      <c r="Q2567">
        <v>342.98420833952702</v>
      </c>
      <c r="R2567">
        <v>430.83358473883902</v>
      </c>
      <c r="S2567">
        <v>394.83422057006499</v>
      </c>
      <c r="T2567">
        <v>215.39887163231899</v>
      </c>
      <c r="U2567">
        <v>286.92840394866198</v>
      </c>
      <c r="V2567">
        <v>286.90491331484998</v>
      </c>
      <c r="W2567">
        <v>326.78817298980999</v>
      </c>
    </row>
    <row r="2568" spans="1:23" x14ac:dyDescent="0.2">
      <c r="A2568" t="s">
        <v>5141</v>
      </c>
      <c r="B2568" s="3" t="str">
        <f>HYPERLINK("http://www.ncbi.nlm.nih.gov/gene/22404","Wiz")</f>
        <v>Wiz</v>
      </c>
      <c r="C2568">
        <v>22404</v>
      </c>
      <c r="D2568" t="s">
        <v>5142</v>
      </c>
      <c r="E2568" s="3" t="str">
        <f>HYPERLINK("http://genome.ucsc.edu/cgi-bin/hgTracks?db=mm10&amp;lastVirtModeType=default&amp;lastVirtModeExtraState=&amp;virtModeType=default&amp;virtMode=0&amp;nonVirtPosition=&amp;position=chr17:32354049-32387817","chr17:32354049-32387817")</f>
        <v>chr17:32354049-32387817</v>
      </c>
      <c r="F2568" t="s">
        <v>25</v>
      </c>
      <c r="G2568">
        <v>0.56585888377873195</v>
      </c>
      <c r="H2568">
        <v>0.19132781442065899</v>
      </c>
      <c r="I2568">
        <v>2.9575359207031799</v>
      </c>
      <c r="J2568">
        <v>3.1010861495144701E-3</v>
      </c>
      <c r="K2568">
        <v>1.61645171771694E-2</v>
      </c>
      <c r="L2568" t="s">
        <v>26</v>
      </c>
      <c r="M2568" t="s">
        <v>27</v>
      </c>
      <c r="N2568">
        <v>235.86669772316799</v>
      </c>
      <c r="O2568">
        <v>183.44746954484199</v>
      </c>
      <c r="P2568">
        <v>275.18111885691201</v>
      </c>
      <c r="Q2568">
        <v>149.22040232953401</v>
      </c>
      <c r="R2568">
        <v>157.39079019948801</v>
      </c>
      <c r="S2568">
        <v>243.73121610550501</v>
      </c>
      <c r="T2568">
        <v>219.98182634790101</v>
      </c>
      <c r="U2568">
        <v>319.04725513694501</v>
      </c>
      <c r="V2568">
        <v>295.73275680146099</v>
      </c>
      <c r="W2568">
        <v>265.96263714134102</v>
      </c>
    </row>
    <row r="2569" spans="1:23" x14ac:dyDescent="0.2">
      <c r="A2569" t="s">
        <v>5143</v>
      </c>
      <c r="B2569" s="3" t="str">
        <f>HYPERLINK("http://www.ncbi.nlm.nih.gov/gene/329739","Fam102b")</f>
        <v>Fam102b</v>
      </c>
      <c r="C2569">
        <v>329739</v>
      </c>
      <c r="D2569" t="s">
        <v>5144</v>
      </c>
      <c r="E2569" s="3" t="str">
        <f>HYPERLINK("http://genome.ucsc.edu/cgi-bin/hgTracks?db=mm10&amp;lastVirtModeType=default&amp;lastVirtModeExtraState=&amp;virtModeType=default&amp;virtMode=0&amp;nonVirtPosition=&amp;position=chr3:108970996-109027607","chr3:108970996-109027607")</f>
        <v>chr3:108970996-109027607</v>
      </c>
      <c r="F2569" t="s">
        <v>25</v>
      </c>
      <c r="G2569">
        <v>-0.34847808816328302</v>
      </c>
      <c r="H2569">
        <v>0.11786990576381701</v>
      </c>
      <c r="I2569">
        <v>-2.9564636189796301</v>
      </c>
      <c r="J2569">
        <v>3.1118894097204599E-3</v>
      </c>
      <c r="K2569">
        <v>1.6214517932127099E-2</v>
      </c>
      <c r="L2569" t="s">
        <v>26</v>
      </c>
      <c r="M2569" t="s">
        <v>27</v>
      </c>
      <c r="N2569">
        <v>650.08378840383796</v>
      </c>
      <c r="O2569">
        <v>742.31980098727797</v>
      </c>
      <c r="P2569">
        <v>580.906778966258</v>
      </c>
      <c r="Q2569">
        <v>809.01956934631801</v>
      </c>
      <c r="R2569">
        <v>712.61998743334402</v>
      </c>
      <c r="S2569">
        <v>705.31984618217302</v>
      </c>
      <c r="T2569">
        <v>568.28638473207695</v>
      </c>
      <c r="U2569">
        <v>653.08330749508798</v>
      </c>
      <c r="V2569">
        <v>577.48809474912105</v>
      </c>
      <c r="W2569">
        <v>524.76932888874603</v>
      </c>
    </row>
    <row r="2570" spans="1:23" x14ac:dyDescent="0.2">
      <c r="A2570" t="s">
        <v>5145</v>
      </c>
      <c r="B2570" s="3" t="str">
        <f>HYPERLINK("http://www.ncbi.nlm.nih.gov/gene/226841","Vash2")</f>
        <v>Vash2</v>
      </c>
      <c r="C2570">
        <v>226841</v>
      </c>
      <c r="D2570" t="s">
        <v>5146</v>
      </c>
      <c r="E2570" s="3" t="str">
        <f>HYPERLINK("http://genome.ucsc.edu/cgi-bin/hgTracks?db=mm10&amp;lastVirtModeType=default&amp;lastVirtModeExtraState=&amp;virtModeType=default&amp;virtMode=0&amp;nonVirtPosition=&amp;position=chr1:190947645-190978998","chr1:190947645-190978998")</f>
        <v>chr1:190947645-190978998</v>
      </c>
      <c r="F2570" t="s">
        <v>25</v>
      </c>
      <c r="G2570">
        <v>0.74808173985427895</v>
      </c>
      <c r="H2570">
        <v>0.25304850233120901</v>
      </c>
      <c r="I2570">
        <v>2.95627807697961</v>
      </c>
      <c r="J2570">
        <v>3.1137621928606402E-3</v>
      </c>
      <c r="K2570">
        <v>1.6217965587163301E-2</v>
      </c>
      <c r="L2570" t="s">
        <v>26</v>
      </c>
      <c r="M2570" t="s">
        <v>27</v>
      </c>
      <c r="N2570">
        <v>78.743764550373101</v>
      </c>
      <c r="O2570">
        <v>54.442438800086599</v>
      </c>
      <c r="P2570">
        <v>96.969758863087904</v>
      </c>
      <c r="Q2570">
        <v>33.407552760343499</v>
      </c>
      <c r="R2570">
        <v>59.543021834505097</v>
      </c>
      <c r="S2570">
        <v>70.376741805411299</v>
      </c>
      <c r="T2570">
        <v>73.327275449300203</v>
      </c>
      <c r="U2570">
        <v>128.47540475313201</v>
      </c>
      <c r="V2570">
        <v>88.278434866107602</v>
      </c>
      <c r="W2570">
        <v>97.7979203838117</v>
      </c>
    </row>
    <row r="2571" spans="1:23" x14ac:dyDescent="0.2">
      <c r="A2571" t="s">
        <v>5147</v>
      </c>
      <c r="B2571" s="3" t="str">
        <f>HYPERLINK("http://www.ncbi.nlm.nih.gov/gene/19328","Rab12")</f>
        <v>Rab12</v>
      </c>
      <c r="C2571">
        <v>19328</v>
      </c>
      <c r="D2571" t="s">
        <v>5148</v>
      </c>
      <c r="E2571" s="3" t="str">
        <f>HYPERLINK("http://genome.ucsc.edu/cgi-bin/hgTracks?db=mm10&amp;lastVirtModeType=default&amp;lastVirtModeExtraState=&amp;virtModeType=default&amp;virtMode=0&amp;nonVirtPosition=&amp;position=chr17:66494511-66519670","chr17:66494511-66519670")</f>
        <v>chr17:66494511-66519670</v>
      </c>
      <c r="F2571" t="s">
        <v>25</v>
      </c>
      <c r="G2571">
        <v>-0.331884580039087</v>
      </c>
      <c r="H2571">
        <v>0.112343889643729</v>
      </c>
      <c r="I2571">
        <v>-2.9541845229996802</v>
      </c>
      <c r="J2571">
        <v>3.13496497510701E-3</v>
      </c>
      <c r="K2571">
        <v>1.6317352319698199E-2</v>
      </c>
      <c r="L2571" t="s">
        <v>26</v>
      </c>
      <c r="M2571" t="s">
        <v>27</v>
      </c>
      <c r="N2571">
        <v>355.08013664038998</v>
      </c>
      <c r="O2571">
        <v>399.91903499215601</v>
      </c>
      <c r="P2571">
        <v>321.45096287656497</v>
      </c>
      <c r="Q2571">
        <v>403.67459585415099</v>
      </c>
      <c r="R2571">
        <v>406.94052502180898</v>
      </c>
      <c r="S2571">
        <v>389.14198410050898</v>
      </c>
      <c r="T2571">
        <v>362.05342253091999</v>
      </c>
      <c r="U2571">
        <v>308.34097140751697</v>
      </c>
      <c r="V2571">
        <v>314.85975102244998</v>
      </c>
      <c r="W2571">
        <v>300.54970654537198</v>
      </c>
    </row>
    <row r="2572" spans="1:23" x14ac:dyDescent="0.2">
      <c r="A2572" t="s">
        <v>5149</v>
      </c>
      <c r="B2572" s="3" t="str">
        <f>HYPERLINK("http://www.ncbi.nlm.nih.gov/gene/67959","Puf60")</f>
        <v>Puf60</v>
      </c>
      <c r="C2572">
        <v>67959</v>
      </c>
      <c r="D2572" t="s">
        <v>5150</v>
      </c>
      <c r="E2572" s="3" t="str">
        <f>HYPERLINK("http://genome.ucsc.edu/cgi-bin/hgTracks?db=mm10&amp;lastVirtModeType=default&amp;lastVirtModeExtraState=&amp;virtModeType=default&amp;virtMode=0&amp;nonVirtPosition=&amp;position=chr15:76070181-76080946","chr15:76070181-76080946")</f>
        <v>chr15:76070181-76080946</v>
      </c>
      <c r="F2572" t="s">
        <v>25</v>
      </c>
      <c r="G2572">
        <v>-0.41542825708743603</v>
      </c>
      <c r="H2572">
        <v>0.14062864430821201</v>
      </c>
      <c r="I2572">
        <v>-2.9540799396242101</v>
      </c>
      <c r="J2572">
        <v>3.1360276026292E-3</v>
      </c>
      <c r="K2572">
        <v>1.6317352319698199E-2</v>
      </c>
      <c r="L2572" t="s">
        <v>26</v>
      </c>
      <c r="M2572" t="s">
        <v>27</v>
      </c>
      <c r="N2572">
        <v>793.03725773623205</v>
      </c>
      <c r="O2572">
        <v>931.83614610554605</v>
      </c>
      <c r="P2572">
        <v>688.93809145924604</v>
      </c>
      <c r="Q2572">
        <v>963.80789713591003</v>
      </c>
      <c r="R2572">
        <v>849.53101216109201</v>
      </c>
      <c r="S2572">
        <v>982.16952901963703</v>
      </c>
      <c r="T2572">
        <v>577.452294163239</v>
      </c>
      <c r="U2572">
        <v>860.78521184598503</v>
      </c>
      <c r="V2572">
        <v>668.70914411076501</v>
      </c>
      <c r="W2572">
        <v>648.80571571699397</v>
      </c>
    </row>
    <row r="2573" spans="1:23" x14ac:dyDescent="0.2">
      <c r="A2573" t="s">
        <v>5151</v>
      </c>
      <c r="B2573" s="3" t="str">
        <f>HYPERLINK("http://www.ncbi.nlm.nih.gov/gene/214742","Rcor3")</f>
        <v>Rcor3</v>
      </c>
      <c r="C2573">
        <v>214742</v>
      </c>
      <c r="D2573" t="s">
        <v>5152</v>
      </c>
      <c r="E2573" s="3" t="str">
        <f>HYPERLINK("http://genome.ucsc.edu/cgi-bin/hgTracks?db=mm10&amp;lastVirtModeType=default&amp;lastVirtModeExtraState=&amp;virtModeType=default&amp;virtMode=0&amp;nonVirtPosition=&amp;position=chr1:192098545-192138040","chr1:192098545-192138040")</f>
        <v>chr1:192098545-192138040</v>
      </c>
      <c r="F2573" t="s">
        <v>25</v>
      </c>
      <c r="G2573">
        <v>0.43314655333718499</v>
      </c>
      <c r="H2573">
        <v>0.146633768817056</v>
      </c>
      <c r="I2573">
        <v>2.9539345324854098</v>
      </c>
      <c r="J2573">
        <v>3.1375055688097498E-3</v>
      </c>
      <c r="K2573">
        <v>1.6317352319698199E-2</v>
      </c>
      <c r="L2573" t="s">
        <v>26</v>
      </c>
      <c r="M2573" t="s">
        <v>27</v>
      </c>
      <c r="N2573">
        <v>191.39236806403301</v>
      </c>
      <c r="O2573">
        <v>157.86794102442801</v>
      </c>
      <c r="P2573">
        <v>216.53568834373601</v>
      </c>
      <c r="Q2573">
        <v>143.652476869477</v>
      </c>
      <c r="R2573">
        <v>158.149300031775</v>
      </c>
      <c r="S2573">
        <v>171.80204617203299</v>
      </c>
      <c r="T2573">
        <v>229.147735779063</v>
      </c>
      <c r="U2573">
        <v>216.26693133443899</v>
      </c>
      <c r="V2573">
        <v>234.67350601906901</v>
      </c>
      <c r="W2573">
        <v>186.05458024237299</v>
      </c>
    </row>
    <row r="2574" spans="1:23" x14ac:dyDescent="0.2">
      <c r="A2574" t="s">
        <v>5153</v>
      </c>
      <c r="B2574" s="3" t="str">
        <f>HYPERLINK("http://www.ncbi.nlm.nih.gov/gene/70603","Mutyh")</f>
        <v>Mutyh</v>
      </c>
      <c r="C2574">
        <v>70603</v>
      </c>
      <c r="D2574" t="s">
        <v>5154</v>
      </c>
      <c r="E2574" s="3" t="str">
        <f>HYPERLINK("http://genome.ucsc.edu/cgi-bin/hgTracks?db=mm10&amp;lastVirtModeType=default&amp;lastVirtModeExtraState=&amp;virtModeType=default&amp;virtMode=0&amp;nonVirtPosition=&amp;position=chr4:116814318-116819431","chr4:116814318-116819431")</f>
        <v>chr4:116814318-116819431</v>
      </c>
      <c r="F2574" t="s">
        <v>30</v>
      </c>
      <c r="G2574">
        <v>0.78751464789131098</v>
      </c>
      <c r="H2574">
        <v>0.26660043094204799</v>
      </c>
      <c r="I2574">
        <v>2.9539136343800498</v>
      </c>
      <c r="J2574">
        <v>3.1377180362350001E-3</v>
      </c>
      <c r="K2574">
        <v>1.6317352319698199E-2</v>
      </c>
      <c r="L2574" t="s">
        <v>26</v>
      </c>
      <c r="M2574" t="s">
        <v>27</v>
      </c>
      <c r="N2574">
        <v>35.873126884829702</v>
      </c>
      <c r="O2574">
        <v>23.567663232240999</v>
      </c>
      <c r="P2574">
        <v>45.102224624271301</v>
      </c>
      <c r="Q2574">
        <v>23.385286932240501</v>
      </c>
      <c r="R2574">
        <v>23.513804800887399</v>
      </c>
      <c r="S2574">
        <v>23.803897963594999</v>
      </c>
      <c r="T2574">
        <v>54.995456586975202</v>
      </c>
      <c r="U2574">
        <v>32.118851188283003</v>
      </c>
      <c r="V2574">
        <v>36.047027570327302</v>
      </c>
      <c r="W2574">
        <v>57.247563151499499</v>
      </c>
    </row>
    <row r="2575" spans="1:23" x14ac:dyDescent="0.2">
      <c r="A2575" t="s">
        <v>5155</v>
      </c>
      <c r="B2575" s="3" t="str">
        <f>HYPERLINK("http://www.ncbi.nlm.nih.gov/gene/56381","Spen")</f>
        <v>Spen</v>
      </c>
      <c r="C2575">
        <v>56381</v>
      </c>
      <c r="D2575" t="s">
        <v>5156</v>
      </c>
      <c r="E2575" s="3" t="str">
        <f>HYPERLINK("http://genome.ucsc.edu/cgi-bin/hgTracks?db=mm10&amp;lastVirtModeType=default&amp;lastVirtModeExtraState=&amp;virtModeType=default&amp;virtMode=0&amp;nonVirtPosition=&amp;position=chr4:141467889-141538597","chr4:141467889-141538597")</f>
        <v>chr4:141467889-141538597</v>
      </c>
      <c r="F2575" t="s">
        <v>25</v>
      </c>
      <c r="G2575">
        <v>0.59216494945411302</v>
      </c>
      <c r="H2575">
        <v>0.20050503867747299</v>
      </c>
      <c r="I2575">
        <v>2.9533669246419998</v>
      </c>
      <c r="J2575">
        <v>3.14328100163459E-3</v>
      </c>
      <c r="K2575">
        <v>1.6336995000041401E-2</v>
      </c>
      <c r="L2575" t="s">
        <v>26</v>
      </c>
      <c r="M2575" t="s">
        <v>27</v>
      </c>
      <c r="N2575">
        <v>934.99469947155103</v>
      </c>
      <c r="O2575">
        <v>711.32409960780603</v>
      </c>
      <c r="P2575">
        <v>1102.74764936936</v>
      </c>
      <c r="Q2575">
        <v>617.48293352034898</v>
      </c>
      <c r="R2575">
        <v>503.27127372221798</v>
      </c>
      <c r="S2575">
        <v>1013.21809158085</v>
      </c>
      <c r="T2575">
        <v>999.08412799671498</v>
      </c>
      <c r="U2575">
        <v>1209.8100614253301</v>
      </c>
      <c r="V2575">
        <v>1101.2734749546901</v>
      </c>
      <c r="W2575">
        <v>1100.8229331007101</v>
      </c>
    </row>
    <row r="2576" spans="1:23" x14ac:dyDescent="0.2">
      <c r="A2576" t="s">
        <v>5157</v>
      </c>
      <c r="B2576" s="3" t="str">
        <f>HYPERLINK("http://www.ncbi.nlm.nih.gov/gene/72399","Brap")</f>
        <v>Brap</v>
      </c>
      <c r="C2576">
        <v>72399</v>
      </c>
      <c r="D2576" t="s">
        <v>5158</v>
      </c>
      <c r="E2576" s="3" t="str">
        <f>HYPERLINK("http://genome.ucsc.edu/cgi-bin/hgTracks?db=mm10&amp;lastVirtModeType=default&amp;lastVirtModeExtraState=&amp;virtModeType=default&amp;virtMode=0&amp;nonVirtPosition=&amp;position=chr5:121660562-121687249","chr5:121660562-121687249")</f>
        <v>chr5:121660562-121687249</v>
      </c>
      <c r="F2576" t="s">
        <v>30</v>
      </c>
      <c r="G2576">
        <v>-0.376013426715268</v>
      </c>
      <c r="H2576">
        <v>0.12731963703818999</v>
      </c>
      <c r="I2576">
        <v>-2.95330269126107</v>
      </c>
      <c r="J2576">
        <v>3.14393518894084E-3</v>
      </c>
      <c r="K2576">
        <v>1.6336995000041401E-2</v>
      </c>
      <c r="L2576" t="s">
        <v>26</v>
      </c>
      <c r="M2576" t="s">
        <v>27</v>
      </c>
      <c r="N2576">
        <v>290.54125736341399</v>
      </c>
      <c r="O2576">
        <v>339.33586077307802</v>
      </c>
      <c r="P2576">
        <v>253.94530480616601</v>
      </c>
      <c r="Q2576">
        <v>318.48533631527499</v>
      </c>
      <c r="R2576">
        <v>348.15601301958998</v>
      </c>
      <c r="S2576">
        <v>351.36623298437001</v>
      </c>
      <c r="T2576">
        <v>219.98182634790101</v>
      </c>
      <c r="U2576">
        <v>241.96201228506499</v>
      </c>
      <c r="V2576">
        <v>269.98487996551302</v>
      </c>
      <c r="W2576">
        <v>283.85250062618502</v>
      </c>
    </row>
    <row r="2577" spans="1:23" x14ac:dyDescent="0.2">
      <c r="A2577" t="s">
        <v>5159</v>
      </c>
      <c r="B2577" s="3" t="str">
        <f>HYPERLINK("http://www.ncbi.nlm.nih.gov/gene/11863","Arnt")</f>
        <v>Arnt</v>
      </c>
      <c r="C2577">
        <v>11863</v>
      </c>
      <c r="D2577" t="s">
        <v>5160</v>
      </c>
      <c r="E2577" s="3" t="str">
        <f>HYPERLINK("http://genome.ucsc.edu/cgi-bin/hgTracks?db=mm10&amp;lastVirtModeType=default&amp;lastVirtModeExtraState=&amp;virtModeType=default&amp;virtMode=0&amp;nonVirtPosition=&amp;position=chr3:95434389-95497239","chr3:95434389-95497239")</f>
        <v>chr3:95434389-95497239</v>
      </c>
      <c r="F2577" t="s">
        <v>30</v>
      </c>
      <c r="G2577">
        <v>0.53101633974318796</v>
      </c>
      <c r="H2577">
        <v>0.17983112578027199</v>
      </c>
      <c r="I2577">
        <v>2.9528611214502098</v>
      </c>
      <c r="J2577">
        <v>3.1484357337889101E-3</v>
      </c>
      <c r="K2577">
        <v>1.6354035264223101E-2</v>
      </c>
      <c r="L2577" t="s">
        <v>26</v>
      </c>
      <c r="M2577" t="s">
        <v>27</v>
      </c>
      <c r="N2577">
        <v>263.22578984197997</v>
      </c>
      <c r="O2577">
        <v>209.001743579161</v>
      </c>
      <c r="P2577">
        <v>303.89382453909502</v>
      </c>
      <c r="Q2577">
        <v>194.320598555998</v>
      </c>
      <c r="R2577">
        <v>163.079613941638</v>
      </c>
      <c r="S2577">
        <v>269.60501823984799</v>
      </c>
      <c r="T2577">
        <v>252.062509356969</v>
      </c>
      <c r="U2577">
        <v>314.76474164517401</v>
      </c>
      <c r="V2577">
        <v>330.30847712401902</v>
      </c>
      <c r="W2577">
        <v>318.43957003021598</v>
      </c>
    </row>
    <row r="2578" spans="1:23" x14ac:dyDescent="0.2">
      <c r="A2578" t="s">
        <v>5161</v>
      </c>
      <c r="B2578" s="3" t="str">
        <f>HYPERLINK("http://www.ncbi.nlm.nih.gov/gene/53328","Pgrmc1")</f>
        <v>Pgrmc1</v>
      </c>
      <c r="C2578">
        <v>53328</v>
      </c>
      <c r="D2578" t="s">
        <v>5162</v>
      </c>
      <c r="E2578" s="3" t="str">
        <f>HYPERLINK("http://genome.ucsc.edu/cgi-bin/hgTracks?db=mm10&amp;lastVirtModeType=default&amp;lastVirtModeExtraState=&amp;virtModeType=default&amp;virtMode=0&amp;nonVirtPosition=&amp;position=chrX:36598192-36606079","chrX:36598192-36606079")</f>
        <v>chrX:36598192-36606079</v>
      </c>
      <c r="F2578" t="s">
        <v>30</v>
      </c>
      <c r="G2578">
        <v>-0.465804095548637</v>
      </c>
      <c r="H2578">
        <v>0.15776366530866401</v>
      </c>
      <c r="I2578">
        <v>-2.9525435697585598</v>
      </c>
      <c r="J2578">
        <v>3.1516758970648899E-3</v>
      </c>
      <c r="K2578">
        <v>1.63645180060473E-2</v>
      </c>
      <c r="L2578" t="s">
        <v>26</v>
      </c>
      <c r="M2578" t="s">
        <v>27</v>
      </c>
      <c r="N2578">
        <v>331.86765336786601</v>
      </c>
      <c r="O2578">
        <v>397.62637416291602</v>
      </c>
      <c r="P2578">
        <v>282.54861277157801</v>
      </c>
      <c r="Q2578">
        <v>339.64345306349202</v>
      </c>
      <c r="R2578">
        <v>424.765506080546</v>
      </c>
      <c r="S2578">
        <v>428.47016334470999</v>
      </c>
      <c r="T2578">
        <v>252.062509356969</v>
      </c>
      <c r="U2578">
        <v>293.352174186318</v>
      </c>
      <c r="V2578">
        <v>241.294388634028</v>
      </c>
      <c r="W2578">
        <v>343.48537890899701</v>
      </c>
    </row>
    <row r="2579" spans="1:23" x14ac:dyDescent="0.2">
      <c r="A2579" t="s">
        <v>5163</v>
      </c>
      <c r="B2579" s="3" t="str">
        <f>HYPERLINK("http://www.ncbi.nlm.nih.gov/gene/75409","Slitrk5")</f>
        <v>Slitrk5</v>
      </c>
      <c r="C2579">
        <v>75409</v>
      </c>
      <c r="D2579" t="s">
        <v>5164</v>
      </c>
      <c r="E2579" s="3" t="str">
        <f>HYPERLINK("http://genome.ucsc.edu/cgi-bin/hgTracks?db=mm10&amp;lastVirtModeType=default&amp;lastVirtModeExtraState=&amp;virtModeType=default&amp;virtMode=0&amp;nonVirtPosition=&amp;position=chr14:111675114-111683135","chr14:111675114-111683135")</f>
        <v>chr14:111675114-111683135</v>
      </c>
      <c r="F2579" t="s">
        <v>30</v>
      </c>
      <c r="G2579">
        <v>-0.38037415899773602</v>
      </c>
      <c r="H2579">
        <v>0.128858185632723</v>
      </c>
      <c r="I2579">
        <v>-2.95188200214066</v>
      </c>
      <c r="J2579">
        <v>3.1584360182633602E-3</v>
      </c>
      <c r="K2579">
        <v>1.6393262294792502E-2</v>
      </c>
      <c r="L2579" t="s">
        <v>26</v>
      </c>
      <c r="M2579" t="s">
        <v>27</v>
      </c>
      <c r="N2579">
        <v>370.77530446193998</v>
      </c>
      <c r="O2579">
        <v>431.59630499025599</v>
      </c>
      <c r="P2579">
        <v>325.15955406570203</v>
      </c>
      <c r="Q2579">
        <v>477.17121192690598</v>
      </c>
      <c r="R2579">
        <v>393.287348040648</v>
      </c>
      <c r="S2579">
        <v>424.330355003215</v>
      </c>
      <c r="T2579">
        <v>311.64092065952599</v>
      </c>
      <c r="U2579">
        <v>301.91720116986102</v>
      </c>
      <c r="V2579">
        <v>362.67723657492502</v>
      </c>
      <c r="W2579">
        <v>324.40285785849699</v>
      </c>
    </row>
    <row r="2580" spans="1:23" x14ac:dyDescent="0.2">
      <c r="A2580" t="s">
        <v>5165</v>
      </c>
      <c r="B2580" s="3" t="str">
        <f>HYPERLINK("http://www.ncbi.nlm.nih.gov/gene/52389","Adgra1")</f>
        <v>Adgra1</v>
      </c>
      <c r="C2580">
        <v>52389</v>
      </c>
      <c r="D2580" t="s">
        <v>5166</v>
      </c>
      <c r="E2580" s="3" t="str">
        <f>HYPERLINK("http://genome.ucsc.edu/cgi-bin/hgTracks?db=mm10&amp;lastVirtModeType=default&amp;lastVirtModeExtraState=&amp;virtModeType=default&amp;virtMode=0&amp;nonVirtPosition=&amp;position=chr7:139834173-139878088","chr7:139834173-139878088")</f>
        <v>chr7:139834173-139878088</v>
      </c>
      <c r="F2580" t="s">
        <v>30</v>
      </c>
      <c r="G2580">
        <v>-0.82883902325438297</v>
      </c>
      <c r="H2580">
        <v>0.28085501636510202</v>
      </c>
      <c r="I2580">
        <v>-2.9511277170030001</v>
      </c>
      <c r="J2580">
        <v>3.1661596819734599E-3</v>
      </c>
      <c r="K2580">
        <v>1.64269834565311E-2</v>
      </c>
      <c r="L2580" t="s">
        <v>26</v>
      </c>
      <c r="M2580" t="s">
        <v>27</v>
      </c>
      <c r="N2580">
        <v>141.75334823851301</v>
      </c>
      <c r="O2580">
        <v>197.91812538086199</v>
      </c>
      <c r="P2580">
        <v>99.629765381751795</v>
      </c>
      <c r="Q2580">
        <v>331.84835741941203</v>
      </c>
      <c r="R2580">
        <v>124.77486741116</v>
      </c>
      <c r="S2580">
        <v>137.13115131201499</v>
      </c>
      <c r="T2580">
        <v>73.327275449300203</v>
      </c>
      <c r="U2580">
        <v>119.91037776959</v>
      </c>
      <c r="V2580">
        <v>101.520200096024</v>
      </c>
      <c r="W2580">
        <v>103.761208212093</v>
      </c>
    </row>
    <row r="2581" spans="1:23" x14ac:dyDescent="0.2">
      <c r="A2581" t="s">
        <v>5167</v>
      </c>
      <c r="B2581" s="3" t="str">
        <f>HYPERLINK("http://www.ncbi.nlm.nih.gov/gene/17384","Mmp10")</f>
        <v>Mmp10</v>
      </c>
      <c r="C2581">
        <v>17384</v>
      </c>
      <c r="D2581" t="s">
        <v>5168</v>
      </c>
      <c r="E2581" s="3" t="str">
        <f>HYPERLINK("http://genome.ucsc.edu/cgi-bin/hgTracks?db=mm10&amp;lastVirtModeType=default&amp;lastVirtModeExtraState=&amp;virtModeType=default&amp;virtMode=0&amp;nonVirtPosition=&amp;position=chr9:7502341-7510242","chr9:7502341-7510242")</f>
        <v>chr9:7502341-7510242</v>
      </c>
      <c r="F2581" t="s">
        <v>30</v>
      </c>
      <c r="G2581">
        <v>-1.0691931282646701</v>
      </c>
      <c r="H2581">
        <v>0.36233424285351801</v>
      </c>
      <c r="I2581">
        <v>-2.95084759266574</v>
      </c>
      <c r="J2581">
        <v>3.1690324561338499E-3</v>
      </c>
      <c r="K2581">
        <v>1.6435520379585001E-2</v>
      </c>
      <c r="L2581" t="s">
        <v>26</v>
      </c>
      <c r="M2581" t="s">
        <v>27</v>
      </c>
      <c r="N2581">
        <v>227.01486033844299</v>
      </c>
      <c r="O2581">
        <v>361.50452931048397</v>
      </c>
      <c r="P2581">
        <v>126.147608609413</v>
      </c>
      <c r="Q2581">
        <v>574.05311493190197</v>
      </c>
      <c r="R2581">
        <v>250.68749957075099</v>
      </c>
      <c r="S2581">
        <v>259.77297342879802</v>
      </c>
      <c r="T2581">
        <v>68.744320733718993</v>
      </c>
      <c r="U2581">
        <v>109.204094040162</v>
      </c>
      <c r="V2581">
        <v>213.33955092642699</v>
      </c>
      <c r="W2581">
        <v>113.30246873734301</v>
      </c>
    </row>
    <row r="2582" spans="1:23" x14ac:dyDescent="0.2">
      <c r="A2582" t="s">
        <v>5169</v>
      </c>
      <c r="B2582" s="3" t="str">
        <f>HYPERLINK("http://www.ncbi.nlm.nih.gov/gene/225742","St8sia5")</f>
        <v>St8sia5</v>
      </c>
      <c r="C2582">
        <v>225742</v>
      </c>
      <c r="D2582" t="s">
        <v>5170</v>
      </c>
      <c r="E2582" s="3" t="str">
        <f>HYPERLINK("http://genome.ucsc.edu/cgi-bin/hgTracks?db=mm10&amp;lastVirtModeType=default&amp;lastVirtModeExtraState=&amp;virtModeType=default&amp;virtMode=0&amp;nonVirtPosition=&amp;position=chr18:77185846-77255450","chr18:77185846-77255450")</f>
        <v>chr18:77185846-77255450</v>
      </c>
      <c r="F2582" t="s">
        <v>30</v>
      </c>
      <c r="G2582">
        <v>-1.17286070288109</v>
      </c>
      <c r="H2582">
        <v>0.397554349742755</v>
      </c>
      <c r="I2582">
        <v>-2.9501895870086998</v>
      </c>
      <c r="J2582">
        <v>3.17578988410816E-3</v>
      </c>
      <c r="K2582">
        <v>1.6464189832788401E-2</v>
      </c>
      <c r="L2582" t="s">
        <v>26</v>
      </c>
      <c r="M2582" t="s">
        <v>27</v>
      </c>
      <c r="N2582">
        <v>15.2326769358731</v>
      </c>
      <c r="O2582">
        <v>29.224677247223099</v>
      </c>
      <c r="P2582">
        <v>4.7386767023607002</v>
      </c>
      <c r="Q2582">
        <v>10.579058374108801</v>
      </c>
      <c r="R2582">
        <v>72.437688983378806</v>
      </c>
      <c r="S2582">
        <v>4.6572843841816303</v>
      </c>
      <c r="T2582">
        <v>9.1659094311625307</v>
      </c>
      <c r="U2582">
        <v>4.2825134917710699</v>
      </c>
      <c r="V2582">
        <v>0.73565362388422995</v>
      </c>
      <c r="W2582">
        <v>4.7706302626249597</v>
      </c>
    </row>
    <row r="2583" spans="1:23" x14ac:dyDescent="0.2">
      <c r="A2583" t="s">
        <v>5171</v>
      </c>
      <c r="B2583" s="3" t="str">
        <f>HYPERLINK("http://www.ncbi.nlm.nih.gov/gene/75560","Ep400")</f>
        <v>Ep400</v>
      </c>
      <c r="C2583">
        <v>75560</v>
      </c>
      <c r="D2583" t="s">
        <v>5172</v>
      </c>
      <c r="E2583" s="3" t="str">
        <f>HYPERLINK("http://genome.ucsc.edu/cgi-bin/hgTracks?db=mm10&amp;lastVirtModeType=default&amp;lastVirtModeExtraState=&amp;virtModeType=default&amp;virtMode=0&amp;nonVirtPosition=&amp;position=chr5:110664372-110770717","chr5:110664372-110770717")</f>
        <v>chr5:110664372-110770717</v>
      </c>
      <c r="F2583" t="s">
        <v>25</v>
      </c>
      <c r="G2583">
        <v>0.411609098562635</v>
      </c>
      <c r="H2583">
        <v>0.13960839400097799</v>
      </c>
      <c r="I2583">
        <v>2.94831196582457</v>
      </c>
      <c r="J2583">
        <v>3.1951444941101001E-3</v>
      </c>
      <c r="K2583">
        <v>1.6558119164329799E-2</v>
      </c>
      <c r="L2583" t="s">
        <v>26</v>
      </c>
      <c r="M2583" t="s">
        <v>27</v>
      </c>
      <c r="N2583">
        <v>1176.5516631129201</v>
      </c>
      <c r="O2583">
        <v>983.56215019189096</v>
      </c>
      <c r="P2583">
        <v>1321.2937978037</v>
      </c>
      <c r="Q2583">
        <v>877.50505250502295</v>
      </c>
      <c r="R2583">
        <v>862.80493422610903</v>
      </c>
      <c r="S2583">
        <v>1210.37646384454</v>
      </c>
      <c r="T2583">
        <v>1361.1375505276401</v>
      </c>
      <c r="U2583">
        <v>1297.60158800663</v>
      </c>
      <c r="V2583">
        <v>1310.9347577617</v>
      </c>
      <c r="W2583">
        <v>1315.5012949188299</v>
      </c>
    </row>
    <row r="2584" spans="1:23" x14ac:dyDescent="0.2">
      <c r="A2584" t="s">
        <v>5173</v>
      </c>
      <c r="B2584" s="3" t="str">
        <f>HYPERLINK("http://www.ncbi.nlm.nih.gov/gene/17354","Mllt10")</f>
        <v>Mllt10</v>
      </c>
      <c r="C2584">
        <v>17354</v>
      </c>
      <c r="D2584" t="s">
        <v>5174</v>
      </c>
      <c r="E2584" s="3" t="str">
        <f>HYPERLINK("http://genome.ucsc.edu/cgi-bin/hgTracks?db=mm10&amp;lastVirtModeType=default&amp;lastVirtModeExtraState=&amp;virtModeType=default&amp;virtMode=0&amp;nonVirtPosition=&amp;position=chr2:18064584-18212390","chr2:18064584-18212390")</f>
        <v>chr2:18064584-18212390</v>
      </c>
      <c r="F2584" t="s">
        <v>30</v>
      </c>
      <c r="G2584">
        <v>0.45300687227039799</v>
      </c>
      <c r="H2584">
        <v>0.153694378842746</v>
      </c>
      <c r="I2584">
        <v>2.94745244218656</v>
      </c>
      <c r="J2584">
        <v>3.20404032267434E-3</v>
      </c>
      <c r="K2584">
        <v>1.6597796503261899E-2</v>
      </c>
      <c r="L2584" t="s">
        <v>26</v>
      </c>
      <c r="M2584" t="s">
        <v>27</v>
      </c>
      <c r="N2584">
        <v>212.38490401373701</v>
      </c>
      <c r="O2584">
        <v>171.17221548491301</v>
      </c>
      <c r="P2584">
        <v>243.29442041035401</v>
      </c>
      <c r="Q2584">
        <v>148.66360978352901</v>
      </c>
      <c r="R2584">
        <v>175.97428109051199</v>
      </c>
      <c r="S2584">
        <v>188.87875558069899</v>
      </c>
      <c r="T2584">
        <v>302.47501122836297</v>
      </c>
      <c r="U2584">
        <v>218.408188080325</v>
      </c>
      <c r="V2584">
        <v>237.616120514606</v>
      </c>
      <c r="W2584">
        <v>214.67836181812299</v>
      </c>
    </row>
    <row r="2585" spans="1:23" x14ac:dyDescent="0.2">
      <c r="A2585" t="s">
        <v>5175</v>
      </c>
      <c r="B2585" s="3" t="str">
        <f>HYPERLINK("http://www.ncbi.nlm.nih.gov/gene/18025","Nfe2l3")</f>
        <v>Nfe2l3</v>
      </c>
      <c r="C2585">
        <v>18025</v>
      </c>
      <c r="D2585" t="s">
        <v>5176</v>
      </c>
      <c r="E2585" s="3" t="str">
        <f>HYPERLINK("http://genome.ucsc.edu/cgi-bin/hgTracks?db=mm10&amp;lastVirtModeType=default&amp;lastVirtModeExtraState=&amp;virtModeType=default&amp;virtMode=0&amp;nonVirtPosition=&amp;position=chr6:51432669-51458768","chr6:51432669-51458768")</f>
        <v>chr6:51432669-51458768</v>
      </c>
      <c r="F2585" t="s">
        <v>30</v>
      </c>
      <c r="G2585">
        <v>0.77035353019770803</v>
      </c>
      <c r="H2585">
        <v>0.26140678927357203</v>
      </c>
      <c r="I2585">
        <v>2.9469530318568098</v>
      </c>
      <c r="J2585">
        <v>3.2092194408355501E-3</v>
      </c>
      <c r="K2585">
        <v>1.6618197034891299E-2</v>
      </c>
      <c r="L2585" t="s">
        <v>26</v>
      </c>
      <c r="M2585" t="s">
        <v>27</v>
      </c>
      <c r="N2585">
        <v>37.376651998133397</v>
      </c>
      <c r="O2585">
        <v>25.426078641339</v>
      </c>
      <c r="P2585">
        <v>46.339582015729199</v>
      </c>
      <c r="Q2585">
        <v>29.5100049383034</v>
      </c>
      <c r="R2585">
        <v>19.342000723310601</v>
      </c>
      <c r="S2585">
        <v>27.4262302624029</v>
      </c>
      <c r="T2585">
        <v>50.4125018713939</v>
      </c>
      <c r="U2585">
        <v>36.401364680054101</v>
      </c>
      <c r="V2585">
        <v>44.874871056937998</v>
      </c>
      <c r="W2585">
        <v>53.669590454530798</v>
      </c>
    </row>
    <row r="2586" spans="1:23" x14ac:dyDescent="0.2">
      <c r="A2586" t="s">
        <v>5177</v>
      </c>
      <c r="B2586" s="3" t="str">
        <f>HYPERLINK("http://www.ncbi.nlm.nih.gov/gene/68607","Serhl")</f>
        <v>Serhl</v>
      </c>
      <c r="C2586">
        <v>68607</v>
      </c>
      <c r="D2586" t="s">
        <v>5178</v>
      </c>
      <c r="E2586" s="3" t="str">
        <f>HYPERLINK("http://genome.ucsc.edu/cgi-bin/hgTracks?db=mm10&amp;lastVirtModeType=default&amp;lastVirtModeExtraState=&amp;virtModeType=default&amp;virtMode=0&amp;nonVirtPosition=&amp;position=chr15:83100204-83116671","chr15:83100204-83116671")</f>
        <v>chr15:83100204-83116671</v>
      </c>
      <c r="F2586" t="s">
        <v>30</v>
      </c>
      <c r="G2586">
        <v>0.87653973520821804</v>
      </c>
      <c r="H2586">
        <v>0.29751382130758303</v>
      </c>
      <c r="I2586">
        <v>2.9462151753347001</v>
      </c>
      <c r="J2586">
        <v>3.2168853205270498E-3</v>
      </c>
      <c r="K2586">
        <v>1.6651453933968999E-2</v>
      </c>
      <c r="L2586" t="s">
        <v>26</v>
      </c>
      <c r="M2586" t="s">
        <v>27</v>
      </c>
      <c r="N2586">
        <v>26.546337979986301</v>
      </c>
      <c r="O2586">
        <v>16.323816454528298</v>
      </c>
      <c r="P2586">
        <v>34.213229124079803</v>
      </c>
      <c r="Q2586">
        <v>15.5901912881603</v>
      </c>
      <c r="R2586">
        <v>21.996785136313999</v>
      </c>
      <c r="S2586">
        <v>11.3844729391106</v>
      </c>
      <c r="T2586">
        <v>36.663637724650101</v>
      </c>
      <c r="U2586">
        <v>32.118851188283003</v>
      </c>
      <c r="V2586">
        <v>38.253988441979999</v>
      </c>
      <c r="W2586">
        <v>29.816439141406001</v>
      </c>
    </row>
    <row r="2587" spans="1:23" x14ac:dyDescent="0.2">
      <c r="A2587" t="s">
        <v>5179</v>
      </c>
      <c r="B2587" s="3" t="str">
        <f>HYPERLINK("http://www.ncbi.nlm.nih.gov/gene/16576","Kif7")</f>
        <v>Kif7</v>
      </c>
      <c r="C2587">
        <v>16576</v>
      </c>
      <c r="D2587" t="s">
        <v>5180</v>
      </c>
      <c r="E2587" s="3" t="str">
        <f>HYPERLINK("http://genome.ucsc.edu/cgi-bin/hgTracks?db=mm10&amp;lastVirtModeType=default&amp;lastVirtModeExtraState=&amp;virtModeType=default&amp;virtMode=0&amp;nonVirtPosition=&amp;position=chr7:79698097-79714186","chr7:79698097-79714186")</f>
        <v>chr7:79698097-79714186</v>
      </c>
      <c r="F2587" t="s">
        <v>25</v>
      </c>
      <c r="G2587">
        <v>0.61492023538781504</v>
      </c>
      <c r="H2587">
        <v>0.20876115296553199</v>
      </c>
      <c r="I2587">
        <v>2.9455683045079999</v>
      </c>
      <c r="J2587">
        <v>3.2236196371252901E-3</v>
      </c>
      <c r="K2587">
        <v>1.66798649771039E-2</v>
      </c>
      <c r="L2587" t="s">
        <v>26</v>
      </c>
      <c r="M2587" t="s">
        <v>27</v>
      </c>
      <c r="N2587">
        <v>126.072694784924</v>
      </c>
      <c r="O2587">
        <v>95.518540655301095</v>
      </c>
      <c r="P2587">
        <v>148.988310382142</v>
      </c>
      <c r="Q2587">
        <v>101.893035919048</v>
      </c>
      <c r="R2587">
        <v>69.782904570375393</v>
      </c>
      <c r="S2587">
        <v>114.87968147648</v>
      </c>
      <c r="T2587">
        <v>132.90568675185699</v>
      </c>
      <c r="U2587">
        <v>137.04043173667401</v>
      </c>
      <c r="V2587">
        <v>137.56722766635099</v>
      </c>
      <c r="W2587">
        <v>188.439895373686</v>
      </c>
    </row>
    <row r="2588" spans="1:23" x14ac:dyDescent="0.2">
      <c r="A2588" t="s">
        <v>5181</v>
      </c>
      <c r="B2588" s="3" t="str">
        <f>HYPERLINK("http://www.ncbi.nlm.nih.gov/gene/11513","Adcy7")</f>
        <v>Adcy7</v>
      </c>
      <c r="C2588">
        <v>11513</v>
      </c>
      <c r="D2588" t="s">
        <v>5182</v>
      </c>
      <c r="E2588" s="3" t="str">
        <f>HYPERLINK("http://genome.ucsc.edu/cgi-bin/hgTracks?db=mm10&amp;lastVirtModeType=default&amp;lastVirtModeExtraState=&amp;virtModeType=default&amp;virtMode=0&amp;nonVirtPosition=&amp;position=chr8:88272402-88329962","chr8:88272402-88329962")</f>
        <v>chr8:88272402-88329962</v>
      </c>
      <c r="F2588" t="s">
        <v>30</v>
      </c>
      <c r="G2588">
        <v>0.521199387846907</v>
      </c>
      <c r="H2588">
        <v>0.17698093944874299</v>
      </c>
      <c r="I2588">
        <v>2.9449464415226201</v>
      </c>
      <c r="J2588">
        <v>3.23010571530935E-3</v>
      </c>
      <c r="K2588">
        <v>1.6705263041896099E-2</v>
      </c>
      <c r="L2588" t="s">
        <v>26</v>
      </c>
      <c r="M2588" t="s">
        <v>27</v>
      </c>
      <c r="N2588">
        <v>133.28810939589701</v>
      </c>
      <c r="O2588">
        <v>105.378416152828</v>
      </c>
      <c r="P2588">
        <v>154.22037932819799</v>
      </c>
      <c r="Q2588">
        <v>128.61907812732201</v>
      </c>
      <c r="R2588">
        <v>86.090865964539205</v>
      </c>
      <c r="S2588">
        <v>101.425304366622</v>
      </c>
      <c r="T2588">
        <v>160.40341504534399</v>
      </c>
      <c r="U2588">
        <v>149.88797221198701</v>
      </c>
      <c r="V2588">
        <v>151.54464652015099</v>
      </c>
      <c r="W2588">
        <v>155.04548353531101</v>
      </c>
    </row>
    <row r="2589" spans="1:23" x14ac:dyDescent="0.2">
      <c r="A2589" t="s">
        <v>5183</v>
      </c>
      <c r="B2589" s="3" t="str">
        <f>HYPERLINK("http://www.ncbi.nlm.nih.gov/gene/80732","Mynn")</f>
        <v>Mynn</v>
      </c>
      <c r="C2589">
        <v>80732</v>
      </c>
      <c r="D2589" t="s">
        <v>5184</v>
      </c>
      <c r="E2589" s="3" t="str">
        <f>HYPERLINK("http://genome.ucsc.edu/cgi-bin/hgTracks?db=mm10&amp;lastVirtModeType=default&amp;lastVirtModeExtraState=&amp;virtModeType=default&amp;virtMode=0&amp;nonVirtPosition=&amp;position=chr3:30602086-30619873","chr3:30602086-30619873")</f>
        <v>chr3:30602086-30619873</v>
      </c>
      <c r="F2589" t="s">
        <v>30</v>
      </c>
      <c r="G2589">
        <v>-0.46325005639913802</v>
      </c>
      <c r="H2589">
        <v>0.15730822330028801</v>
      </c>
      <c r="I2589">
        <v>-2.94485594382967</v>
      </c>
      <c r="J2589">
        <v>3.2310506036569201E-3</v>
      </c>
      <c r="K2589">
        <v>1.6705263041896099E-2</v>
      </c>
      <c r="L2589" t="s">
        <v>26</v>
      </c>
      <c r="M2589" t="s">
        <v>27</v>
      </c>
      <c r="N2589">
        <v>169.22218483690901</v>
      </c>
      <c r="O2589">
        <v>200.686073417731</v>
      </c>
      <c r="P2589">
        <v>145.62426840129299</v>
      </c>
      <c r="Q2589">
        <v>213.25154512019299</v>
      </c>
      <c r="R2589">
        <v>213.89977270484599</v>
      </c>
      <c r="S2589">
        <v>174.90690242815401</v>
      </c>
      <c r="T2589">
        <v>169.56932447650701</v>
      </c>
      <c r="U2589">
        <v>126.33414800724699</v>
      </c>
      <c r="V2589">
        <v>153.01595376792</v>
      </c>
      <c r="W2589">
        <v>133.577647353499</v>
      </c>
    </row>
    <row r="2590" spans="1:23" x14ac:dyDescent="0.2">
      <c r="A2590" t="s">
        <v>5185</v>
      </c>
      <c r="B2590" s="3" t="str">
        <f>HYPERLINK("http://www.ncbi.nlm.nih.gov/gene/72754","Arhgef10l")</f>
        <v>Arhgef10l</v>
      </c>
      <c r="C2590">
        <v>72754</v>
      </c>
      <c r="D2590" t="s">
        <v>5186</v>
      </c>
      <c r="E2590" s="3" t="str">
        <f>HYPERLINK("http://genome.ucsc.edu/cgi-bin/hgTracks?db=mm10&amp;lastVirtModeType=default&amp;lastVirtModeExtraState=&amp;virtModeType=default&amp;virtMode=0&amp;nonVirtPosition=&amp;position=chr4:140514484-140665887","chr4:140514484-140665887")</f>
        <v>chr4:140514484-140665887</v>
      </c>
      <c r="F2590" t="s">
        <v>25</v>
      </c>
      <c r="G2590">
        <v>0.50352501633609104</v>
      </c>
      <c r="H2590">
        <v>0.17099138318658</v>
      </c>
      <c r="I2590">
        <v>2.9447391263374998</v>
      </c>
      <c r="J2590">
        <v>3.2322706699688401E-3</v>
      </c>
      <c r="K2590">
        <v>1.6705263041896099E-2</v>
      </c>
      <c r="L2590" t="s">
        <v>26</v>
      </c>
      <c r="M2590" t="s">
        <v>27</v>
      </c>
      <c r="N2590">
        <v>452.794326927528</v>
      </c>
      <c r="O2590">
        <v>364.22575917747798</v>
      </c>
      <c r="P2590">
        <v>519.220752740065</v>
      </c>
      <c r="Q2590">
        <v>412.02648404423599</v>
      </c>
      <c r="R2590">
        <v>292.02628543037503</v>
      </c>
      <c r="S2590">
        <v>388.62450805782299</v>
      </c>
      <c r="T2590">
        <v>380.385241393245</v>
      </c>
      <c r="U2590">
        <v>629.529483290347</v>
      </c>
      <c r="V2590">
        <v>551.74021791317296</v>
      </c>
      <c r="W2590">
        <v>515.22806836349605</v>
      </c>
    </row>
    <row r="2591" spans="1:23" x14ac:dyDescent="0.2">
      <c r="A2591" t="s">
        <v>5187</v>
      </c>
      <c r="B2591" s="3" t="str">
        <f>HYPERLINK("http://www.ncbi.nlm.nih.gov/gene/12866","Cox7a2")</f>
        <v>Cox7a2</v>
      </c>
      <c r="C2591">
        <v>12866</v>
      </c>
      <c r="D2591" t="s">
        <v>5188</v>
      </c>
      <c r="E2591" s="3" t="str">
        <f>HYPERLINK("http://genome.ucsc.edu/cgi-bin/hgTracks?db=mm10&amp;lastVirtModeType=default&amp;lastVirtModeExtraState=&amp;virtModeType=default&amp;virtMode=0&amp;nonVirtPosition=&amp;position=chr9:79755240-79759853","chr9:79755240-79759853")</f>
        <v>chr9:79755240-79759853</v>
      </c>
      <c r="F2591" t="s">
        <v>25</v>
      </c>
      <c r="G2591">
        <v>-0.40721676354467701</v>
      </c>
      <c r="H2591">
        <v>0.138297935678353</v>
      </c>
      <c r="I2591">
        <v>-2.9444890955694598</v>
      </c>
      <c r="J2591">
        <v>3.2348834544889799E-3</v>
      </c>
      <c r="K2591">
        <v>1.6710626889663401E-2</v>
      </c>
      <c r="L2591" t="s">
        <v>26</v>
      </c>
      <c r="M2591" t="s">
        <v>27</v>
      </c>
      <c r="N2591">
        <v>238.52794476764501</v>
      </c>
      <c r="O2591">
        <v>282.20364845883802</v>
      </c>
      <c r="P2591">
        <v>205.77116699925</v>
      </c>
      <c r="Q2591">
        <v>274.49872518082202</v>
      </c>
      <c r="R2591">
        <v>303.02467799853201</v>
      </c>
      <c r="S2591">
        <v>269.08754219716099</v>
      </c>
      <c r="T2591">
        <v>174.152279192088</v>
      </c>
      <c r="U2591">
        <v>194.854363875584</v>
      </c>
      <c r="V2591">
        <v>215.546511798079</v>
      </c>
      <c r="W2591">
        <v>238.531513131248</v>
      </c>
    </row>
    <row r="2592" spans="1:23" x14ac:dyDescent="0.2">
      <c r="A2592" t="s">
        <v>5189</v>
      </c>
      <c r="B2592" s="3" t="str">
        <f>HYPERLINK("http://www.ncbi.nlm.nih.gov/gene/272538","Tango6")</f>
        <v>Tango6</v>
      </c>
      <c r="C2592">
        <v>272538</v>
      </c>
      <c r="D2592" t="s">
        <v>5190</v>
      </c>
      <c r="E2592" s="3" t="str">
        <f>HYPERLINK("http://genome.ucsc.edu/cgi-bin/hgTracks?db=mm10&amp;lastVirtModeType=default&amp;lastVirtModeExtraState=&amp;virtModeType=default&amp;virtMode=0&amp;nonVirtPosition=&amp;position=chr8:106683067-106851439","chr8:106683067-106851439")</f>
        <v>chr8:106683067-106851439</v>
      </c>
      <c r="F2592" t="s">
        <v>30</v>
      </c>
      <c r="G2592">
        <v>0.71997994636402196</v>
      </c>
      <c r="H2592">
        <v>0.24452509762501601</v>
      </c>
      <c r="I2592">
        <v>2.9444010179606401</v>
      </c>
      <c r="J2592">
        <v>3.2358043107234098E-3</v>
      </c>
      <c r="K2592">
        <v>1.6710626889663401E-2</v>
      </c>
      <c r="L2592" t="s">
        <v>26</v>
      </c>
      <c r="M2592" t="s">
        <v>27</v>
      </c>
      <c r="N2592">
        <v>77.604131581612506</v>
      </c>
      <c r="O2592">
        <v>55.136149792691903</v>
      </c>
      <c r="P2592">
        <v>94.455117923303007</v>
      </c>
      <c r="Q2592">
        <v>34.521137852354897</v>
      </c>
      <c r="R2592">
        <v>56.888237421501699</v>
      </c>
      <c r="S2592">
        <v>73.999074104219204</v>
      </c>
      <c r="T2592">
        <v>77.910230164881497</v>
      </c>
      <c r="U2592">
        <v>96.356553564849094</v>
      </c>
      <c r="V2592">
        <v>108.141082710982</v>
      </c>
      <c r="W2592">
        <v>95.412605252499205</v>
      </c>
    </row>
    <row r="2593" spans="1:23" x14ac:dyDescent="0.2">
      <c r="A2593" t="s">
        <v>5191</v>
      </c>
      <c r="B2593" s="3" t="str">
        <f>HYPERLINK("http://www.ncbi.nlm.nih.gov/gene/71776","Tha1")</f>
        <v>Tha1</v>
      </c>
      <c r="C2593">
        <v>71776</v>
      </c>
      <c r="D2593" t="s">
        <v>5192</v>
      </c>
      <c r="E2593" s="3" t="str">
        <f>HYPERLINK("http://genome.ucsc.edu/cgi-bin/hgTracks?db=mm10&amp;lastVirtModeType=default&amp;lastVirtModeExtraState=&amp;virtModeType=default&amp;virtMode=0&amp;nonVirtPosition=&amp;position=chr11:117867948-117873526","chr11:117867948-117873526")</f>
        <v>chr11:117867948-117873526</v>
      </c>
      <c r="F2593" t="s">
        <v>25</v>
      </c>
      <c r="G2593">
        <v>0.98078165517856897</v>
      </c>
      <c r="H2593">
        <v>0.33337651835299198</v>
      </c>
      <c r="I2593">
        <v>2.9419638192396</v>
      </c>
      <c r="J2593">
        <v>3.2613802941254301E-3</v>
      </c>
      <c r="K2593">
        <v>1.6835022756869902E-2</v>
      </c>
      <c r="L2593" t="s">
        <v>26</v>
      </c>
      <c r="M2593" t="s">
        <v>27</v>
      </c>
      <c r="N2593">
        <v>18.836343519231502</v>
      </c>
      <c r="O2593">
        <v>10.099045797053099</v>
      </c>
      <c r="P2593">
        <v>25.389316810865299</v>
      </c>
      <c r="Q2593">
        <v>5.5679254600572499</v>
      </c>
      <c r="R2593">
        <v>10.2398827358703</v>
      </c>
      <c r="S2593">
        <v>14.489329195231701</v>
      </c>
      <c r="T2593">
        <v>32.0806830090688</v>
      </c>
      <c r="U2593">
        <v>23.553824204740899</v>
      </c>
      <c r="V2593">
        <v>22.069608716526901</v>
      </c>
      <c r="W2593">
        <v>23.853151313124801</v>
      </c>
    </row>
    <row r="2594" spans="1:23" x14ac:dyDescent="0.2">
      <c r="A2594" t="s">
        <v>5193</v>
      </c>
      <c r="B2594" s="3" t="str">
        <f>HYPERLINK("http://www.ncbi.nlm.nih.gov/gene/210719","Mkx")</f>
        <v>Mkx</v>
      </c>
      <c r="C2594">
        <v>210719</v>
      </c>
      <c r="D2594" t="s">
        <v>5194</v>
      </c>
      <c r="E2594" s="3" t="str">
        <f>HYPERLINK("http://genome.ucsc.edu/cgi-bin/hgTracks?db=mm10&amp;lastVirtModeType=default&amp;lastVirtModeExtraState=&amp;virtModeType=default&amp;virtMode=0&amp;nonVirtPosition=&amp;position=chr18:6934965-7004779","chr18:6934965-7004779")</f>
        <v>chr18:6934965-7004779</v>
      </c>
      <c r="F2594" t="s">
        <v>25</v>
      </c>
      <c r="G2594">
        <v>0.90465313491927601</v>
      </c>
      <c r="H2594">
        <v>0.30750993108993502</v>
      </c>
      <c r="I2594">
        <v>2.9418664031852</v>
      </c>
      <c r="J2594">
        <v>3.26240639639141E-3</v>
      </c>
      <c r="K2594">
        <v>1.6835022756869902E-2</v>
      </c>
      <c r="L2594" t="s">
        <v>26</v>
      </c>
      <c r="M2594" t="s">
        <v>27</v>
      </c>
      <c r="N2594">
        <v>27.4897294147199</v>
      </c>
      <c r="O2594">
        <v>16.059331674359999</v>
      </c>
      <c r="P2594">
        <v>36.062527719989802</v>
      </c>
      <c r="Q2594">
        <v>22.828494386234699</v>
      </c>
      <c r="R2594">
        <v>11.377647484300301</v>
      </c>
      <c r="S2594">
        <v>13.971853152544901</v>
      </c>
      <c r="T2594">
        <v>45.829547155812598</v>
      </c>
      <c r="U2594">
        <v>38.5426214259396</v>
      </c>
      <c r="V2594">
        <v>26.483530459832298</v>
      </c>
      <c r="W2594">
        <v>33.394411838374701</v>
      </c>
    </row>
    <row r="2595" spans="1:23" x14ac:dyDescent="0.2">
      <c r="A2595" t="s">
        <v>5195</v>
      </c>
      <c r="B2595" s="3" t="str">
        <f>HYPERLINK("http://www.ncbi.nlm.nih.gov/gene/229584","Pogz")</f>
        <v>Pogz</v>
      </c>
      <c r="C2595">
        <v>229584</v>
      </c>
      <c r="D2595" t="s">
        <v>5196</v>
      </c>
      <c r="E2595" s="3" t="str">
        <f>HYPERLINK("http://genome.ucsc.edu/cgi-bin/hgTracks?db=mm10&amp;lastVirtModeType=default&amp;lastVirtModeExtraState=&amp;virtModeType=default&amp;virtMode=0&amp;nonVirtPosition=&amp;position=chr3:94837566-94883567","chr3:94837566-94883567")</f>
        <v>chr3:94837566-94883567</v>
      </c>
      <c r="F2595" t="s">
        <v>30</v>
      </c>
      <c r="G2595">
        <v>0.44052235462808698</v>
      </c>
      <c r="H2595">
        <v>0.149756274717678</v>
      </c>
      <c r="I2595">
        <v>2.9415953051621</v>
      </c>
      <c r="J2595">
        <v>3.2652634729677201E-3</v>
      </c>
      <c r="K2595">
        <v>1.6841872843528099E-2</v>
      </c>
      <c r="L2595" t="s">
        <v>26</v>
      </c>
      <c r="M2595" t="s">
        <v>27</v>
      </c>
      <c r="N2595">
        <v>433.992802519809</v>
      </c>
      <c r="O2595">
        <v>356.85142095040999</v>
      </c>
      <c r="P2595">
        <v>491.84883869685802</v>
      </c>
      <c r="Q2595">
        <v>402.00421821613298</v>
      </c>
      <c r="R2595">
        <v>278.37310844921501</v>
      </c>
      <c r="S2595">
        <v>390.17693618588299</v>
      </c>
      <c r="T2595">
        <v>522.45683757626398</v>
      </c>
      <c r="U2595">
        <v>509.61910552075699</v>
      </c>
      <c r="V2595">
        <v>473.76093378144401</v>
      </c>
      <c r="W2595">
        <v>461.55847790896502</v>
      </c>
    </row>
    <row r="2596" spans="1:23" x14ac:dyDescent="0.2">
      <c r="A2596" t="s">
        <v>5197</v>
      </c>
      <c r="B2596" s="3" t="str">
        <f>HYPERLINK("http://www.ncbi.nlm.nih.gov/gene/52635","Esyt2")</f>
        <v>Esyt2</v>
      </c>
      <c r="C2596">
        <v>52635</v>
      </c>
      <c r="D2596" t="s">
        <v>5198</v>
      </c>
      <c r="E2596" s="3" t="str">
        <f>HYPERLINK("http://genome.ucsc.edu/cgi-bin/hgTracks?db=mm10&amp;lastVirtModeType=default&amp;lastVirtModeExtraState=&amp;virtModeType=default&amp;virtMode=0&amp;nonVirtPosition=&amp;position=chr12:116281221-116373098","chr12:116281221-116373098")</f>
        <v>chr12:116281221-116373098</v>
      </c>
      <c r="F2596" t="s">
        <v>30</v>
      </c>
      <c r="G2596">
        <v>-0.42415273131193698</v>
      </c>
      <c r="H2596">
        <v>0.144195977963823</v>
      </c>
      <c r="I2596">
        <v>-2.9415018178825498</v>
      </c>
      <c r="J2596">
        <v>3.26624925507001E-3</v>
      </c>
      <c r="K2596">
        <v>1.6841872843528099E-2</v>
      </c>
      <c r="L2596" t="s">
        <v>26</v>
      </c>
      <c r="M2596" t="s">
        <v>27</v>
      </c>
      <c r="N2596">
        <v>412.76491729220498</v>
      </c>
      <c r="O2596">
        <v>490.38089572595197</v>
      </c>
      <c r="P2596">
        <v>354.55293346689399</v>
      </c>
      <c r="Q2596">
        <v>548.44065781563904</v>
      </c>
      <c r="R2596">
        <v>447.14154613300298</v>
      </c>
      <c r="S2596">
        <v>475.56048322921299</v>
      </c>
      <c r="T2596">
        <v>302.47501122836297</v>
      </c>
      <c r="U2596">
        <v>312.62348489928797</v>
      </c>
      <c r="V2596">
        <v>392.83903515417899</v>
      </c>
      <c r="W2596">
        <v>410.27420258574602</v>
      </c>
    </row>
    <row r="2597" spans="1:23" x14ac:dyDescent="0.2">
      <c r="A2597" t="s">
        <v>5199</v>
      </c>
      <c r="B2597" s="3" t="str">
        <f>HYPERLINK("http://www.ncbi.nlm.nih.gov/gene/83453","Chrdl1")</f>
        <v>Chrdl1</v>
      </c>
      <c r="C2597">
        <v>83453</v>
      </c>
      <c r="D2597" t="s">
        <v>5200</v>
      </c>
      <c r="E2597" s="3" t="str">
        <f>HYPERLINK("http://genome.ucsc.edu/cgi-bin/hgTracks?db=mm10&amp;lastVirtModeType=default&amp;lastVirtModeExtraState=&amp;virtModeType=default&amp;virtMode=0&amp;nonVirtPosition=&amp;position=chrX:143297157-143394262","chrX:143297157-143394262")</f>
        <v>chrX:143297157-143394262</v>
      </c>
      <c r="F2597" t="s">
        <v>25</v>
      </c>
      <c r="G2597">
        <v>-1.16614179532972</v>
      </c>
      <c r="H2597">
        <v>0.39646296811600301</v>
      </c>
      <c r="I2597">
        <v>-2.9413637315768599</v>
      </c>
      <c r="J2597">
        <v>3.2677058102216099E-3</v>
      </c>
      <c r="K2597">
        <v>1.68428978078051E-2</v>
      </c>
      <c r="L2597" t="s">
        <v>26</v>
      </c>
      <c r="M2597" t="s">
        <v>27</v>
      </c>
      <c r="N2597">
        <v>99.788559144970804</v>
      </c>
      <c r="O2597">
        <v>176.74786564112</v>
      </c>
      <c r="P2597">
        <v>42.069079272859</v>
      </c>
      <c r="Q2597">
        <v>59.0200098766068</v>
      </c>
      <c r="R2597">
        <v>213.52051778870299</v>
      </c>
      <c r="S2597">
        <v>257.70306925804999</v>
      </c>
      <c r="T2597">
        <v>13.7488641467438</v>
      </c>
      <c r="U2597">
        <v>72.802729360108202</v>
      </c>
      <c r="V2597">
        <v>31.6331058270219</v>
      </c>
      <c r="W2597">
        <v>50.091617757562098</v>
      </c>
    </row>
    <row r="2598" spans="1:23" x14ac:dyDescent="0.2">
      <c r="A2598" t="s">
        <v>5201</v>
      </c>
      <c r="B2598" s="3" t="str">
        <f>HYPERLINK("http://www.ncbi.nlm.nih.gov/gene/215690","Nav1")</f>
        <v>Nav1</v>
      </c>
      <c r="C2598">
        <v>215690</v>
      </c>
      <c r="D2598" t="s">
        <v>5202</v>
      </c>
      <c r="E2598" s="3" t="str">
        <f>HYPERLINK("http://genome.ucsc.edu/cgi-bin/hgTracks?db=mm10&amp;lastVirtModeType=default&amp;lastVirtModeExtraState=&amp;virtModeType=default&amp;virtMode=0&amp;nonVirtPosition=&amp;position=chr1:135434579-135585355","chr1:135434579-135585355")</f>
        <v>chr1:135434579-135585355</v>
      </c>
      <c r="F2598" t="s">
        <v>25</v>
      </c>
      <c r="G2598">
        <v>0.58224629408538497</v>
      </c>
      <c r="H2598">
        <v>0.19797504819400299</v>
      </c>
      <c r="I2598">
        <v>2.9410084725162999</v>
      </c>
      <c r="J2598">
        <v>3.2714558562552602E-3</v>
      </c>
      <c r="K2598">
        <v>1.68557388884625E-2</v>
      </c>
      <c r="L2598" t="s">
        <v>26</v>
      </c>
      <c r="M2598" t="s">
        <v>27</v>
      </c>
      <c r="N2598">
        <v>2657.3694330794801</v>
      </c>
      <c r="O2598">
        <v>2031.3988023071599</v>
      </c>
      <c r="P2598">
        <v>3126.8474061587299</v>
      </c>
      <c r="Q2598">
        <v>2173.7180996063498</v>
      </c>
      <c r="R2598">
        <v>1304.6369115331099</v>
      </c>
      <c r="S2598">
        <v>2615.8413957820098</v>
      </c>
      <c r="T2598">
        <v>3047.6648858615399</v>
      </c>
      <c r="U2598">
        <v>2976.3468767808899</v>
      </c>
      <c r="V2598">
        <v>3432.5598090438202</v>
      </c>
      <c r="W2598">
        <v>3050.8180529486599</v>
      </c>
    </row>
    <row r="2599" spans="1:23" x14ac:dyDescent="0.2">
      <c r="A2599" t="s">
        <v>5203</v>
      </c>
      <c r="B2599" s="3" t="str">
        <f>HYPERLINK("http://www.ncbi.nlm.nih.gov/gene/18514","Pbx1")</f>
        <v>Pbx1</v>
      </c>
      <c r="C2599">
        <v>18514</v>
      </c>
      <c r="D2599" t="s">
        <v>5204</v>
      </c>
      <c r="E2599" s="3" t="str">
        <f>HYPERLINK("http://genome.ucsc.edu/cgi-bin/hgTracks?db=mm10&amp;lastVirtModeType=default&amp;lastVirtModeExtraState=&amp;virtModeType=default&amp;virtMode=0&amp;nonVirtPosition=&amp;position=chr1:168153526-168432169","chr1:168153526-168432169")</f>
        <v>chr1:168153526-168432169</v>
      </c>
      <c r="F2599" t="s">
        <v>25</v>
      </c>
      <c r="G2599">
        <v>0.38773312955545902</v>
      </c>
      <c r="H2599">
        <v>0.13184673580408701</v>
      </c>
      <c r="I2599">
        <v>2.9407867186912902</v>
      </c>
      <c r="J2599">
        <v>3.27379863377413E-3</v>
      </c>
      <c r="K2599">
        <v>1.6858766534237801E-2</v>
      </c>
      <c r="L2599" t="s">
        <v>26</v>
      </c>
      <c r="M2599" t="s">
        <v>27</v>
      </c>
      <c r="N2599">
        <v>558.29631483870196</v>
      </c>
      <c r="O2599">
        <v>475.11652031672799</v>
      </c>
      <c r="P2599">
        <v>620.681160730182</v>
      </c>
      <c r="Q2599">
        <v>543.98631744759302</v>
      </c>
      <c r="R2599">
        <v>405.80276027337902</v>
      </c>
      <c r="S2599">
        <v>475.56048322921299</v>
      </c>
      <c r="T2599">
        <v>554.53752058533303</v>
      </c>
      <c r="U2599">
        <v>633.81199678211794</v>
      </c>
      <c r="V2599">
        <v>659.88130062415496</v>
      </c>
      <c r="W2599">
        <v>634.49382492912002</v>
      </c>
    </row>
    <row r="2600" spans="1:23" x14ac:dyDescent="0.2">
      <c r="A2600" t="s">
        <v>5205</v>
      </c>
      <c r="B2600" s="3" t="str">
        <f>HYPERLINK("http://www.ncbi.nlm.nih.gov/gene/20384","Srsf5")</f>
        <v>Srsf5</v>
      </c>
      <c r="C2600">
        <v>20384</v>
      </c>
      <c r="D2600" t="s">
        <v>5206</v>
      </c>
      <c r="E2600" s="3" t="str">
        <f>HYPERLINK("http://genome.ucsc.edu/cgi-bin/hgTracks?db=mm10&amp;lastVirtModeType=default&amp;lastVirtModeExtraState=&amp;virtModeType=default&amp;virtMode=0&amp;nonVirtPosition=&amp;position=chr12:80945503-80950507","chr12:80945503-80950507")</f>
        <v>chr12:80945503-80950507</v>
      </c>
      <c r="F2600" t="s">
        <v>30</v>
      </c>
      <c r="G2600">
        <v>0.53068850331878203</v>
      </c>
      <c r="H2600">
        <v>0.18046243326488001</v>
      </c>
      <c r="I2600">
        <v>2.94071455048954</v>
      </c>
      <c r="J2600">
        <v>3.2745614035958898E-3</v>
      </c>
      <c r="K2600">
        <v>1.6858766534237801E-2</v>
      </c>
      <c r="L2600" t="s">
        <v>26</v>
      </c>
      <c r="M2600" t="s">
        <v>27</v>
      </c>
      <c r="N2600">
        <v>633.27819931930799</v>
      </c>
      <c r="O2600">
        <v>497.41083488134899</v>
      </c>
      <c r="P2600">
        <v>735.17872264777702</v>
      </c>
      <c r="Q2600">
        <v>333.51873505742901</v>
      </c>
      <c r="R2600">
        <v>606.04935599706505</v>
      </c>
      <c r="S2600">
        <v>552.66441358955296</v>
      </c>
      <c r="T2600">
        <v>765.35343750207096</v>
      </c>
      <c r="U2600">
        <v>704.47346939634099</v>
      </c>
      <c r="V2600">
        <v>738.59623837976699</v>
      </c>
      <c r="W2600">
        <v>732.29174531293097</v>
      </c>
    </row>
    <row r="2601" spans="1:23" x14ac:dyDescent="0.2">
      <c r="A2601" t="s">
        <v>5207</v>
      </c>
      <c r="B2601" s="3" t="str">
        <f>HYPERLINK("http://www.ncbi.nlm.nih.gov/gene/327744","E130307A14Rik")</f>
        <v>E130307A14Rik</v>
      </c>
      <c r="C2601">
        <v>327744</v>
      </c>
      <c r="D2601" t="s">
        <v>5208</v>
      </c>
      <c r="E2601" s="3" t="str">
        <f>HYPERLINK("http://genome.ucsc.edu/cgi-bin/hgTracks?db=mm10&amp;lastVirtModeType=default&amp;lastVirtModeExtraState=&amp;virtModeType=default&amp;virtMode=0&amp;nonVirtPosition=&amp;position=chr10:39621410-39732007","chr10:39621410-39732007")</f>
        <v>chr10:39621410-39732007</v>
      </c>
      <c r="F2601" t="s">
        <v>25</v>
      </c>
      <c r="G2601">
        <v>0.41729906320888799</v>
      </c>
      <c r="H2601">
        <v>0.14191961935542299</v>
      </c>
      <c r="I2601">
        <v>2.94039023712293</v>
      </c>
      <c r="J2601">
        <v>3.2779911787963198E-3</v>
      </c>
      <c r="K2601">
        <v>1.68660973747944E-2</v>
      </c>
      <c r="L2601" t="s">
        <v>26</v>
      </c>
      <c r="M2601" t="s">
        <v>27</v>
      </c>
      <c r="N2601">
        <v>178.44440247809101</v>
      </c>
      <c r="O2601">
        <v>147.479169165076</v>
      </c>
      <c r="P2601">
        <v>201.668327462853</v>
      </c>
      <c r="Q2601">
        <v>160.91304579565499</v>
      </c>
      <c r="R2601">
        <v>143.358358302184</v>
      </c>
      <c r="S2601">
        <v>138.16610339738801</v>
      </c>
      <c r="T2601">
        <v>229.147735779063</v>
      </c>
      <c r="U2601">
        <v>188.43059363792699</v>
      </c>
      <c r="V2601">
        <v>203.040400192048</v>
      </c>
      <c r="W2601">
        <v>186.05458024237299</v>
      </c>
    </row>
    <row r="2602" spans="1:23" x14ac:dyDescent="0.2">
      <c r="A2602" t="s">
        <v>5209</v>
      </c>
      <c r="B2602" s="3" t="str">
        <f>HYPERLINK("http://www.ncbi.nlm.nih.gov/gene/100039123","Gm14295")</f>
        <v>Gm14295</v>
      </c>
      <c r="C2602">
        <v>100039123</v>
      </c>
      <c r="D2602" t="s">
        <v>5210</v>
      </c>
      <c r="E2602" s="3" t="str">
        <f>HYPERLINK("http://genome.ucsc.edu/cgi-bin/hgTracks?db=mm10&amp;lastVirtModeType=default&amp;lastVirtModeExtraState=&amp;virtModeType=default&amp;virtMode=0&amp;nonVirtPosition=&amp;position=chr2:176798599-176808704","chr2:176798599-176808704")</f>
        <v>chr2:176798599-176808704</v>
      </c>
      <c r="F2602" t="s">
        <v>30</v>
      </c>
      <c r="G2602">
        <v>-0.93165661149870105</v>
      </c>
      <c r="H2602">
        <v>0.31685317337543201</v>
      </c>
      <c r="I2602">
        <v>-2.9403417411723498</v>
      </c>
      <c r="J2602">
        <v>3.2785043287723E-3</v>
      </c>
      <c r="K2602">
        <v>1.68660973747944E-2</v>
      </c>
      <c r="L2602" t="s">
        <v>26</v>
      </c>
      <c r="M2602" t="s">
        <v>27</v>
      </c>
      <c r="N2602">
        <v>19.8316207181377</v>
      </c>
      <c r="O2602">
        <v>28.685031989139802</v>
      </c>
      <c r="P2602">
        <v>13.191562264886199</v>
      </c>
      <c r="Q2602">
        <v>31.737175122326299</v>
      </c>
      <c r="R2602">
        <v>28.4441187107508</v>
      </c>
      <c r="S2602">
        <v>25.873802134342402</v>
      </c>
      <c r="T2602">
        <v>18.3318188623251</v>
      </c>
      <c r="U2602">
        <v>6.4237702376566101</v>
      </c>
      <c r="V2602">
        <v>12.506111606031901</v>
      </c>
      <c r="W2602">
        <v>15.504548353531099</v>
      </c>
    </row>
    <row r="2603" spans="1:23" x14ac:dyDescent="0.2">
      <c r="A2603" t="s">
        <v>5211</v>
      </c>
      <c r="B2603" s="3" t="str">
        <f>HYPERLINK("http://www.ncbi.nlm.nih.gov/gene/51786","Cpsf2")</f>
        <v>Cpsf2</v>
      </c>
      <c r="C2603">
        <v>51786</v>
      </c>
      <c r="D2603" t="s">
        <v>5212</v>
      </c>
      <c r="E2603" s="3" t="str">
        <f>HYPERLINK("http://genome.ucsc.edu/cgi-bin/hgTracks?db=mm10&amp;lastVirtModeType=default&amp;lastVirtModeExtraState=&amp;virtModeType=default&amp;virtMode=0&amp;nonVirtPosition=&amp;position=chr12:101975973-102005993","chr12:101975973-102005993")</f>
        <v>chr12:101975973-102005993</v>
      </c>
      <c r="F2603" t="s">
        <v>30</v>
      </c>
      <c r="G2603">
        <v>-0.421979641839619</v>
      </c>
      <c r="H2603">
        <v>0.14353704194428801</v>
      </c>
      <c r="I2603">
        <v>-2.9398658083214899</v>
      </c>
      <c r="J2603">
        <v>3.2835441992910002E-3</v>
      </c>
      <c r="K2603">
        <v>1.6885537777536801E-2</v>
      </c>
      <c r="L2603" t="s">
        <v>26</v>
      </c>
      <c r="M2603" t="s">
        <v>27</v>
      </c>
      <c r="N2603">
        <v>458.55386121783101</v>
      </c>
      <c r="O2603">
        <v>539.34219658349195</v>
      </c>
      <c r="P2603">
        <v>397.96260969358502</v>
      </c>
      <c r="Q2603">
        <v>444.87724425857402</v>
      </c>
      <c r="R2603">
        <v>580.63927661546097</v>
      </c>
      <c r="S2603">
        <v>592.51006887644098</v>
      </c>
      <c r="T2603">
        <v>362.05342253091999</v>
      </c>
      <c r="U2603">
        <v>456.08768687361902</v>
      </c>
      <c r="V2603">
        <v>372.97638730930498</v>
      </c>
      <c r="W2603">
        <v>400.73294206049701</v>
      </c>
    </row>
    <row r="2604" spans="1:23" x14ac:dyDescent="0.2">
      <c r="A2604" t="s">
        <v>5213</v>
      </c>
      <c r="B2604" s="3" t="str">
        <f>HYPERLINK("http://www.ncbi.nlm.nih.gov/gene/100036523","Gm16982")</f>
        <v>Gm16982</v>
      </c>
      <c r="C2604">
        <v>100036523</v>
      </c>
      <c r="D2604" t="s">
        <v>5214</v>
      </c>
      <c r="E2604" s="3" t="str">
        <f>HYPERLINK("http://genome.ucsc.edu/cgi-bin/hgTracks?db=mm10&amp;lastVirtModeType=default&amp;lastVirtModeExtraState=&amp;virtModeType=default&amp;virtMode=0&amp;nonVirtPosition=&amp;position=chr7:141610065-141613747","chr7:141610065-141613747")</f>
        <v>chr7:141610065-141613747</v>
      </c>
      <c r="F2604" t="s">
        <v>25</v>
      </c>
      <c r="G2604">
        <v>1.05487135787889</v>
      </c>
      <c r="H2604">
        <v>0.35887405435626002</v>
      </c>
      <c r="I2604">
        <v>2.9393915360392899</v>
      </c>
      <c r="J2604">
        <v>3.2885735050052702E-3</v>
      </c>
      <c r="K2604">
        <v>1.6904908946458901E-2</v>
      </c>
      <c r="L2604" t="s">
        <v>26</v>
      </c>
      <c r="M2604" t="s">
        <v>27</v>
      </c>
      <c r="N2604">
        <v>12.210729598226701</v>
      </c>
      <c r="O2604">
        <v>6.1802434343807198</v>
      </c>
      <c r="P2604">
        <v>16.7335942211113</v>
      </c>
      <c r="Q2604">
        <v>6.1247180060629702</v>
      </c>
      <c r="R2604">
        <v>5.6888237421501699</v>
      </c>
      <c r="S2604">
        <v>6.72718855492902</v>
      </c>
      <c r="T2604">
        <v>18.3318188623251</v>
      </c>
      <c r="U2604">
        <v>8.5650269835421398</v>
      </c>
      <c r="V2604">
        <v>16.184379725453098</v>
      </c>
      <c r="W2604">
        <v>23.853151313124801</v>
      </c>
    </row>
    <row r="2605" spans="1:23" x14ac:dyDescent="0.2">
      <c r="A2605" t="s">
        <v>5215</v>
      </c>
      <c r="B2605" s="3" t="str">
        <f>HYPERLINK("http://www.ncbi.nlm.nih.gov/gene/77604","Rbm12b2")</f>
        <v>Rbm12b2</v>
      </c>
      <c r="C2605">
        <v>77604</v>
      </c>
      <c r="D2605" t="s">
        <v>5216</v>
      </c>
      <c r="E2605" s="3" t="str">
        <f>HYPERLINK("http://genome.ucsc.edu/cgi-bin/hgTracks?db=mm10&amp;lastVirtModeType=default&amp;lastVirtModeExtraState=&amp;virtModeType=default&amp;virtMode=0&amp;nonVirtPosition=&amp;position=chr4:12089369-12096271","chr4:12089369-12096271")</f>
        <v>chr4:12089369-12096271</v>
      </c>
      <c r="F2605" t="s">
        <v>30</v>
      </c>
      <c r="G2605">
        <v>0.57184311213387795</v>
      </c>
      <c r="H2605">
        <v>0.19458239955492801</v>
      </c>
      <c r="I2605">
        <v>2.9388223880570101</v>
      </c>
      <c r="J2605">
        <v>3.2946181596873298E-3</v>
      </c>
      <c r="K2605">
        <v>1.6927155325099801E-2</v>
      </c>
      <c r="L2605" t="s">
        <v>26</v>
      </c>
      <c r="M2605" t="s">
        <v>27</v>
      </c>
      <c r="N2605">
        <v>93.978095248409602</v>
      </c>
      <c r="O2605">
        <v>72.049139782909606</v>
      </c>
      <c r="P2605">
        <v>110.424811847535</v>
      </c>
      <c r="Q2605">
        <v>78.507748986807201</v>
      </c>
      <c r="R2605">
        <v>72.437688983378806</v>
      </c>
      <c r="S2605">
        <v>65.201981378542797</v>
      </c>
      <c r="T2605">
        <v>105.407958458369</v>
      </c>
      <c r="U2605">
        <v>115.627864277819</v>
      </c>
      <c r="V2605">
        <v>88.278434866107602</v>
      </c>
      <c r="W2605">
        <v>132.38498978784301</v>
      </c>
    </row>
    <row r="2606" spans="1:23" x14ac:dyDescent="0.2">
      <c r="A2606" t="s">
        <v>5217</v>
      </c>
      <c r="B2606" s="3" t="str">
        <f>HYPERLINK("http://www.ncbi.nlm.nih.gov/gene/64934","Pes1")</f>
        <v>Pes1</v>
      </c>
      <c r="C2606">
        <v>64934</v>
      </c>
      <c r="D2606" t="s">
        <v>5218</v>
      </c>
      <c r="E2606" s="3" t="str">
        <f>HYPERLINK("http://genome.ucsc.edu/cgi-bin/hgTracks?db=mm10&amp;lastVirtModeType=default&amp;lastVirtModeExtraState=&amp;virtModeType=default&amp;virtMode=0&amp;nonVirtPosition=&amp;position=chr11:3963974-3980004","chr11:3963974-3980004")</f>
        <v>chr11:3963974-3980004</v>
      </c>
      <c r="F2606" t="s">
        <v>30</v>
      </c>
      <c r="G2606">
        <v>-0.50345857043752995</v>
      </c>
      <c r="H2606">
        <v>0.17131747893953</v>
      </c>
      <c r="I2606">
        <v>-2.93874608448585</v>
      </c>
      <c r="J2606">
        <v>3.2954293131607199E-3</v>
      </c>
      <c r="K2606">
        <v>1.6927155325099801E-2</v>
      </c>
      <c r="L2606" t="s">
        <v>26</v>
      </c>
      <c r="M2606" t="s">
        <v>27</v>
      </c>
      <c r="N2606">
        <v>212.809013620673</v>
      </c>
      <c r="O2606">
        <v>259.009004657567</v>
      </c>
      <c r="P2606">
        <v>178.15902034300299</v>
      </c>
      <c r="Q2606">
        <v>206.57003456812399</v>
      </c>
      <c r="R2606">
        <v>301.886913250102</v>
      </c>
      <c r="S2606">
        <v>268.57006615447398</v>
      </c>
      <c r="T2606">
        <v>151.237505614182</v>
      </c>
      <c r="U2606">
        <v>211.98441784266799</v>
      </c>
      <c r="V2606">
        <v>182.44209872328901</v>
      </c>
      <c r="W2606">
        <v>166.972059191874</v>
      </c>
    </row>
    <row r="2607" spans="1:23" x14ac:dyDescent="0.2">
      <c r="A2607" t="s">
        <v>5219</v>
      </c>
      <c r="B2607" s="3" t="str">
        <f>HYPERLINK("http://www.ncbi.nlm.nih.gov/gene/233902","Fbxl19")</f>
        <v>Fbxl19</v>
      </c>
      <c r="C2607">
        <v>233902</v>
      </c>
      <c r="D2607" t="s">
        <v>5220</v>
      </c>
      <c r="E2607" s="3" t="str">
        <f>HYPERLINK("http://genome.ucsc.edu/cgi-bin/hgTracks?db=mm10&amp;lastVirtModeType=default&amp;lastVirtModeExtraState=&amp;virtModeType=default&amp;virtMode=0&amp;nonVirtPosition=&amp;position=chr7:127746774-127768928","chr7:127746774-127768928")</f>
        <v>chr7:127746774-127768928</v>
      </c>
      <c r="F2607" t="s">
        <v>30</v>
      </c>
      <c r="G2607">
        <v>0.46117894250799202</v>
      </c>
      <c r="H2607">
        <v>0.15698343319815899</v>
      </c>
      <c r="I2607">
        <v>2.9377554886689898</v>
      </c>
      <c r="J2607">
        <v>3.3059764740570601E-3</v>
      </c>
      <c r="K2607">
        <v>1.69748201549456E-2</v>
      </c>
      <c r="L2607" t="s">
        <v>26</v>
      </c>
      <c r="M2607" t="s">
        <v>27</v>
      </c>
      <c r="N2607">
        <v>262.33668949836101</v>
      </c>
      <c r="O2607">
        <v>213.74516774613201</v>
      </c>
      <c r="P2607">
        <v>298.78033081253301</v>
      </c>
      <c r="Q2607">
        <v>186.52550291191801</v>
      </c>
      <c r="R2607">
        <v>194.937026897679</v>
      </c>
      <c r="S2607">
        <v>259.77297342879802</v>
      </c>
      <c r="T2607">
        <v>288.72614708162001</v>
      </c>
      <c r="U2607">
        <v>327.61228212048701</v>
      </c>
      <c r="V2607">
        <v>266.30661184609102</v>
      </c>
      <c r="W2607">
        <v>312.47628220193502</v>
      </c>
    </row>
    <row r="2608" spans="1:23" x14ac:dyDescent="0.2">
      <c r="A2608" t="s">
        <v>5221</v>
      </c>
      <c r="B2608" s="3" t="str">
        <f>HYPERLINK("http://www.ncbi.nlm.nih.gov/gene/67115","Rpl14")</f>
        <v>Rpl14</v>
      </c>
      <c r="C2608">
        <v>67115</v>
      </c>
      <c r="D2608" t="s">
        <v>5222</v>
      </c>
      <c r="E2608" s="3" t="str">
        <f>HYPERLINK("http://genome.ucsc.edu/cgi-bin/hgTracks?db=mm10&amp;lastVirtModeType=default&amp;lastVirtModeExtraState=&amp;virtModeType=default&amp;virtMode=0&amp;nonVirtPosition=&amp;position=chr9:120571516-120574653","chr9:120571516-120574653")</f>
        <v>chr9:120571516-120574653</v>
      </c>
      <c r="F2608" t="s">
        <v>30</v>
      </c>
      <c r="G2608">
        <v>-0.46931388845980598</v>
      </c>
      <c r="H2608">
        <v>0.15976172150291701</v>
      </c>
      <c r="I2608">
        <v>-2.93758657608879</v>
      </c>
      <c r="J2608">
        <v>3.3077780006512598E-3</v>
      </c>
      <c r="K2608">
        <v>1.6977560447190902E-2</v>
      </c>
      <c r="L2608" t="s">
        <v>26</v>
      </c>
      <c r="M2608" t="s">
        <v>27</v>
      </c>
      <c r="N2608">
        <v>361.157568848322</v>
      </c>
      <c r="O2608">
        <v>432.28989815961</v>
      </c>
      <c r="P2608">
        <v>307.80832186485497</v>
      </c>
      <c r="Q2608">
        <v>340.20024560949798</v>
      </c>
      <c r="R2608">
        <v>527.16433343924905</v>
      </c>
      <c r="S2608">
        <v>429.505115430084</v>
      </c>
      <c r="T2608">
        <v>311.64092065952599</v>
      </c>
      <c r="U2608">
        <v>286.92840394866198</v>
      </c>
      <c r="V2608">
        <v>317.80236551798703</v>
      </c>
      <c r="W2608">
        <v>314.861597333247</v>
      </c>
    </row>
    <row r="2609" spans="1:23" x14ac:dyDescent="0.2">
      <c r="A2609" t="s">
        <v>5223</v>
      </c>
      <c r="B2609" s="3" t="str">
        <f>HYPERLINK("http://www.ncbi.nlm.nih.gov/gene/21778","Tex9")</f>
        <v>Tex9</v>
      </c>
      <c r="C2609">
        <v>21778</v>
      </c>
      <c r="D2609" t="s">
        <v>5224</v>
      </c>
      <c r="E2609" s="3" t="str">
        <f>HYPERLINK("http://genome.ucsc.edu/cgi-bin/hgTracks?db=mm10&amp;lastVirtModeType=default&amp;lastVirtModeExtraState=&amp;virtModeType=default&amp;virtMode=0&amp;nonVirtPosition=&amp;position=chr9:72458054-72491959","chr9:72458054-72491959")</f>
        <v>chr9:72458054-72491959</v>
      </c>
      <c r="F2609" t="s">
        <v>25</v>
      </c>
      <c r="G2609">
        <v>0.64386097232235895</v>
      </c>
      <c r="H2609">
        <v>0.21924279759548199</v>
      </c>
      <c r="I2609">
        <v>2.93674857000468</v>
      </c>
      <c r="J2609">
        <v>3.31672893170456E-3</v>
      </c>
      <c r="K2609">
        <v>1.70169797411708E-2</v>
      </c>
      <c r="L2609" t="s">
        <v>26</v>
      </c>
      <c r="M2609" t="s">
        <v>27</v>
      </c>
      <c r="N2609">
        <v>52.183174034873097</v>
      </c>
      <c r="O2609">
        <v>37.990568400370698</v>
      </c>
      <c r="P2609">
        <v>62.827628260749897</v>
      </c>
      <c r="Q2609">
        <v>33.407552760343499</v>
      </c>
      <c r="R2609">
        <v>40.2010211111945</v>
      </c>
      <c r="S2609">
        <v>40.363131329574102</v>
      </c>
      <c r="T2609">
        <v>64.161366018137699</v>
      </c>
      <c r="U2609">
        <v>66.378959122451604</v>
      </c>
      <c r="V2609">
        <v>55.174021791317301</v>
      </c>
      <c r="W2609">
        <v>65.596166111093197</v>
      </c>
    </row>
    <row r="2610" spans="1:23" x14ac:dyDescent="0.2">
      <c r="A2610" t="s">
        <v>5225</v>
      </c>
      <c r="B2610" s="3" t="str">
        <f>HYPERLINK("http://www.ncbi.nlm.nih.gov/gene/69125","Cnot8")</f>
        <v>Cnot8</v>
      </c>
      <c r="C2610">
        <v>69125</v>
      </c>
      <c r="D2610" t="s">
        <v>5226</v>
      </c>
      <c r="E2610" s="3" t="str">
        <f>HYPERLINK("http://genome.ucsc.edu/cgi-bin/hgTracks?db=mm10&amp;lastVirtModeType=default&amp;lastVirtModeExtraState=&amp;virtModeType=default&amp;virtMode=0&amp;nonVirtPosition=&amp;position=chr11:58104152-58118594","chr11:58104152-58118594")</f>
        <v>chr11:58104152-58118594</v>
      </c>
      <c r="F2610" t="s">
        <v>30</v>
      </c>
      <c r="G2610">
        <v>-0.47496751769338103</v>
      </c>
      <c r="H2610">
        <v>0.16175822495906</v>
      </c>
      <c r="I2610">
        <v>-2.9362804754663401</v>
      </c>
      <c r="J2610">
        <v>3.32173835213751E-3</v>
      </c>
      <c r="K2610">
        <v>1.7035503177863499E-2</v>
      </c>
      <c r="L2610" t="s">
        <v>26</v>
      </c>
      <c r="M2610" t="s">
        <v>27</v>
      </c>
      <c r="N2610">
        <v>193.106908868022</v>
      </c>
      <c r="O2610">
        <v>236.296996978241</v>
      </c>
      <c r="P2610">
        <v>160.71434278535699</v>
      </c>
      <c r="Q2610">
        <v>246.10230533453</v>
      </c>
      <c r="R2610">
        <v>242.343891415597</v>
      </c>
      <c r="S2610">
        <v>220.44479418459699</v>
      </c>
      <c r="T2610">
        <v>100.825003742788</v>
      </c>
      <c r="U2610">
        <v>182.00682340027001</v>
      </c>
      <c r="V2610">
        <v>169.20033349337299</v>
      </c>
      <c r="W2610">
        <v>190.82521050499801</v>
      </c>
    </row>
    <row r="2611" spans="1:23" x14ac:dyDescent="0.2">
      <c r="A2611" t="s">
        <v>5227</v>
      </c>
      <c r="B2611" s="3" t="str">
        <f>HYPERLINK("http://www.ncbi.nlm.nih.gov/gene/18037","Nfkbie")</f>
        <v>Nfkbie</v>
      </c>
      <c r="C2611">
        <v>18037</v>
      </c>
      <c r="D2611" t="s">
        <v>5228</v>
      </c>
      <c r="E2611" s="3" t="str">
        <f>HYPERLINK("http://genome.ucsc.edu/cgi-bin/hgTracks?db=mm10&amp;lastVirtModeType=default&amp;lastVirtModeExtraState=&amp;virtModeType=default&amp;virtMode=0&amp;nonVirtPosition=&amp;position=chr17:45555699-45563168","chr17:45555699-45563168")</f>
        <v>chr17:45555699-45563168</v>
      </c>
      <c r="F2611" t="s">
        <v>30</v>
      </c>
      <c r="G2611">
        <v>0.63883020531131196</v>
      </c>
      <c r="H2611">
        <v>0.21757859415870001</v>
      </c>
      <c r="I2611">
        <v>2.9360894061359502</v>
      </c>
      <c r="J2611">
        <v>3.3237851038462902E-3</v>
      </c>
      <c r="K2611">
        <v>1.7035503177863499E-2</v>
      </c>
      <c r="L2611" t="s">
        <v>26</v>
      </c>
      <c r="M2611" t="s">
        <v>27</v>
      </c>
      <c r="N2611">
        <v>63.169416266215002</v>
      </c>
      <c r="O2611">
        <v>44.8717648929264</v>
      </c>
      <c r="P2611">
        <v>76.892654796181404</v>
      </c>
      <c r="Q2611">
        <v>47.327366410486597</v>
      </c>
      <c r="R2611">
        <v>45.889844853344698</v>
      </c>
      <c r="S2611">
        <v>41.398083414947799</v>
      </c>
      <c r="T2611">
        <v>109.99091317395001</v>
      </c>
      <c r="U2611">
        <v>62.096445630680499</v>
      </c>
      <c r="V2611">
        <v>69.887094269001906</v>
      </c>
      <c r="W2611">
        <v>65.596166111093197</v>
      </c>
    </row>
    <row r="2612" spans="1:23" x14ac:dyDescent="0.2">
      <c r="A2612" t="s">
        <v>5229</v>
      </c>
      <c r="B2612" s="3" t="str">
        <f>HYPERLINK("http://www.ncbi.nlm.nih.gov/gene/77219","Ptgr2")</f>
        <v>Ptgr2</v>
      </c>
      <c r="C2612">
        <v>77219</v>
      </c>
      <c r="D2612" t="s">
        <v>5230</v>
      </c>
      <c r="E2612" s="3" t="str">
        <f>HYPERLINK("http://genome.ucsc.edu/cgi-bin/hgTracks?db=mm10&amp;lastVirtModeType=default&amp;lastVirtModeExtraState=&amp;virtModeType=default&amp;virtMode=0&amp;nonVirtPosition=&amp;position=chr12:84285295-84315832","chr12:84285295-84315832")</f>
        <v>chr12:84285295-84315832</v>
      </c>
      <c r="F2612" t="s">
        <v>30</v>
      </c>
      <c r="G2612">
        <v>-0.51816378523762796</v>
      </c>
      <c r="H2612">
        <v>0.17648300789653601</v>
      </c>
      <c r="I2612">
        <v>-2.9360548157781001</v>
      </c>
      <c r="J2612">
        <v>3.3241557616128302E-3</v>
      </c>
      <c r="K2612">
        <v>1.7035503177863499E-2</v>
      </c>
      <c r="L2612" t="s">
        <v>26</v>
      </c>
      <c r="M2612" t="s">
        <v>27</v>
      </c>
      <c r="N2612">
        <v>152.01321782096801</v>
      </c>
      <c r="O2612">
        <v>189.45409108999999</v>
      </c>
      <c r="P2612">
        <v>123.932562869194</v>
      </c>
      <c r="Q2612">
        <v>165.92417870970601</v>
      </c>
      <c r="R2612">
        <v>206.31467438197899</v>
      </c>
      <c r="S2612">
        <v>196.123420178315</v>
      </c>
      <c r="T2612">
        <v>87.076139596044001</v>
      </c>
      <c r="U2612">
        <v>117.769121023704</v>
      </c>
      <c r="V2612">
        <v>144.18811028130901</v>
      </c>
      <c r="W2612">
        <v>146.69688057571801</v>
      </c>
    </row>
    <row r="2613" spans="1:23" x14ac:dyDescent="0.2">
      <c r="A2613" t="s">
        <v>5231</v>
      </c>
      <c r="B2613" s="3" t="str">
        <f>HYPERLINK("http://www.ncbi.nlm.nih.gov/gene/74120","Zfp263")</f>
        <v>Zfp263</v>
      </c>
      <c r="C2613">
        <v>74120</v>
      </c>
      <c r="D2613" t="s">
        <v>5232</v>
      </c>
      <c r="E2613" s="3" t="str">
        <f>HYPERLINK("http://genome.ucsc.edu/cgi-bin/hgTracks?db=mm10&amp;lastVirtModeType=default&amp;lastVirtModeExtraState=&amp;virtModeType=default&amp;virtMode=0&amp;nonVirtPosition=&amp;position=chr16:3744098-3750788","chr16:3744098-3750788")</f>
        <v>chr16:3744098-3750788</v>
      </c>
      <c r="F2613" t="s">
        <v>30</v>
      </c>
      <c r="G2613">
        <v>0.486947876950798</v>
      </c>
      <c r="H2613">
        <v>0.165869634565909</v>
      </c>
      <c r="I2613">
        <v>2.9357264711239699</v>
      </c>
      <c r="J2613">
        <v>3.3276760593763202E-3</v>
      </c>
      <c r="K2613">
        <v>1.7043002234343199E-2</v>
      </c>
      <c r="L2613" t="s">
        <v>26</v>
      </c>
      <c r="M2613" t="s">
        <v>27</v>
      </c>
      <c r="N2613">
        <v>164.18471558278</v>
      </c>
      <c r="O2613">
        <v>129.40756879574701</v>
      </c>
      <c r="P2613">
        <v>190.26757567305401</v>
      </c>
      <c r="Q2613">
        <v>125.278322851288</v>
      </c>
      <c r="R2613">
        <v>119.08604366901</v>
      </c>
      <c r="S2613">
        <v>143.85833986694399</v>
      </c>
      <c r="T2613">
        <v>233.73069049464399</v>
      </c>
      <c r="U2613">
        <v>199.136877367355</v>
      </c>
      <c r="V2613">
        <v>174.349908860563</v>
      </c>
      <c r="W2613">
        <v>153.85282596965499</v>
      </c>
    </row>
    <row r="2614" spans="1:23" x14ac:dyDescent="0.2">
      <c r="A2614" t="s">
        <v>5233</v>
      </c>
      <c r="B2614" s="3" t="str">
        <f>HYPERLINK("http://www.ncbi.nlm.nih.gov/gene/19025","Ctsa")</f>
        <v>Ctsa</v>
      </c>
      <c r="C2614">
        <v>19025</v>
      </c>
      <c r="D2614" t="s">
        <v>5234</v>
      </c>
      <c r="E2614" s="3" t="str">
        <f>HYPERLINK("http://genome.ucsc.edu/cgi-bin/hgTracks?db=mm10&amp;lastVirtModeType=default&amp;lastVirtModeExtraState=&amp;virtModeType=default&amp;virtMode=0&amp;nonVirtPosition=&amp;position=chr2:164833772-164841032","chr2:164833772-164841032")</f>
        <v>chr2:164833772-164841032</v>
      </c>
      <c r="F2614" t="s">
        <v>30</v>
      </c>
      <c r="G2614">
        <v>-0.52032421770139703</v>
      </c>
      <c r="H2614">
        <v>0.17724140622055201</v>
      </c>
      <c r="I2614">
        <v>-2.9356809381997699</v>
      </c>
      <c r="J2614">
        <v>3.32816450174053E-3</v>
      </c>
      <c r="K2614">
        <v>1.7043002234343199E-2</v>
      </c>
      <c r="L2614" t="s">
        <v>26</v>
      </c>
      <c r="M2614" t="s">
        <v>27</v>
      </c>
      <c r="N2614">
        <v>441.762300425023</v>
      </c>
      <c r="O2614">
        <v>540.28677509688305</v>
      </c>
      <c r="P2614">
        <v>367.86894442112902</v>
      </c>
      <c r="Q2614">
        <v>692.64992723112198</v>
      </c>
      <c r="R2614">
        <v>466.10429194017098</v>
      </c>
      <c r="S2614">
        <v>462.10610611935499</v>
      </c>
      <c r="T2614">
        <v>380.385241393245</v>
      </c>
      <c r="U2614">
        <v>289.069660694547</v>
      </c>
      <c r="V2614">
        <v>396.51730327360002</v>
      </c>
      <c r="W2614">
        <v>405.503572323122</v>
      </c>
    </row>
    <row r="2615" spans="1:23" x14ac:dyDescent="0.2">
      <c r="A2615" t="s">
        <v>5235</v>
      </c>
      <c r="B2615" s="3" t="str">
        <f>HYPERLINK("http://www.ncbi.nlm.nih.gov/gene/66414","Ndufa12")</f>
        <v>Ndufa12</v>
      </c>
      <c r="C2615">
        <v>66414</v>
      </c>
      <c r="D2615" t="s">
        <v>5236</v>
      </c>
      <c r="E2615" s="3" t="str">
        <f>HYPERLINK("http://genome.ucsc.edu/cgi-bin/hgTracks?db=mm10&amp;lastVirtModeType=default&amp;lastVirtModeExtraState=&amp;virtModeType=default&amp;virtMode=0&amp;nonVirtPosition=&amp;position=chr10:94199008-94220948","chr10:94199008-94220948")</f>
        <v>chr10:94199008-94220948</v>
      </c>
      <c r="F2615" t="s">
        <v>30</v>
      </c>
      <c r="G2615">
        <v>-0.58687412070818301</v>
      </c>
      <c r="H2615">
        <v>0.19992369663397699</v>
      </c>
      <c r="I2615">
        <v>-2.9354905425875599</v>
      </c>
      <c r="J2615">
        <v>3.3302076275940301E-3</v>
      </c>
      <c r="K2615">
        <v>1.7046945849048801E-2</v>
      </c>
      <c r="L2615" t="s">
        <v>26</v>
      </c>
      <c r="M2615" t="s">
        <v>27</v>
      </c>
      <c r="N2615">
        <v>103.74334955008</v>
      </c>
      <c r="O2615">
        <v>130.86150891134301</v>
      </c>
      <c r="P2615">
        <v>83.404730029134001</v>
      </c>
      <c r="Q2615">
        <v>133.630211041374</v>
      </c>
      <c r="R2615">
        <v>157.01153528334501</v>
      </c>
      <c r="S2615">
        <v>101.94278040930899</v>
      </c>
      <c r="T2615">
        <v>73.327275449300203</v>
      </c>
      <c r="U2615">
        <v>87.791526581306996</v>
      </c>
      <c r="V2615">
        <v>89.014088489991806</v>
      </c>
      <c r="W2615">
        <v>83.486029595936799</v>
      </c>
    </row>
    <row r="2616" spans="1:23" x14ac:dyDescent="0.2">
      <c r="A2616" t="s">
        <v>5237</v>
      </c>
      <c r="B2616" s="3" t="str">
        <f>HYPERLINK("http://www.ncbi.nlm.nih.gov/gene/108767","Pnrc1")</f>
        <v>Pnrc1</v>
      </c>
      <c r="C2616">
        <v>108767</v>
      </c>
      <c r="D2616" t="s">
        <v>5238</v>
      </c>
      <c r="E2616" s="3" t="str">
        <f>HYPERLINK("http://genome.ucsc.edu/cgi-bin/hgTracks?db=mm10&amp;lastVirtModeType=default&amp;lastVirtModeExtraState=&amp;virtModeType=default&amp;virtMode=0&amp;nonVirtPosition=&amp;position=chr4:33245422-33248787","chr4:33245422-33248787")</f>
        <v>chr4:33245422-33248787</v>
      </c>
      <c r="F2616" t="s">
        <v>25</v>
      </c>
      <c r="G2616">
        <v>-0.51872519935501904</v>
      </c>
      <c r="H2616">
        <v>0.176730656461111</v>
      </c>
      <c r="I2616">
        <v>-2.9351172555009701</v>
      </c>
      <c r="J2616">
        <v>3.3342166683288398E-3</v>
      </c>
      <c r="K2616">
        <v>1.7060945894379599E-2</v>
      </c>
      <c r="L2616" t="s">
        <v>26</v>
      </c>
      <c r="M2616" t="s">
        <v>27</v>
      </c>
      <c r="N2616">
        <v>218.448935084575</v>
      </c>
      <c r="O2616">
        <v>269.26824656472002</v>
      </c>
      <c r="P2616">
        <v>180.33445147446599</v>
      </c>
      <c r="Q2616">
        <v>331.84835741941203</v>
      </c>
      <c r="R2616">
        <v>260.16887247433402</v>
      </c>
      <c r="S2616">
        <v>215.78750980041499</v>
      </c>
      <c r="T2616">
        <v>146.65455089860001</v>
      </c>
      <c r="U2616">
        <v>188.43059363792699</v>
      </c>
      <c r="V2616">
        <v>203.77605381593199</v>
      </c>
      <c r="W2616">
        <v>182.47660754540499</v>
      </c>
    </row>
    <row r="2617" spans="1:23" x14ac:dyDescent="0.2">
      <c r="A2617" t="s">
        <v>5239</v>
      </c>
      <c r="B2617" s="3" t="str">
        <f>HYPERLINK("http://www.ncbi.nlm.nih.gov/gene/18828","Plscr2")</f>
        <v>Plscr2</v>
      </c>
      <c r="C2617">
        <v>18828</v>
      </c>
      <c r="D2617" t="s">
        <v>5240</v>
      </c>
      <c r="E2617" s="3" t="str">
        <f>HYPERLINK("http://genome.ucsc.edu/cgi-bin/hgTracks?db=mm10&amp;lastVirtModeType=default&amp;lastVirtModeExtraState=&amp;virtModeType=default&amp;virtMode=0&amp;nonVirtPosition=&amp;position=chr9:92275601-92297752","chr9:92275601-92297752")</f>
        <v>chr9:92275601-92297752</v>
      </c>
      <c r="F2617" t="s">
        <v>30</v>
      </c>
      <c r="G2617">
        <v>-1.0887744270800199</v>
      </c>
      <c r="H2617">
        <v>0.37098775309086901</v>
      </c>
      <c r="I2617">
        <v>-2.9347988390693298</v>
      </c>
      <c r="J2617">
        <v>3.3376398805951501E-3</v>
      </c>
      <c r="K2617">
        <v>1.7071938747536201E-2</v>
      </c>
      <c r="L2617" t="s">
        <v>26</v>
      </c>
      <c r="M2617" t="s">
        <v>27</v>
      </c>
      <c r="N2617">
        <v>11.596096298391</v>
      </c>
      <c r="O2617">
        <v>19.610273032099801</v>
      </c>
      <c r="P2617">
        <v>5.5854637481094098</v>
      </c>
      <c r="Q2617">
        <v>26.169249662269099</v>
      </c>
      <c r="R2617">
        <v>14.0324318973038</v>
      </c>
      <c r="S2617">
        <v>18.6291375367265</v>
      </c>
      <c r="T2617">
        <v>0</v>
      </c>
      <c r="U2617">
        <v>8.5650269835421398</v>
      </c>
      <c r="V2617">
        <v>6.6208826149580702</v>
      </c>
      <c r="W2617">
        <v>7.15594539393744</v>
      </c>
    </row>
    <row r="2618" spans="1:23" x14ac:dyDescent="0.2">
      <c r="A2618" t="s">
        <v>5241</v>
      </c>
      <c r="B2618" s="3" t="str">
        <f>HYPERLINK("http://www.ncbi.nlm.nih.gov/gene/78100","Msantd4")</f>
        <v>Msantd4</v>
      </c>
      <c r="C2618">
        <v>78100</v>
      </c>
      <c r="D2618" t="s">
        <v>5242</v>
      </c>
      <c r="E2618" s="3" t="str">
        <f>HYPERLINK("http://genome.ucsc.edu/cgi-bin/hgTracks?db=mm10&amp;lastVirtModeType=default&amp;lastVirtModeExtraState=&amp;virtModeType=default&amp;virtMode=0&amp;nonVirtPosition=&amp;position=chr9:4383536-4386869","chr9:4383536-4386869")</f>
        <v>chr9:4383536-4386869</v>
      </c>
      <c r="F2618" t="s">
        <v>30</v>
      </c>
      <c r="G2618">
        <v>-0.467527824108111</v>
      </c>
      <c r="H2618">
        <v>0.159315704905925</v>
      </c>
      <c r="I2618">
        <v>-2.9345997269019</v>
      </c>
      <c r="J2618">
        <v>3.3397821099481299E-3</v>
      </c>
      <c r="K2618">
        <v>1.70763735144389E-2</v>
      </c>
      <c r="L2618" t="s">
        <v>26</v>
      </c>
      <c r="M2618" t="s">
        <v>27</v>
      </c>
      <c r="N2618">
        <v>260.89000148202302</v>
      </c>
      <c r="O2618">
        <v>310.343908121016</v>
      </c>
      <c r="P2618">
        <v>223.79957150277801</v>
      </c>
      <c r="Q2618">
        <v>347.99534125357798</v>
      </c>
      <c r="R2618">
        <v>322.74593363798601</v>
      </c>
      <c r="S2618">
        <v>260.29044947148401</v>
      </c>
      <c r="T2618">
        <v>265.81137350371301</v>
      </c>
      <c r="U2618">
        <v>184.14808014615599</v>
      </c>
      <c r="V2618">
        <v>241.294388634028</v>
      </c>
      <c r="W2618">
        <v>203.94444372721699</v>
      </c>
    </row>
    <row r="2619" spans="1:23" x14ac:dyDescent="0.2">
      <c r="A2619" t="s">
        <v>5243</v>
      </c>
      <c r="B2619" s="3" t="str">
        <f>HYPERLINK("http://www.ncbi.nlm.nih.gov/gene/23992","Prkra")</f>
        <v>Prkra</v>
      </c>
      <c r="C2619">
        <v>23992</v>
      </c>
      <c r="D2619" t="s">
        <v>5244</v>
      </c>
      <c r="E2619" s="3" t="str">
        <f>HYPERLINK("http://genome.ucsc.edu/cgi-bin/hgTracks?db=mm10&amp;lastVirtModeType=default&amp;lastVirtModeExtraState=&amp;virtModeType=default&amp;virtMode=0&amp;nonVirtPosition=&amp;position=chr2:76629936-76647994","chr2:76629936-76647994")</f>
        <v>chr2:76629936-76647994</v>
      </c>
      <c r="F2619" t="s">
        <v>25</v>
      </c>
      <c r="G2619">
        <v>-0.499165011065904</v>
      </c>
      <c r="H2619">
        <v>0.170157757516158</v>
      </c>
      <c r="I2619">
        <v>-2.9335424864100199</v>
      </c>
      <c r="J2619">
        <v>3.3511778528422399E-3</v>
      </c>
      <c r="K2619">
        <v>1.7128100239469601E-2</v>
      </c>
      <c r="L2619" t="s">
        <v>26</v>
      </c>
      <c r="M2619" t="s">
        <v>27</v>
      </c>
      <c r="N2619">
        <v>112.789543527308</v>
      </c>
      <c r="O2619">
        <v>136.50611473391101</v>
      </c>
      <c r="P2619">
        <v>95.002115122355804</v>
      </c>
      <c r="Q2619">
        <v>144.20926941548299</v>
      </c>
      <c r="R2619">
        <v>145.25463288290101</v>
      </c>
      <c r="S2619">
        <v>120.054441903349</v>
      </c>
      <c r="T2619">
        <v>100.825003742788</v>
      </c>
      <c r="U2619">
        <v>85.650269835421398</v>
      </c>
      <c r="V2619">
        <v>99.313239224371102</v>
      </c>
      <c r="W2619">
        <v>94.2199476868429</v>
      </c>
    </row>
    <row r="2620" spans="1:23" x14ac:dyDescent="0.2">
      <c r="A2620" t="s">
        <v>5245</v>
      </c>
      <c r="B2620" s="3" t="str">
        <f>HYPERLINK("http://www.ncbi.nlm.nih.gov/gene/333193","Proser3")</f>
        <v>Proser3</v>
      </c>
      <c r="C2620">
        <v>333193</v>
      </c>
      <c r="D2620" t="s">
        <v>5246</v>
      </c>
      <c r="E2620" s="3" t="str">
        <f>HYPERLINK("http://genome.ucsc.edu/cgi-bin/hgTracks?db=mm10&amp;lastVirtModeType=default&amp;lastVirtModeExtraState=&amp;virtModeType=default&amp;virtMode=0&amp;nonVirtPosition=&amp;position=chr7:30539133-30552272","chr7:30539133-30552272")</f>
        <v>chr7:30539133-30552272</v>
      </c>
      <c r="F2620" t="s">
        <v>25</v>
      </c>
      <c r="G2620">
        <v>0.83852199893385404</v>
      </c>
      <c r="H2620">
        <v>0.28591101529329499</v>
      </c>
      <c r="I2620">
        <v>2.9328076012520001</v>
      </c>
      <c r="J2620">
        <v>3.3591198528920702E-3</v>
      </c>
      <c r="K2620">
        <v>1.71563858801425E-2</v>
      </c>
      <c r="L2620" t="s">
        <v>26</v>
      </c>
      <c r="M2620" t="s">
        <v>27</v>
      </c>
      <c r="N2620">
        <v>32.819215574146703</v>
      </c>
      <c r="O2620">
        <v>20.446522101031999</v>
      </c>
      <c r="P2620">
        <v>42.098735678982798</v>
      </c>
      <c r="Q2620">
        <v>25.055664570257601</v>
      </c>
      <c r="R2620">
        <v>14.0324318973038</v>
      </c>
      <c r="S2620">
        <v>22.2514698355345</v>
      </c>
      <c r="T2620">
        <v>59.578411302556397</v>
      </c>
      <c r="U2620">
        <v>32.118851188283003</v>
      </c>
      <c r="V2620">
        <v>39.7252956897484</v>
      </c>
      <c r="W2620">
        <v>36.972384535343402</v>
      </c>
    </row>
    <row r="2621" spans="1:23" x14ac:dyDescent="0.2">
      <c r="A2621" t="s">
        <v>5247</v>
      </c>
      <c r="B2621" s="3" t="str">
        <f>HYPERLINK("http://www.ncbi.nlm.nih.gov/gene/15212","Hexb")</f>
        <v>Hexb</v>
      </c>
      <c r="C2621">
        <v>15212</v>
      </c>
      <c r="D2621" t="s">
        <v>5248</v>
      </c>
      <c r="E2621" s="3" t="str">
        <f>HYPERLINK("http://genome.ucsc.edu/cgi-bin/hgTracks?db=mm10&amp;lastVirtModeType=default&amp;lastVirtModeExtraState=&amp;virtModeType=default&amp;virtMode=0&amp;nonVirtPosition=&amp;position=chr13:97176330-97198357","chr13:97176330-97198357")</f>
        <v>chr13:97176330-97198357</v>
      </c>
      <c r="F2621" t="s">
        <v>25</v>
      </c>
      <c r="G2621">
        <v>-0.98730126798166695</v>
      </c>
      <c r="H2621">
        <v>0.33664195260624402</v>
      </c>
      <c r="I2621">
        <v>-2.93279331449361</v>
      </c>
      <c r="J2621">
        <v>3.35927442145722E-3</v>
      </c>
      <c r="K2621">
        <v>1.71563858801425E-2</v>
      </c>
      <c r="L2621" t="s">
        <v>26</v>
      </c>
      <c r="M2621" t="s">
        <v>27</v>
      </c>
      <c r="N2621">
        <v>325.09136322838498</v>
      </c>
      <c r="O2621">
        <v>489.278334234667</v>
      </c>
      <c r="P2621">
        <v>201.95113497367299</v>
      </c>
      <c r="Q2621">
        <v>834.63202646258196</v>
      </c>
      <c r="R2621">
        <v>312.88530581825898</v>
      </c>
      <c r="S2621">
        <v>320.31767042315897</v>
      </c>
      <c r="T2621">
        <v>219.98182634790101</v>
      </c>
      <c r="U2621">
        <v>184.14808014615599</v>
      </c>
      <c r="V2621">
        <v>160.37249000676201</v>
      </c>
      <c r="W2621">
        <v>243.302143393873</v>
      </c>
    </row>
    <row r="2622" spans="1:23" x14ac:dyDescent="0.2">
      <c r="A2622" t="s">
        <v>5249</v>
      </c>
      <c r="B2622" s="3" t="str">
        <f>HYPERLINK("http://www.ncbi.nlm.nih.gov/gene/76108","Rap2a")</f>
        <v>Rap2a</v>
      </c>
      <c r="C2622">
        <v>76108</v>
      </c>
      <c r="D2622" t="s">
        <v>5250</v>
      </c>
      <c r="E2622" s="3" t="str">
        <f>HYPERLINK("http://genome.ucsc.edu/cgi-bin/hgTracks?db=mm10&amp;lastVirtModeType=default&amp;lastVirtModeExtraState=&amp;virtModeType=default&amp;virtMode=0&amp;nonVirtPosition=&amp;position=chr14:120478460-120507192","chr14:120478460-120507192")</f>
        <v>chr14:120478460-120507192</v>
      </c>
      <c r="F2622" t="s">
        <v>30</v>
      </c>
      <c r="G2622">
        <v>-0.55387934086859003</v>
      </c>
      <c r="H2622">
        <v>0.188880318177715</v>
      </c>
      <c r="I2622">
        <v>-2.9324354501957801</v>
      </c>
      <c r="J2622">
        <v>3.3631482720142599E-3</v>
      </c>
      <c r="K2622">
        <v>1.7169622001731999E-2</v>
      </c>
      <c r="L2622" t="s">
        <v>26</v>
      </c>
      <c r="M2622" t="s">
        <v>27</v>
      </c>
      <c r="N2622">
        <v>474.284439513866</v>
      </c>
      <c r="O2622">
        <v>583.22660543898803</v>
      </c>
      <c r="P2622">
        <v>392.57781507002397</v>
      </c>
      <c r="Q2622">
        <v>733.85257563554603</v>
      </c>
      <c r="R2622">
        <v>481.27448858590401</v>
      </c>
      <c r="S2622">
        <v>534.55275209551405</v>
      </c>
      <c r="T2622">
        <v>517.87388286068301</v>
      </c>
      <c r="U2622">
        <v>293.352174186318</v>
      </c>
      <c r="V2622">
        <v>396.51730327360002</v>
      </c>
      <c r="W2622">
        <v>362.56789995949703</v>
      </c>
    </row>
    <row r="2623" spans="1:23" x14ac:dyDescent="0.2">
      <c r="A2623" t="s">
        <v>5251</v>
      </c>
      <c r="B2623" s="3" t="str">
        <f>HYPERLINK("http://www.ncbi.nlm.nih.gov/gene/74204","Xpo6")</f>
        <v>Xpo6</v>
      </c>
      <c r="C2623">
        <v>74204</v>
      </c>
      <c r="D2623" t="s">
        <v>5252</v>
      </c>
      <c r="E2623" s="3" t="str">
        <f>HYPERLINK("http://genome.ucsc.edu/cgi-bin/hgTracks?db=mm10&amp;lastVirtModeType=default&amp;lastVirtModeExtraState=&amp;virtModeType=default&amp;virtMode=0&amp;nonVirtPosition=&amp;position=chr7:126101718-126200408","chr7:126101718-126200408")</f>
        <v>chr7:126101718-126200408</v>
      </c>
      <c r="F2623" t="s">
        <v>25</v>
      </c>
      <c r="G2623">
        <v>0.31362277114098203</v>
      </c>
      <c r="H2623">
        <v>0.106959088079485</v>
      </c>
      <c r="I2623">
        <v>2.9321750659272499</v>
      </c>
      <c r="J2623">
        <v>3.3659694657371202E-3</v>
      </c>
      <c r="K2623">
        <v>1.71774760349412E-2</v>
      </c>
      <c r="L2623" t="s">
        <v>26</v>
      </c>
      <c r="M2623" t="s">
        <v>27</v>
      </c>
      <c r="N2623">
        <v>662.24821099570602</v>
      </c>
      <c r="O2623">
        <v>582.45537584950398</v>
      </c>
      <c r="P2623">
        <v>722.09283735535701</v>
      </c>
      <c r="Q2623">
        <v>545.09990253960495</v>
      </c>
      <c r="R2623">
        <v>580.26002169931701</v>
      </c>
      <c r="S2623">
        <v>622.006203309591</v>
      </c>
      <c r="T2623">
        <v>650.77956961253904</v>
      </c>
      <c r="U2623">
        <v>766.56991502702203</v>
      </c>
      <c r="V2623">
        <v>717.26228328712398</v>
      </c>
      <c r="W2623">
        <v>753.759581494744</v>
      </c>
    </row>
    <row r="2624" spans="1:23" x14ac:dyDescent="0.2">
      <c r="A2624" t="s">
        <v>5253</v>
      </c>
      <c r="B2624" s="3" t="str">
        <f>HYPERLINK("http://www.ncbi.nlm.nih.gov/gene/240327","Gm4951")</f>
        <v>Gm4951</v>
      </c>
      <c r="C2624">
        <v>240327</v>
      </c>
      <c r="D2624" t="s">
        <v>5254</v>
      </c>
      <c r="E2624" s="3" t="str">
        <f>HYPERLINK("http://genome.ucsc.edu/cgi-bin/hgTracks?db=mm10&amp;lastVirtModeType=default&amp;lastVirtModeExtraState=&amp;virtModeType=default&amp;virtMode=0&amp;nonVirtPosition=&amp;position=chr18:60212076-60247820","chr18:60212076-60247820")</f>
        <v>chr18:60212076-60247820</v>
      </c>
      <c r="F2624" t="s">
        <v>30</v>
      </c>
      <c r="G2624">
        <v>1.1667653783323999</v>
      </c>
      <c r="H2624">
        <v>0.39808125881272499</v>
      </c>
      <c r="I2624">
        <v>2.9309728918469302</v>
      </c>
      <c r="J2624">
        <v>3.3790226621285301E-3</v>
      </c>
      <c r="K2624">
        <v>1.7237520940405E-2</v>
      </c>
      <c r="L2624" t="s">
        <v>26</v>
      </c>
      <c r="M2624" t="s">
        <v>27</v>
      </c>
      <c r="N2624">
        <v>87.617824599876201</v>
      </c>
      <c r="O2624">
        <v>28.296325353526601</v>
      </c>
      <c r="P2624">
        <v>132.10894903463799</v>
      </c>
      <c r="Q2624">
        <v>43.986611134452303</v>
      </c>
      <c r="R2624">
        <v>21.238275304027301</v>
      </c>
      <c r="S2624">
        <v>19.6640896221002</v>
      </c>
      <c r="T2624">
        <v>265.81137350371301</v>
      </c>
      <c r="U2624">
        <v>32.118851188283003</v>
      </c>
      <c r="V2624">
        <v>99.313239224371102</v>
      </c>
      <c r="W2624">
        <v>131.192332222186</v>
      </c>
    </row>
    <row r="2625" spans="1:23" x14ac:dyDescent="0.2">
      <c r="A2625" t="s">
        <v>5255</v>
      </c>
      <c r="B2625" s="3" t="str">
        <f>HYPERLINK("http://www.ncbi.nlm.nih.gov/gene/109689","Arrb1")</f>
        <v>Arrb1</v>
      </c>
      <c r="C2625">
        <v>109689</v>
      </c>
      <c r="D2625" t="s">
        <v>5256</v>
      </c>
      <c r="E2625" s="3" t="str">
        <f>HYPERLINK("http://genome.ucsc.edu/cgi-bin/hgTracks?db=mm10&amp;lastVirtModeType=default&amp;lastVirtModeExtraState=&amp;virtModeType=default&amp;virtMode=0&amp;nonVirtPosition=&amp;position=chr7:99535485-99606771","chr7:99535485-99606771")</f>
        <v>chr7:99535485-99606771</v>
      </c>
      <c r="F2625" t="s">
        <v>30</v>
      </c>
      <c r="G2625">
        <v>-0.386306265337164</v>
      </c>
      <c r="H2625">
        <v>0.13181485524971301</v>
      </c>
      <c r="I2625">
        <v>-2.93067321285857</v>
      </c>
      <c r="J2625">
        <v>3.3822837428712201E-3</v>
      </c>
      <c r="K2625">
        <v>1.7247586291236999E-2</v>
      </c>
      <c r="L2625" t="s">
        <v>26</v>
      </c>
      <c r="M2625" t="s">
        <v>27</v>
      </c>
      <c r="N2625">
        <v>879.81488100110903</v>
      </c>
      <c r="O2625">
        <v>1024.96299804559</v>
      </c>
      <c r="P2625">
        <v>770.95379321774601</v>
      </c>
      <c r="Q2625">
        <v>1052.3379119508199</v>
      </c>
      <c r="R2625">
        <v>898.07564142744002</v>
      </c>
      <c r="S2625">
        <v>1124.4754407585201</v>
      </c>
      <c r="T2625">
        <v>641.61366018137699</v>
      </c>
      <c r="U2625">
        <v>843.65515787890104</v>
      </c>
      <c r="V2625">
        <v>836.43817035637005</v>
      </c>
      <c r="W2625">
        <v>762.10818445433699</v>
      </c>
    </row>
    <row r="2626" spans="1:23" x14ac:dyDescent="0.2">
      <c r="A2626" t="s">
        <v>5257</v>
      </c>
      <c r="B2626" s="3" t="str">
        <f>HYPERLINK("http://www.ncbi.nlm.nih.gov/gene/102334","Ankrd10")</f>
        <v>Ankrd10</v>
      </c>
      <c r="C2626">
        <v>102334</v>
      </c>
      <c r="D2626" t="s">
        <v>5258</v>
      </c>
      <c r="E2626" s="3" t="str">
        <f>HYPERLINK("http://genome.ucsc.edu/cgi-bin/hgTracks?db=mm10&amp;lastVirtModeType=default&amp;lastVirtModeExtraState=&amp;virtModeType=default&amp;virtMode=0&amp;nonVirtPosition=&amp;position=chr8:11611580-11635757","chr8:11611580-11635757")</f>
        <v>chr8:11611580-11635757</v>
      </c>
      <c r="F2626" t="s">
        <v>25</v>
      </c>
      <c r="G2626">
        <v>0.420958072913165</v>
      </c>
      <c r="H2626">
        <v>0.143717356623939</v>
      </c>
      <c r="I2626">
        <v>2.92906913125793</v>
      </c>
      <c r="J2626">
        <v>3.39978799059214E-3</v>
      </c>
      <c r="K2626">
        <v>1.7330247804346902E-2</v>
      </c>
      <c r="L2626" t="s">
        <v>26</v>
      </c>
      <c r="M2626" t="s">
        <v>27</v>
      </c>
      <c r="N2626">
        <v>303.520786316689</v>
      </c>
      <c r="O2626">
        <v>256.38828146698501</v>
      </c>
      <c r="P2626">
        <v>338.87016495396801</v>
      </c>
      <c r="Q2626">
        <v>249.99985315657099</v>
      </c>
      <c r="R2626">
        <v>232.48326359587</v>
      </c>
      <c r="S2626">
        <v>286.68172764851403</v>
      </c>
      <c r="T2626">
        <v>261.22841878813199</v>
      </c>
      <c r="U2626">
        <v>364.01364680054098</v>
      </c>
      <c r="V2626">
        <v>379.597269924263</v>
      </c>
      <c r="W2626">
        <v>350.64132430293398</v>
      </c>
    </row>
    <row r="2627" spans="1:23" x14ac:dyDescent="0.2">
      <c r="A2627" t="s">
        <v>5259</v>
      </c>
      <c r="B2627" s="3" t="str">
        <f>HYPERLINK("http://www.ncbi.nlm.nih.gov/gene/319817","Rc3h2")</f>
        <v>Rc3h2</v>
      </c>
      <c r="C2627">
        <v>319817</v>
      </c>
      <c r="D2627" t="s">
        <v>5260</v>
      </c>
      <c r="E2627" s="3" t="str">
        <f>HYPERLINK("http://genome.ucsc.edu/cgi-bin/hgTracks?db=mm10&amp;lastVirtModeType=default&amp;lastVirtModeExtraState=&amp;virtModeType=default&amp;virtMode=0&amp;nonVirtPosition=&amp;position=chr2:37370070-37422903","chr2:37370070-37422903")</f>
        <v>chr2:37370070-37422903</v>
      </c>
      <c r="F2627" t="s">
        <v>25</v>
      </c>
      <c r="G2627">
        <v>-0.36673234761807499</v>
      </c>
      <c r="H2627">
        <v>0.125216631867373</v>
      </c>
      <c r="I2627">
        <v>-2.9287830390335898</v>
      </c>
      <c r="J2627">
        <v>3.4029185724633601E-3</v>
      </c>
      <c r="K2627">
        <v>1.7339605252609101E-2</v>
      </c>
      <c r="L2627" t="s">
        <v>26</v>
      </c>
      <c r="M2627" t="s">
        <v>27</v>
      </c>
      <c r="N2627">
        <v>928.08047030930697</v>
      </c>
      <c r="O2627">
        <v>1074.1355747258201</v>
      </c>
      <c r="P2627">
        <v>818.53914199691997</v>
      </c>
      <c r="Q2627">
        <v>1141.9815118577401</v>
      </c>
      <c r="R2627">
        <v>979.23619348211605</v>
      </c>
      <c r="S2627">
        <v>1101.1890188376101</v>
      </c>
      <c r="T2627">
        <v>714.94093563067702</v>
      </c>
      <c r="U2627">
        <v>762.28740153525098</v>
      </c>
      <c r="V2627">
        <v>929.86618058966701</v>
      </c>
      <c r="W2627">
        <v>867.06205023208599</v>
      </c>
    </row>
    <row r="2628" spans="1:23" x14ac:dyDescent="0.2">
      <c r="A2628" t="s">
        <v>5261</v>
      </c>
      <c r="B2628" s="3" t="str">
        <f>HYPERLINK("http://www.ncbi.nlm.nih.gov/gene/66877","Crnkl1")</f>
        <v>Crnkl1</v>
      </c>
      <c r="C2628">
        <v>66877</v>
      </c>
      <c r="D2628" t="s">
        <v>5262</v>
      </c>
      <c r="E2628" s="3" t="str">
        <f>HYPERLINK("http://genome.ucsc.edu/cgi-bin/hgTracks?db=mm10&amp;lastVirtModeType=default&amp;lastVirtModeExtraState=&amp;virtModeType=default&amp;virtMode=0&amp;nonVirtPosition=&amp;position=chr2:145917481-145934700","chr2:145917481-145934700")</f>
        <v>chr2:145917481-145934700</v>
      </c>
      <c r="F2628" t="s">
        <v>25</v>
      </c>
      <c r="G2628">
        <v>-0.45461398591243102</v>
      </c>
      <c r="H2628">
        <v>0.155257479753341</v>
      </c>
      <c r="I2628">
        <v>-2.9281293670017101</v>
      </c>
      <c r="J2628">
        <v>3.41008127000117E-3</v>
      </c>
      <c r="K2628">
        <v>1.7369493452486E-2</v>
      </c>
      <c r="L2628" t="s">
        <v>26</v>
      </c>
      <c r="M2628" t="s">
        <v>27</v>
      </c>
      <c r="N2628">
        <v>163.13656458397799</v>
      </c>
      <c r="O2628">
        <v>195.063938413264</v>
      </c>
      <c r="P2628">
        <v>139.19103421201399</v>
      </c>
      <c r="Q2628">
        <v>185.41191781990599</v>
      </c>
      <c r="R2628">
        <v>209.34871371112601</v>
      </c>
      <c r="S2628">
        <v>190.43118370875999</v>
      </c>
      <c r="T2628">
        <v>146.65455089860001</v>
      </c>
      <c r="U2628">
        <v>109.204094040162</v>
      </c>
      <c r="V2628">
        <v>153.01595376792</v>
      </c>
      <c r="W2628">
        <v>147.889538141374</v>
      </c>
    </row>
    <row r="2629" spans="1:23" x14ac:dyDescent="0.2">
      <c r="A2629" t="s">
        <v>5263</v>
      </c>
      <c r="B2629" s="3" t="str">
        <f>HYPERLINK("http://www.ncbi.nlm.nih.gov/gene/19361","Rad51")</f>
        <v>Rad51</v>
      </c>
      <c r="C2629">
        <v>19361</v>
      </c>
      <c r="D2629" t="s">
        <v>5264</v>
      </c>
      <c r="E2629" s="3" t="str">
        <f>HYPERLINK("http://genome.ucsc.edu/cgi-bin/hgTracks?db=mm10&amp;lastVirtModeType=default&amp;lastVirtModeExtraState=&amp;virtModeType=default&amp;virtMode=0&amp;nonVirtPosition=&amp;position=chr2:119112816-119136070","chr2:119112816-119136070")</f>
        <v>chr2:119112816-119136070</v>
      </c>
      <c r="F2629" t="s">
        <v>30</v>
      </c>
      <c r="G2629">
        <v>0.85025301095888794</v>
      </c>
      <c r="H2629">
        <v>0.29048240689967503</v>
      </c>
      <c r="I2629">
        <v>2.92703788857184</v>
      </c>
      <c r="J2629">
        <v>3.4220718877317601E-3</v>
      </c>
      <c r="K2629">
        <v>1.7423940931032701E-2</v>
      </c>
      <c r="L2629" t="s">
        <v>26</v>
      </c>
      <c r="M2629" t="s">
        <v>27</v>
      </c>
      <c r="N2629">
        <v>79.259456147339606</v>
      </c>
      <c r="O2629">
        <v>49.501713903057798</v>
      </c>
      <c r="P2629">
        <v>101.57776283055099</v>
      </c>
      <c r="Q2629">
        <v>22.271701840228999</v>
      </c>
      <c r="R2629">
        <v>51.199413679351501</v>
      </c>
      <c r="S2629">
        <v>75.034026189592893</v>
      </c>
      <c r="T2629">
        <v>123.739777320694</v>
      </c>
      <c r="U2629">
        <v>104.92158054839101</v>
      </c>
      <c r="V2629">
        <v>94.163663857181504</v>
      </c>
      <c r="W2629">
        <v>83.486029595936799</v>
      </c>
    </row>
    <row r="2630" spans="1:23" x14ac:dyDescent="0.2">
      <c r="A2630" t="s">
        <v>5265</v>
      </c>
      <c r="B2630" s="3" t="str">
        <f>HYPERLINK("http://www.ncbi.nlm.nih.gov/gene/14219","Ctgf")</f>
        <v>Ctgf</v>
      </c>
      <c r="C2630">
        <v>14219</v>
      </c>
      <c r="D2630" t="s">
        <v>5266</v>
      </c>
      <c r="E2630" s="3" t="str">
        <f>HYPERLINK("http://genome.ucsc.edu/cgi-bin/hgTracks?db=mm10&amp;lastVirtModeType=default&amp;lastVirtModeExtraState=&amp;virtModeType=default&amp;virtMode=0&amp;nonVirtPosition=&amp;position=chr10:24595441-24598682","chr10:24595441-24598682")</f>
        <v>chr10:24595441-24598682</v>
      </c>
      <c r="F2630" t="s">
        <v>30</v>
      </c>
      <c r="G2630">
        <v>-0.78143323211966298</v>
      </c>
      <c r="H2630">
        <v>0.26714628446996502</v>
      </c>
      <c r="I2630">
        <v>-2.92511360833663</v>
      </c>
      <c r="J2630">
        <v>3.4433049061835998E-3</v>
      </c>
      <c r="K2630">
        <v>1.7525388064881998E-2</v>
      </c>
      <c r="L2630" t="s">
        <v>26</v>
      </c>
      <c r="M2630" t="s">
        <v>27</v>
      </c>
      <c r="N2630">
        <v>222.248659813237</v>
      </c>
      <c r="O2630">
        <v>304.26153186261502</v>
      </c>
      <c r="P2630">
        <v>160.73900577620401</v>
      </c>
      <c r="Q2630">
        <v>183.18474763588401</v>
      </c>
      <c r="R2630">
        <v>356.49962117474399</v>
      </c>
      <c r="S2630">
        <v>373.10022677721702</v>
      </c>
      <c r="T2630">
        <v>142.07159618301901</v>
      </c>
      <c r="U2630">
        <v>87.791526581306996</v>
      </c>
      <c r="V2630">
        <v>225.84566253245899</v>
      </c>
      <c r="W2630">
        <v>187.24723780803001</v>
      </c>
    </row>
    <row r="2631" spans="1:23" x14ac:dyDescent="0.2">
      <c r="A2631" t="s">
        <v>5267</v>
      </c>
      <c r="B2631" s="3" t="str">
        <f>HYPERLINK("http://www.ncbi.nlm.nih.gov/gene/100678","Psph")</f>
        <v>Psph</v>
      </c>
      <c r="C2631">
        <v>100678</v>
      </c>
      <c r="D2631" t="s">
        <v>5268</v>
      </c>
      <c r="E2631" s="3" t="str">
        <f>HYPERLINK("http://genome.ucsc.edu/cgi-bin/hgTracks?db=mm10&amp;lastVirtModeType=default&amp;lastVirtModeExtraState=&amp;virtModeType=default&amp;virtMode=0&amp;nonVirtPosition=&amp;position=chr5:129765557-129787253","chr5:129765557-129787253")</f>
        <v>chr5:129765557-129787253</v>
      </c>
      <c r="F2631" t="s">
        <v>25</v>
      </c>
      <c r="G2631">
        <v>-0.48196090410298897</v>
      </c>
      <c r="H2631">
        <v>0.16489211845646701</v>
      </c>
      <c r="I2631">
        <v>-2.9228862398916502</v>
      </c>
      <c r="J2631">
        <v>3.4680319745287601E-3</v>
      </c>
      <c r="K2631">
        <v>1.7644535019344501E-2</v>
      </c>
      <c r="L2631" t="s">
        <v>26</v>
      </c>
      <c r="M2631" t="s">
        <v>27</v>
      </c>
      <c r="N2631">
        <v>149.97763826535399</v>
      </c>
      <c r="O2631">
        <v>182.75393135718701</v>
      </c>
      <c r="P2631">
        <v>125.395418446479</v>
      </c>
      <c r="Q2631">
        <v>159.24266815763701</v>
      </c>
      <c r="R2631">
        <v>204.797654717406</v>
      </c>
      <c r="S2631">
        <v>184.221471196518</v>
      </c>
      <c r="T2631">
        <v>105.407958458369</v>
      </c>
      <c r="U2631">
        <v>124.192891261361</v>
      </c>
      <c r="V2631">
        <v>141.98114940965601</v>
      </c>
      <c r="W2631">
        <v>129.99967465653</v>
      </c>
    </row>
    <row r="2632" spans="1:23" x14ac:dyDescent="0.2">
      <c r="A2632" t="s">
        <v>5269</v>
      </c>
      <c r="B2632" s="3" t="str">
        <f>HYPERLINK("http://www.ncbi.nlm.nih.gov/gene/103098","Slc6a15")</f>
        <v>Slc6a15</v>
      </c>
      <c r="C2632">
        <v>103098</v>
      </c>
      <c r="D2632" t="s">
        <v>5270</v>
      </c>
      <c r="E2632" s="3" t="str">
        <f>HYPERLINK("http://genome.ucsc.edu/cgi-bin/hgTracks?db=mm10&amp;lastVirtModeType=default&amp;lastVirtModeExtraState=&amp;virtModeType=default&amp;virtMode=0&amp;nonVirtPosition=&amp;position=chr10:103367807-103419379","chr10:103367807-103419379")</f>
        <v>chr10:103367807-103419379</v>
      </c>
      <c r="F2632" t="s">
        <v>30</v>
      </c>
      <c r="G2632">
        <v>-0.49647775340150502</v>
      </c>
      <c r="H2632">
        <v>0.16987209596686101</v>
      </c>
      <c r="I2632">
        <v>-2.9226563113600399</v>
      </c>
      <c r="J2632">
        <v>3.4705937004713902E-3</v>
      </c>
      <c r="K2632">
        <v>1.7650862226742298E-2</v>
      </c>
      <c r="L2632" t="s">
        <v>26</v>
      </c>
      <c r="M2632" t="s">
        <v>27</v>
      </c>
      <c r="N2632">
        <v>206.617088048163</v>
      </c>
      <c r="O2632">
        <v>252.93448854964299</v>
      </c>
      <c r="P2632">
        <v>171.87903767205299</v>
      </c>
      <c r="Q2632">
        <v>216.03550785022099</v>
      </c>
      <c r="R2632">
        <v>279.89012811378802</v>
      </c>
      <c r="S2632">
        <v>262.87782968491899</v>
      </c>
      <c r="T2632">
        <v>119.15682260511301</v>
      </c>
      <c r="U2632">
        <v>201.27813411323999</v>
      </c>
      <c r="V2632">
        <v>165.52206537395199</v>
      </c>
      <c r="W2632">
        <v>201.55912859590501</v>
      </c>
    </row>
    <row r="2633" spans="1:23" x14ac:dyDescent="0.2">
      <c r="A2633" t="s">
        <v>5271</v>
      </c>
      <c r="B2633" s="3" t="str">
        <f>HYPERLINK("http://www.ncbi.nlm.nih.gov/gene/93961","B3galt5")</f>
        <v>B3galt5</v>
      </c>
      <c r="C2633">
        <v>93961</v>
      </c>
      <c r="D2633" t="s">
        <v>5272</v>
      </c>
      <c r="E2633" s="3" t="str">
        <f>HYPERLINK("http://genome.ucsc.edu/cgi-bin/hgTracks?db=mm10&amp;lastVirtModeType=default&amp;lastVirtModeExtraState=&amp;virtModeType=default&amp;virtMode=0&amp;nonVirtPosition=&amp;position=chr16:96281031-96319858","chr16:96281031-96319858")</f>
        <v>chr16:96281031-96319858</v>
      </c>
      <c r="F2633" t="s">
        <v>30</v>
      </c>
      <c r="G2633">
        <v>-0.875553360703201</v>
      </c>
      <c r="H2633">
        <v>0.29967133131262402</v>
      </c>
      <c r="I2633">
        <v>-2.9217121199685399</v>
      </c>
      <c r="J2633">
        <v>3.4811313817154602E-3</v>
      </c>
      <c r="K2633">
        <v>1.7697733611447101E-2</v>
      </c>
      <c r="L2633" t="s">
        <v>26</v>
      </c>
      <c r="M2633" t="s">
        <v>27</v>
      </c>
      <c r="N2633">
        <v>145.39409427456499</v>
      </c>
      <c r="O2633">
        <v>207.844860713679</v>
      </c>
      <c r="P2633">
        <v>98.556019445230405</v>
      </c>
      <c r="Q2633">
        <v>81.848504262841601</v>
      </c>
      <c r="R2633">
        <v>243.10240124788399</v>
      </c>
      <c r="S2633">
        <v>298.583676630311</v>
      </c>
      <c r="T2633">
        <v>64.161366018137699</v>
      </c>
      <c r="U2633">
        <v>119.91037776959</v>
      </c>
      <c r="V2633">
        <v>105.198468215445</v>
      </c>
      <c r="W2633">
        <v>104.953865777749</v>
      </c>
    </row>
    <row r="2634" spans="1:23" x14ac:dyDescent="0.2">
      <c r="A2634" t="s">
        <v>5273</v>
      </c>
      <c r="B2634" s="3" t="str">
        <f>HYPERLINK("http://www.ncbi.nlm.nih.gov/gene/100416706","Zfp729b")</f>
        <v>Zfp729b</v>
      </c>
      <c r="C2634">
        <v>100416706</v>
      </c>
      <c r="D2634" t="s">
        <v>5274</v>
      </c>
      <c r="E2634" s="3" t="str">
        <f>HYPERLINK("http://genome.ucsc.edu/cgi-bin/hgTracks?db=mm10&amp;lastVirtModeType=default&amp;lastVirtModeExtraState=&amp;virtModeType=default&amp;virtMode=0&amp;nonVirtPosition=&amp;position=chr13:67589438-67609707","chr13:67589438-67609707")</f>
        <v>chr13:67589438-67609707</v>
      </c>
      <c r="F2634" t="s">
        <v>25</v>
      </c>
      <c r="G2634">
        <v>-0.82231123319482202</v>
      </c>
      <c r="H2634">
        <v>0.28147269438841899</v>
      </c>
      <c r="I2634">
        <v>-2.9214600548786098</v>
      </c>
      <c r="J2634">
        <v>3.48394948307578E-3</v>
      </c>
      <c r="K2634">
        <v>1.7703829281135699E-2</v>
      </c>
      <c r="L2634" t="s">
        <v>26</v>
      </c>
      <c r="M2634" t="s">
        <v>27</v>
      </c>
      <c r="N2634">
        <v>66.480781371338594</v>
      </c>
      <c r="O2634">
        <v>93.736635001415493</v>
      </c>
      <c r="P2634">
        <v>46.038891148780898</v>
      </c>
      <c r="Q2634">
        <v>123.60794521327099</v>
      </c>
      <c r="R2634">
        <v>92.917454455119397</v>
      </c>
      <c r="S2634">
        <v>64.684505335856002</v>
      </c>
      <c r="T2634">
        <v>36.663637724650101</v>
      </c>
      <c r="U2634">
        <v>27.836337696512</v>
      </c>
      <c r="V2634">
        <v>49.288792800243399</v>
      </c>
      <c r="W2634">
        <v>70.366796373718103</v>
      </c>
    </row>
    <row r="2635" spans="1:23" x14ac:dyDescent="0.2">
      <c r="A2635" t="s">
        <v>5275</v>
      </c>
      <c r="B2635" s="3" t="str">
        <f>HYPERLINK("http://www.ncbi.nlm.nih.gov/gene/106021","Topors")</f>
        <v>Topors</v>
      </c>
      <c r="C2635">
        <v>106021</v>
      </c>
      <c r="D2635" t="s">
        <v>5276</v>
      </c>
      <c r="E2635" s="3" t="str">
        <f>HYPERLINK("http://genome.ucsc.edu/cgi-bin/hgTracks?db=mm10&amp;lastVirtModeType=default&amp;lastVirtModeExtraState=&amp;virtModeType=default&amp;virtMode=0&amp;nonVirtPosition=&amp;position=chr4:40259605-40269841","chr4:40259605-40269841")</f>
        <v>chr4:40259605-40269841</v>
      </c>
      <c r="F2635" t="s">
        <v>25</v>
      </c>
      <c r="G2635">
        <v>-0.37328067028443002</v>
      </c>
      <c r="H2635">
        <v>0.127775965653913</v>
      </c>
      <c r="I2635">
        <v>-2.92136841521102</v>
      </c>
      <c r="J2635">
        <v>3.4849745340208901E-3</v>
      </c>
      <c r="K2635">
        <v>1.7703829281135699E-2</v>
      </c>
      <c r="L2635" t="s">
        <v>26</v>
      </c>
      <c r="M2635" t="s">
        <v>27</v>
      </c>
      <c r="N2635">
        <v>222.18449781116499</v>
      </c>
      <c r="O2635">
        <v>255.21193658189401</v>
      </c>
      <c r="P2635">
        <v>197.41391873311801</v>
      </c>
      <c r="Q2635">
        <v>262.80608171470197</v>
      </c>
      <c r="R2635">
        <v>261.685892138908</v>
      </c>
      <c r="S2635">
        <v>241.143835892071</v>
      </c>
      <c r="T2635">
        <v>210.81591691673799</v>
      </c>
      <c r="U2635">
        <v>186.289336892042</v>
      </c>
      <c r="V2635">
        <v>189.79863496213099</v>
      </c>
      <c r="W2635">
        <v>202.751786161561</v>
      </c>
    </row>
    <row r="2636" spans="1:23" x14ac:dyDescent="0.2">
      <c r="A2636" t="s">
        <v>5277</v>
      </c>
      <c r="B2636" s="3" t="str">
        <f>HYPERLINK("http://www.ncbi.nlm.nih.gov/gene/22421","Wnt7a")</f>
        <v>Wnt7a</v>
      </c>
      <c r="C2636">
        <v>22421</v>
      </c>
      <c r="D2636" t="s">
        <v>5278</v>
      </c>
      <c r="E2636" s="3" t="str">
        <f>HYPERLINK("http://genome.ucsc.edu/cgi-bin/hgTracks?db=mm10&amp;lastVirtModeType=default&amp;lastVirtModeExtraState=&amp;virtModeType=default&amp;virtMode=0&amp;nonVirtPosition=&amp;position=chr6:91363982-91411369","chr6:91363982-91411369")</f>
        <v>chr6:91363982-91411369</v>
      </c>
      <c r="F2636" t="s">
        <v>25</v>
      </c>
      <c r="G2636">
        <v>-0.707504139791714</v>
      </c>
      <c r="H2636">
        <v>0.24220880883005499</v>
      </c>
      <c r="I2636">
        <v>-2.9210504077419102</v>
      </c>
      <c r="J2636">
        <v>3.48853378931702E-3</v>
      </c>
      <c r="K2636">
        <v>1.7712829627950202E-2</v>
      </c>
      <c r="L2636" t="s">
        <v>26</v>
      </c>
      <c r="M2636" t="s">
        <v>27</v>
      </c>
      <c r="N2636">
        <v>79.281452219591799</v>
      </c>
      <c r="O2636">
        <v>101.59841938317901</v>
      </c>
      <c r="P2636">
        <v>62.5437268469015</v>
      </c>
      <c r="Q2636">
        <v>119.153604845225</v>
      </c>
      <c r="R2636">
        <v>105.43286668784999</v>
      </c>
      <c r="S2636">
        <v>80.208786616461396</v>
      </c>
      <c r="T2636">
        <v>77.910230164881497</v>
      </c>
      <c r="U2636">
        <v>79.2264995977648</v>
      </c>
      <c r="V2636">
        <v>44.139217433053801</v>
      </c>
      <c r="W2636">
        <v>48.8989601919058</v>
      </c>
    </row>
    <row r="2637" spans="1:23" x14ac:dyDescent="0.2">
      <c r="A2637" t="s">
        <v>5279</v>
      </c>
      <c r="B2637" s="3" t="str">
        <f>HYPERLINK("http://www.ncbi.nlm.nih.gov/gene/234854","Cdk10")</f>
        <v>Cdk10</v>
      </c>
      <c r="C2637">
        <v>234854</v>
      </c>
      <c r="D2637" t="s">
        <v>5280</v>
      </c>
      <c r="E2637" s="3" t="str">
        <f>HYPERLINK("http://genome.ucsc.edu/cgi-bin/hgTracks?db=mm10&amp;lastVirtModeType=default&amp;lastVirtModeExtraState=&amp;virtModeType=default&amp;virtMode=0&amp;nonVirtPosition=&amp;position=chr8:123224840-123232256","chr8:123224840-123232256")</f>
        <v>chr8:123224840-123232256</v>
      </c>
      <c r="F2637" t="s">
        <v>30</v>
      </c>
      <c r="G2637">
        <v>0.51137488767368799</v>
      </c>
      <c r="H2637">
        <v>0.175070001636082</v>
      </c>
      <c r="I2637">
        <v>2.9209737984505302</v>
      </c>
      <c r="J2637">
        <v>3.48939172268931E-3</v>
      </c>
      <c r="K2637">
        <v>1.7712829627950202E-2</v>
      </c>
      <c r="L2637" t="s">
        <v>26</v>
      </c>
      <c r="M2637" t="s">
        <v>27</v>
      </c>
      <c r="N2637">
        <v>87.816111040386303</v>
      </c>
      <c r="O2637">
        <v>68.811032065789405</v>
      </c>
      <c r="P2637">
        <v>102.069920271334</v>
      </c>
      <c r="Q2637">
        <v>67.928690612698404</v>
      </c>
      <c r="R2637">
        <v>68.645139821945406</v>
      </c>
      <c r="S2637">
        <v>69.859265762724405</v>
      </c>
      <c r="T2637">
        <v>109.99091317395001</v>
      </c>
      <c r="U2637">
        <v>107.062837294277</v>
      </c>
      <c r="V2637">
        <v>93.428010233297201</v>
      </c>
      <c r="W2637">
        <v>97.7979203838117</v>
      </c>
    </row>
    <row r="2638" spans="1:23" x14ac:dyDescent="0.2">
      <c r="A2638" t="s">
        <v>5281</v>
      </c>
      <c r="B2638" s="3" t="str">
        <f>HYPERLINK("http://www.ncbi.nlm.nih.gov/gene/19210","Ptdss1")</f>
        <v>Ptdss1</v>
      </c>
      <c r="C2638">
        <v>19210</v>
      </c>
      <c r="D2638" t="s">
        <v>5282</v>
      </c>
      <c r="E2638" s="3" t="str">
        <f>HYPERLINK("http://genome.ucsc.edu/cgi-bin/hgTracks?db=mm10&amp;lastVirtModeType=default&amp;lastVirtModeExtraState=&amp;virtModeType=default&amp;virtMode=0&amp;nonVirtPosition=&amp;position=chr13:66932829-66998401","chr13:66932829-66998401")</f>
        <v>chr13:66932829-66998401</v>
      </c>
      <c r="F2638" t="s">
        <v>30</v>
      </c>
      <c r="G2638">
        <v>-0.46401084925466202</v>
      </c>
      <c r="H2638">
        <v>0.15886506771655201</v>
      </c>
      <c r="I2638">
        <v>-2.9207858966362199</v>
      </c>
      <c r="J2638">
        <v>3.4914968136514498E-3</v>
      </c>
      <c r="K2638">
        <v>1.77167994814727E-2</v>
      </c>
      <c r="L2638" t="s">
        <v>26</v>
      </c>
      <c r="M2638" t="s">
        <v>27</v>
      </c>
      <c r="N2638">
        <v>405.74679985444101</v>
      </c>
      <c r="O2638">
        <v>486.283370844915</v>
      </c>
      <c r="P2638">
        <v>345.34437161158598</v>
      </c>
      <c r="Q2638">
        <v>608.57425278425706</v>
      </c>
      <c r="R2638">
        <v>413.008603680102</v>
      </c>
      <c r="S2638">
        <v>437.267256070386</v>
      </c>
      <c r="T2638">
        <v>316.22387537510701</v>
      </c>
      <c r="U2638">
        <v>351.16610632522799</v>
      </c>
      <c r="V2638">
        <v>334.72239886732501</v>
      </c>
      <c r="W2638">
        <v>379.26510587868398</v>
      </c>
    </row>
    <row r="2639" spans="1:23" x14ac:dyDescent="0.2">
      <c r="A2639" t="s">
        <v>5283</v>
      </c>
      <c r="B2639" s="3" t="str">
        <f>HYPERLINK("http://www.ncbi.nlm.nih.gov/gene/19366","Rad54l")</f>
        <v>Rad54l</v>
      </c>
      <c r="C2639">
        <v>19366</v>
      </c>
      <c r="D2639" t="s">
        <v>5284</v>
      </c>
      <c r="E2639" s="3" t="str">
        <f>HYPERLINK("http://genome.ucsc.edu/cgi-bin/hgTracks?db=mm10&amp;lastVirtModeType=default&amp;lastVirtModeExtraState=&amp;virtModeType=default&amp;virtMode=0&amp;nonVirtPosition=&amp;position=chr4:116096954-116123689","chr4:116096954-116123689")</f>
        <v>chr4:116096954-116123689</v>
      </c>
      <c r="F2639" t="s">
        <v>25</v>
      </c>
      <c r="G2639">
        <v>0.81699621842218195</v>
      </c>
      <c r="H2639">
        <v>0.279735206955042</v>
      </c>
      <c r="I2639">
        <v>2.9206056231366202</v>
      </c>
      <c r="J2639">
        <v>3.4935175297171302E-3</v>
      </c>
      <c r="K2639">
        <v>1.77203383486523E-2</v>
      </c>
      <c r="L2639" t="s">
        <v>26</v>
      </c>
      <c r="M2639" t="s">
        <v>27</v>
      </c>
      <c r="N2639">
        <v>121.698852070265</v>
      </c>
      <c r="O2639">
        <v>79.278041225792506</v>
      </c>
      <c r="P2639">
        <v>153.514460203619</v>
      </c>
      <c r="Q2639">
        <v>33.964345306349202</v>
      </c>
      <c r="R2639">
        <v>83.815336467679202</v>
      </c>
      <c r="S2639">
        <v>120.054441903349</v>
      </c>
      <c r="T2639">
        <v>151.237505614182</v>
      </c>
      <c r="U2639">
        <v>149.88797221198701</v>
      </c>
      <c r="V2639">
        <v>156.694221887341</v>
      </c>
      <c r="W2639">
        <v>156.238141100967</v>
      </c>
    </row>
    <row r="2640" spans="1:23" x14ac:dyDescent="0.2">
      <c r="A2640" t="s">
        <v>5285</v>
      </c>
      <c r="B2640" s="3" t="str">
        <f>HYPERLINK("http://www.ncbi.nlm.nih.gov/gene/214058","Megf11")</f>
        <v>Megf11</v>
      </c>
      <c r="C2640">
        <v>214058</v>
      </c>
      <c r="D2640" t="s">
        <v>5286</v>
      </c>
      <c r="E2640" s="3" t="str">
        <f>HYPERLINK("http://genome.ucsc.edu/cgi-bin/hgTracks?db=mm10&amp;lastVirtModeType=default&amp;lastVirtModeExtraState=&amp;virtModeType=default&amp;virtMode=0&amp;nonVirtPosition=&amp;position=chr9:64385625-64700975","chr9:64385625-64700975")</f>
        <v>chr9:64385625-64700975</v>
      </c>
      <c r="F2640" t="s">
        <v>30</v>
      </c>
      <c r="G2640">
        <v>-0.50837014186733798</v>
      </c>
      <c r="H2640">
        <v>0.17408627349464501</v>
      </c>
      <c r="I2640">
        <v>-2.9202195650593601</v>
      </c>
      <c r="J2640">
        <v>3.49784850022035E-3</v>
      </c>
      <c r="K2640">
        <v>1.7733735367561398E-2</v>
      </c>
      <c r="L2640" t="s">
        <v>26</v>
      </c>
      <c r="M2640" t="s">
        <v>27</v>
      </c>
      <c r="N2640">
        <v>1174.3697422932601</v>
      </c>
      <c r="O2640">
        <v>1425.23898948224</v>
      </c>
      <c r="P2640">
        <v>986.21780690151502</v>
      </c>
      <c r="Q2640">
        <v>1775.61142921226</v>
      </c>
      <c r="R2640">
        <v>1139.6610230107499</v>
      </c>
      <c r="S2640">
        <v>1360.44451622372</v>
      </c>
      <c r="T2640">
        <v>1031.1648110057799</v>
      </c>
      <c r="U2640">
        <v>1160.5611562699601</v>
      </c>
      <c r="V2640">
        <v>960.02797916891996</v>
      </c>
      <c r="W2640">
        <v>793.11728116139898</v>
      </c>
    </row>
    <row r="2641" spans="1:23" x14ac:dyDescent="0.2">
      <c r="A2641" t="s">
        <v>5287</v>
      </c>
      <c r="B2641" s="3" t="str">
        <f>HYPERLINK("http://www.ncbi.nlm.nih.gov/gene/268902","Robo2")</f>
        <v>Robo2</v>
      </c>
      <c r="C2641">
        <v>268902</v>
      </c>
      <c r="D2641" t="s">
        <v>5288</v>
      </c>
      <c r="E2641" s="3" t="str">
        <f>HYPERLINK("http://genome.ucsc.edu/cgi-bin/hgTracks?db=mm10&amp;lastVirtModeType=default&amp;lastVirtModeExtraState=&amp;virtModeType=default&amp;virtMode=0&amp;nonVirtPosition=&amp;position=chr16:73892305-74410912","chr16:73892305-74410912")</f>
        <v>chr16:73892305-74410912</v>
      </c>
      <c r="F2641" t="s">
        <v>25</v>
      </c>
      <c r="G2641">
        <v>-0.90020167053183697</v>
      </c>
      <c r="H2641">
        <v>0.30827408008381602</v>
      </c>
      <c r="I2641">
        <v>-2.9201341555770202</v>
      </c>
      <c r="J2641">
        <v>3.4988073214171698E-3</v>
      </c>
      <c r="K2641">
        <v>1.7733735367561398E-2</v>
      </c>
      <c r="L2641" t="s">
        <v>26</v>
      </c>
      <c r="M2641" t="s">
        <v>27</v>
      </c>
      <c r="N2641">
        <v>75.496145470352602</v>
      </c>
      <c r="O2641">
        <v>106.25533669876199</v>
      </c>
      <c r="P2641">
        <v>52.426752049045497</v>
      </c>
      <c r="Q2641">
        <v>172.60568926177501</v>
      </c>
      <c r="R2641">
        <v>73.196198815665497</v>
      </c>
      <c r="S2641">
        <v>72.964122018845501</v>
      </c>
      <c r="T2641">
        <v>82.493184880462707</v>
      </c>
      <c r="U2641">
        <v>42.825134917710699</v>
      </c>
      <c r="V2641">
        <v>33.104413074790401</v>
      </c>
      <c r="W2641">
        <v>51.284275323218303</v>
      </c>
    </row>
    <row r="2642" spans="1:23" x14ac:dyDescent="0.2">
      <c r="A2642" t="s">
        <v>5289</v>
      </c>
      <c r="B2642" s="3" t="str">
        <f>HYPERLINK("http://www.ncbi.nlm.nih.gov/gene/14461","Gata2")</f>
        <v>Gata2</v>
      </c>
      <c r="C2642">
        <v>14461</v>
      </c>
      <c r="D2642" t="s">
        <v>5290</v>
      </c>
      <c r="E2642" s="3" t="str">
        <f>HYPERLINK("http://genome.ucsc.edu/cgi-bin/hgTracks?db=mm10&amp;lastVirtModeType=default&amp;lastVirtModeExtraState=&amp;virtModeType=default&amp;virtMode=0&amp;nonVirtPosition=&amp;position=chr6:88198663-88207032","chr6:88198663-88207032")</f>
        <v>chr6:88198663-88207032</v>
      </c>
      <c r="F2642" t="s">
        <v>30</v>
      </c>
      <c r="G2642">
        <v>1.0049746903599801</v>
      </c>
      <c r="H2642">
        <v>0.34432427764499901</v>
      </c>
      <c r="I2642">
        <v>2.9186867020632201</v>
      </c>
      <c r="J2642">
        <v>3.5150930922617598E-3</v>
      </c>
      <c r="K2642">
        <v>1.78095390081261E-2</v>
      </c>
      <c r="L2642" t="s">
        <v>26</v>
      </c>
      <c r="M2642" t="s">
        <v>27</v>
      </c>
      <c r="N2642">
        <v>16.670185148443199</v>
      </c>
      <c r="O2642">
        <v>9.0298228239939409</v>
      </c>
      <c r="P2642">
        <v>22.400456891780099</v>
      </c>
      <c r="Q2642">
        <v>5.5679254600572499</v>
      </c>
      <c r="R2642">
        <v>9.1021179874402698</v>
      </c>
      <c r="S2642">
        <v>12.419425024484299</v>
      </c>
      <c r="T2642">
        <v>18.3318188623251</v>
      </c>
      <c r="U2642">
        <v>21.412567458855399</v>
      </c>
      <c r="V2642">
        <v>17.655686973221499</v>
      </c>
      <c r="W2642">
        <v>32.201754272718503</v>
      </c>
    </row>
    <row r="2643" spans="1:23" x14ac:dyDescent="0.2">
      <c r="A2643" t="s">
        <v>5291</v>
      </c>
      <c r="B2643" s="3" t="str">
        <f>HYPERLINK("http://www.ncbi.nlm.nih.gov/gene/226861","Hhat")</f>
        <v>Hhat</v>
      </c>
      <c r="C2643">
        <v>226861</v>
      </c>
      <c r="D2643" t="s">
        <v>5292</v>
      </c>
      <c r="E2643" s="3" t="str">
        <f>HYPERLINK("http://genome.ucsc.edu/cgi-bin/hgTracks?db=mm10&amp;lastVirtModeType=default&amp;lastVirtModeExtraState=&amp;virtModeType=default&amp;virtMode=0&amp;nonVirtPosition=&amp;position=chr1:192512827-192771219","chr1:192512827-192771219")</f>
        <v>chr1:192512827-192771219</v>
      </c>
      <c r="F2643" t="s">
        <v>25</v>
      </c>
      <c r="G2643">
        <v>0.80795481463060104</v>
      </c>
      <c r="H2643">
        <v>0.276889592734474</v>
      </c>
      <c r="I2643">
        <v>2.91796743478689</v>
      </c>
      <c r="J2643">
        <v>3.5232114297655201E-3</v>
      </c>
      <c r="K2643">
        <v>1.7843919915276101E-2</v>
      </c>
      <c r="L2643" t="s">
        <v>26</v>
      </c>
      <c r="M2643" t="s">
        <v>27</v>
      </c>
      <c r="N2643">
        <v>26.2999906816835</v>
      </c>
      <c r="O2643">
        <v>17.3100894711664</v>
      </c>
      <c r="P2643">
        <v>33.042416589571303</v>
      </c>
      <c r="Q2643">
        <v>14.4766061961489</v>
      </c>
      <c r="R2643">
        <v>19.342000723310601</v>
      </c>
      <c r="S2643">
        <v>18.111661494039701</v>
      </c>
      <c r="T2643">
        <v>32.0806830090688</v>
      </c>
      <c r="U2643">
        <v>32.118851188283003</v>
      </c>
      <c r="V2643">
        <v>34.575720322558801</v>
      </c>
      <c r="W2643">
        <v>33.394411838374701</v>
      </c>
    </row>
    <row r="2644" spans="1:23" x14ac:dyDescent="0.2">
      <c r="A2644" t="s">
        <v>5293</v>
      </c>
      <c r="B2644" s="3" t="str">
        <f>HYPERLINK("http://www.ncbi.nlm.nih.gov/gene/56426","Pdcd10")</f>
        <v>Pdcd10</v>
      </c>
      <c r="C2644">
        <v>56426</v>
      </c>
      <c r="D2644" t="s">
        <v>5294</v>
      </c>
      <c r="E2644" s="3" t="str">
        <f>HYPERLINK("http://genome.ucsc.edu/cgi-bin/hgTracks?db=mm10&amp;lastVirtModeType=default&amp;lastVirtModeExtraState=&amp;virtModeType=default&amp;virtMode=0&amp;nonVirtPosition=&amp;position=chr3:75516489-75556852","chr3:75516489-75556852")</f>
        <v>chr3:75516489-75556852</v>
      </c>
      <c r="F2644" t="s">
        <v>25</v>
      </c>
      <c r="G2644">
        <v>-0.72917962463947905</v>
      </c>
      <c r="H2644">
        <v>0.24999262123219401</v>
      </c>
      <c r="I2644">
        <v>-2.91680458825308</v>
      </c>
      <c r="J2644">
        <v>3.53637251894778E-3</v>
      </c>
      <c r="K2644">
        <v>1.79038050666275E-2</v>
      </c>
      <c r="L2644" t="s">
        <v>26</v>
      </c>
      <c r="M2644" t="s">
        <v>27</v>
      </c>
      <c r="N2644">
        <v>69.644242030553698</v>
      </c>
      <c r="O2644">
        <v>92.321877642154604</v>
      </c>
      <c r="P2644">
        <v>52.636015321853101</v>
      </c>
      <c r="Q2644">
        <v>96.325110458990395</v>
      </c>
      <c r="R2644">
        <v>103.536592107133</v>
      </c>
      <c r="S2644">
        <v>77.1039303603403</v>
      </c>
      <c r="T2644">
        <v>50.4125018713939</v>
      </c>
      <c r="U2644">
        <v>68.520215868337104</v>
      </c>
      <c r="V2644">
        <v>61.7949044062753</v>
      </c>
      <c r="W2644">
        <v>29.816439141406001</v>
      </c>
    </row>
    <row r="2645" spans="1:23" x14ac:dyDescent="0.2">
      <c r="A2645" t="s">
        <v>5295</v>
      </c>
      <c r="B2645" s="3" t="str">
        <f>HYPERLINK("http://www.ncbi.nlm.nih.gov/gene/224170","Dzip3")</f>
        <v>Dzip3</v>
      </c>
      <c r="C2645">
        <v>224170</v>
      </c>
      <c r="D2645" t="s">
        <v>5296</v>
      </c>
      <c r="E2645" s="3" t="str">
        <f>HYPERLINK("http://genome.ucsc.edu/cgi-bin/hgTracks?db=mm10&amp;lastVirtModeType=default&amp;lastVirtModeExtraState=&amp;virtModeType=default&amp;virtMode=0&amp;nonVirtPosition=&amp;position=chr16:48924227-48994112","chr16:48924227-48994112")</f>
        <v>chr16:48924227-48994112</v>
      </c>
      <c r="F2645" t="s">
        <v>25</v>
      </c>
      <c r="G2645">
        <v>-0.31197646227560699</v>
      </c>
      <c r="H2645">
        <v>0.106980651260919</v>
      </c>
      <c r="I2645">
        <v>-2.9161952053808</v>
      </c>
      <c r="J2645">
        <v>3.5432873580693801E-3</v>
      </c>
      <c r="K2645">
        <v>1.7928952809798001E-2</v>
      </c>
      <c r="L2645" t="s">
        <v>26</v>
      </c>
      <c r="M2645" t="s">
        <v>27</v>
      </c>
      <c r="N2645">
        <v>525.20660532099703</v>
      </c>
      <c r="O2645">
        <v>589.05523362193901</v>
      </c>
      <c r="P2645">
        <v>477.320134095291</v>
      </c>
      <c r="Q2645">
        <v>599.10877950216002</v>
      </c>
      <c r="R2645">
        <v>615.90998381679196</v>
      </c>
      <c r="S2645">
        <v>552.14693754686596</v>
      </c>
      <c r="T2645">
        <v>522.45683757626398</v>
      </c>
      <c r="U2645">
        <v>451.80517338184802</v>
      </c>
      <c r="V2645">
        <v>462.72612942318102</v>
      </c>
      <c r="W2645">
        <v>472.29239599987102</v>
      </c>
    </row>
    <row r="2646" spans="1:23" x14ac:dyDescent="0.2">
      <c r="A2646" t="s">
        <v>5297</v>
      </c>
      <c r="B2646" s="3" t="str">
        <f>HYPERLINK("http://www.ncbi.nlm.nih.gov/gene/66205","Cd302")</f>
        <v>Cd302</v>
      </c>
      <c r="C2646">
        <v>66205</v>
      </c>
      <c r="D2646" t="s">
        <v>5298</v>
      </c>
      <c r="E2646" s="3" t="str">
        <f>HYPERLINK("http://genome.ucsc.edu/cgi-bin/hgTracks?db=mm10&amp;lastVirtModeType=default&amp;lastVirtModeExtraState=&amp;virtModeType=default&amp;virtMode=0&amp;nonVirtPosition=&amp;position=chr2:60251992-60284484","chr2:60251992-60284484")</f>
        <v>chr2:60251992-60284484</v>
      </c>
      <c r="F2646" t="s">
        <v>25</v>
      </c>
      <c r="G2646">
        <v>-0.73819459799464504</v>
      </c>
      <c r="H2646">
        <v>0.25314178853674502</v>
      </c>
      <c r="I2646">
        <v>-2.9161309251296998</v>
      </c>
      <c r="J2646">
        <v>3.5440174809599902E-3</v>
      </c>
      <c r="K2646">
        <v>1.7928952809798001E-2</v>
      </c>
      <c r="L2646" t="s">
        <v>26</v>
      </c>
      <c r="M2646" t="s">
        <v>27</v>
      </c>
      <c r="N2646">
        <v>70.941727474575003</v>
      </c>
      <c r="O2646">
        <v>93.561946537250194</v>
      </c>
      <c r="P2646">
        <v>53.976563177568501</v>
      </c>
      <c r="Q2646">
        <v>118.596812299219</v>
      </c>
      <c r="R2646">
        <v>89.124905293685998</v>
      </c>
      <c r="S2646">
        <v>72.964122018845501</v>
      </c>
      <c r="T2646">
        <v>64.161366018137699</v>
      </c>
      <c r="U2646">
        <v>59.955188884795</v>
      </c>
      <c r="V2646">
        <v>59.587943534622603</v>
      </c>
      <c r="W2646">
        <v>32.201754272718503</v>
      </c>
    </row>
    <row r="2647" spans="1:23" x14ac:dyDescent="0.2">
      <c r="A2647" t="s">
        <v>5299</v>
      </c>
      <c r="B2647" s="3" t="str">
        <f>HYPERLINK("http://www.ncbi.nlm.nih.gov/gene/70999","Naa40")</f>
        <v>Naa40</v>
      </c>
      <c r="C2647">
        <v>70999</v>
      </c>
      <c r="D2647" t="s">
        <v>5300</v>
      </c>
      <c r="E2647" s="3" t="str">
        <f>HYPERLINK("http://genome.ucsc.edu/cgi-bin/hgTracks?db=mm10&amp;lastVirtModeType=default&amp;lastVirtModeExtraState=&amp;virtModeType=default&amp;virtMode=0&amp;nonVirtPosition=&amp;position=chr19:7225667-7241222","chr19:7225667-7241222")</f>
        <v>chr19:7225667-7241222</v>
      </c>
      <c r="F2647" t="s">
        <v>25</v>
      </c>
      <c r="G2647">
        <v>0.56790304068118103</v>
      </c>
      <c r="H2647">
        <v>0.19475483932573701</v>
      </c>
      <c r="I2647">
        <v>2.9159893671824699</v>
      </c>
      <c r="J2647">
        <v>3.5456258399847E-3</v>
      </c>
      <c r="K2647">
        <v>1.7930315567687E-2</v>
      </c>
      <c r="L2647" t="s">
        <v>26</v>
      </c>
      <c r="M2647" t="s">
        <v>27</v>
      </c>
      <c r="N2647">
        <v>170.142491483611</v>
      </c>
      <c r="O2647">
        <v>130.12287774123399</v>
      </c>
      <c r="P2647">
        <v>200.157201790394</v>
      </c>
      <c r="Q2647">
        <v>91.313977544938894</v>
      </c>
      <c r="R2647">
        <v>135.01475014703101</v>
      </c>
      <c r="S2647">
        <v>164.03990553173099</v>
      </c>
      <c r="T2647">
        <v>210.81591691673799</v>
      </c>
      <c r="U2647">
        <v>216.26693133443899</v>
      </c>
      <c r="V2647">
        <v>183.91340597105801</v>
      </c>
      <c r="W2647">
        <v>189.63255293934199</v>
      </c>
    </row>
    <row r="2648" spans="1:23" x14ac:dyDescent="0.2">
      <c r="A2648" t="s">
        <v>5301</v>
      </c>
      <c r="B2648" s="3" t="str">
        <f>HYPERLINK("http://www.ncbi.nlm.nih.gov/gene/319711","E230029C05Rik")</f>
        <v>E230029C05Rik</v>
      </c>
      <c r="C2648">
        <v>319711</v>
      </c>
      <c r="D2648" t="s">
        <v>5302</v>
      </c>
      <c r="E2648" s="3" t="str">
        <f>HYPERLINK("http://genome.ucsc.edu/cgi-bin/hgTracks?db=mm10&amp;lastVirtModeType=default&amp;lastVirtModeExtraState=&amp;virtModeType=default&amp;virtMode=0&amp;nonVirtPosition=&amp;position=chr7:90029158-90049071","chr7:90029158-90049071")</f>
        <v>chr7:90029158-90049071</v>
      </c>
      <c r="F2648" t="s">
        <v>30</v>
      </c>
      <c r="G2648">
        <v>0.89335808705972297</v>
      </c>
      <c r="H2648">
        <v>0.306461525561814</v>
      </c>
      <c r="I2648">
        <v>2.9150742019638298</v>
      </c>
      <c r="J2648">
        <v>3.55603983661805E-3</v>
      </c>
      <c r="K2648">
        <v>1.7976190808664499E-2</v>
      </c>
      <c r="L2648" t="s">
        <v>26</v>
      </c>
      <c r="M2648" t="s">
        <v>27</v>
      </c>
      <c r="N2648">
        <v>22.813141696406699</v>
      </c>
      <c r="O2648">
        <v>13.626701268366601</v>
      </c>
      <c r="P2648">
        <v>29.702972017436799</v>
      </c>
      <c r="Q2648">
        <v>16.7037763801717</v>
      </c>
      <c r="R2648">
        <v>11.7569024004437</v>
      </c>
      <c r="S2648">
        <v>12.419425024484299</v>
      </c>
      <c r="T2648">
        <v>41.246592440231403</v>
      </c>
      <c r="U2648">
        <v>17.130053967084301</v>
      </c>
      <c r="V2648">
        <v>29.4261449553692</v>
      </c>
      <c r="W2648">
        <v>31.009096707062199</v>
      </c>
    </row>
    <row r="2649" spans="1:23" x14ac:dyDescent="0.2">
      <c r="A2649" t="s">
        <v>5303</v>
      </c>
      <c r="B2649" s="3" t="str">
        <f>HYPERLINK("http://www.ncbi.nlm.nih.gov/gene/16648","Kpna3")</f>
        <v>Kpna3</v>
      </c>
      <c r="C2649">
        <v>16648</v>
      </c>
      <c r="D2649" t="s">
        <v>5304</v>
      </c>
      <c r="E2649" s="3" t="str">
        <f>HYPERLINK("http://genome.ucsc.edu/cgi-bin/hgTracks?db=mm10&amp;lastVirtModeType=default&amp;lastVirtModeExtraState=&amp;virtModeType=default&amp;virtMode=0&amp;nonVirtPosition=&amp;position=chr14:61365185-61439947","chr14:61365185-61439947")</f>
        <v>chr14:61365185-61439947</v>
      </c>
      <c r="F2649" t="s">
        <v>25</v>
      </c>
      <c r="G2649">
        <v>-0.39966023117211902</v>
      </c>
      <c r="H2649">
        <v>0.13715525987108701</v>
      </c>
      <c r="I2649">
        <v>-2.9139256602172101</v>
      </c>
      <c r="J2649">
        <v>3.5691488823448299E-3</v>
      </c>
      <c r="K2649">
        <v>1.8035650069237599E-2</v>
      </c>
      <c r="L2649" t="s">
        <v>26</v>
      </c>
      <c r="M2649" t="s">
        <v>27</v>
      </c>
      <c r="N2649">
        <v>416.65004473262002</v>
      </c>
      <c r="O2649">
        <v>492.175883192784</v>
      </c>
      <c r="P2649">
        <v>360.00566588749598</v>
      </c>
      <c r="Q2649">
        <v>481.625552294952</v>
      </c>
      <c r="R2649">
        <v>513.13190154194501</v>
      </c>
      <c r="S2649">
        <v>481.77019574145498</v>
      </c>
      <c r="T2649">
        <v>274.97728293487597</v>
      </c>
      <c r="U2649">
        <v>349.024849579342</v>
      </c>
      <c r="V2649">
        <v>420.058219237895</v>
      </c>
      <c r="W2649">
        <v>395.96231179787202</v>
      </c>
    </row>
    <row r="2650" spans="1:23" x14ac:dyDescent="0.2">
      <c r="A2650" t="s">
        <v>5305</v>
      </c>
      <c r="B2650" s="3" t="str">
        <f>HYPERLINK("http://www.ncbi.nlm.nih.gov/gene/50907","Preb")</f>
        <v>Preb</v>
      </c>
      <c r="C2650">
        <v>50907</v>
      </c>
      <c r="D2650" t="s">
        <v>5306</v>
      </c>
      <c r="E2650" s="3" t="str">
        <f>HYPERLINK("http://genome.ucsc.edu/cgi-bin/hgTracks?db=mm10&amp;lastVirtModeType=default&amp;lastVirtModeExtraState=&amp;virtModeType=default&amp;virtMode=0&amp;nonVirtPosition=&amp;position=chr5:30951666-30960327","chr5:30951666-30960327")</f>
        <v>chr5:30951666-30960327</v>
      </c>
      <c r="F2650" t="s">
        <v>25</v>
      </c>
      <c r="G2650">
        <v>0.43829621000424401</v>
      </c>
      <c r="H2650">
        <v>0.15044704933726699</v>
      </c>
      <c r="I2650">
        <v>2.91329216448564</v>
      </c>
      <c r="J2650">
        <v>3.57639817273898E-3</v>
      </c>
      <c r="K2650">
        <v>1.8058653066043599E-2</v>
      </c>
      <c r="L2650" t="s">
        <v>26</v>
      </c>
      <c r="M2650" t="s">
        <v>27</v>
      </c>
      <c r="N2650">
        <v>286.87136404565899</v>
      </c>
      <c r="O2650">
        <v>235.60615110687601</v>
      </c>
      <c r="P2650">
        <v>325.320273749747</v>
      </c>
      <c r="Q2650">
        <v>200.44531656206101</v>
      </c>
      <c r="R2650">
        <v>220.72636119542699</v>
      </c>
      <c r="S2650">
        <v>285.64677556314001</v>
      </c>
      <c r="T2650">
        <v>348.304558384176</v>
      </c>
      <c r="U2650">
        <v>329.75353886637203</v>
      </c>
      <c r="V2650">
        <v>321.48063363740903</v>
      </c>
      <c r="W2650">
        <v>301.74236411102902</v>
      </c>
    </row>
    <row r="2651" spans="1:23" x14ac:dyDescent="0.2">
      <c r="A2651" t="s">
        <v>5307</v>
      </c>
      <c r="B2651" s="3" t="str">
        <f>HYPERLINK("http://www.ncbi.nlm.nih.gov/gene/108159","Ubxn8")</f>
        <v>Ubxn8</v>
      </c>
      <c r="C2651">
        <v>108159</v>
      </c>
      <c r="D2651" t="s">
        <v>5308</v>
      </c>
      <c r="E2651" s="3" t="str">
        <f>HYPERLINK("http://genome.ucsc.edu/cgi-bin/hgTracks?db=mm10&amp;lastVirtModeType=default&amp;lastVirtModeExtraState=&amp;virtModeType=default&amp;virtMode=0&amp;nonVirtPosition=&amp;position=chr8:33619585-33641976","chr8:33619585-33641976")</f>
        <v>chr8:33619585-33641976</v>
      </c>
      <c r="F2651" t="s">
        <v>25</v>
      </c>
      <c r="G2651">
        <v>-0.48914003587926302</v>
      </c>
      <c r="H2651">
        <v>0.16792957432451699</v>
      </c>
      <c r="I2651">
        <v>-2.91276886663226</v>
      </c>
      <c r="J2651">
        <v>3.5823965330582402E-3</v>
      </c>
      <c r="K2651">
        <v>1.8082122870027501E-2</v>
      </c>
      <c r="L2651" t="s">
        <v>26</v>
      </c>
      <c r="M2651" t="s">
        <v>27</v>
      </c>
      <c r="N2651">
        <v>137.13290115112</v>
      </c>
      <c r="O2651">
        <v>168.23561024332699</v>
      </c>
      <c r="P2651">
        <v>113.805869331965</v>
      </c>
      <c r="Q2651">
        <v>163.14021597967701</v>
      </c>
      <c r="R2651">
        <v>175.97428109051199</v>
      </c>
      <c r="S2651">
        <v>165.592333659791</v>
      </c>
      <c r="T2651">
        <v>96.242049027206505</v>
      </c>
      <c r="U2651">
        <v>109.204094040162</v>
      </c>
      <c r="V2651">
        <v>141.24549578577199</v>
      </c>
      <c r="W2651">
        <v>108.531838474718</v>
      </c>
    </row>
    <row r="2652" spans="1:23" x14ac:dyDescent="0.2">
      <c r="A2652" t="s">
        <v>5309</v>
      </c>
      <c r="B2652" s="3" t="str">
        <f>HYPERLINK("http://www.ncbi.nlm.nih.gov/gene/14167","Fgf12")</f>
        <v>Fgf12</v>
      </c>
      <c r="C2652">
        <v>14167</v>
      </c>
      <c r="D2652" t="s">
        <v>5310</v>
      </c>
      <c r="E2652" s="3" t="str">
        <f>HYPERLINK("http://genome.ucsc.edu/cgi-bin/hgTracks?db=mm10&amp;lastVirtModeType=default&amp;lastVirtModeExtraState=&amp;virtModeType=default&amp;virtMode=0&amp;nonVirtPosition=&amp;position=chr16:28396944-28446075","chr16:28396944-28446075")</f>
        <v>chr16:28396944-28446075</v>
      </c>
      <c r="F2652" t="s">
        <v>25</v>
      </c>
      <c r="G2652">
        <v>-0.552569203246565</v>
      </c>
      <c r="H2652">
        <v>0.189714512150952</v>
      </c>
      <c r="I2652">
        <v>-2.9126353961097902</v>
      </c>
      <c r="J2652">
        <v>3.5839279178946199E-3</v>
      </c>
      <c r="K2652">
        <v>1.80830364538534E-2</v>
      </c>
      <c r="L2652" t="s">
        <v>26</v>
      </c>
      <c r="M2652" t="s">
        <v>27</v>
      </c>
      <c r="N2652">
        <v>231.85568867340399</v>
      </c>
      <c r="O2652">
        <v>286.25095001484698</v>
      </c>
      <c r="P2652">
        <v>191.05924266732299</v>
      </c>
      <c r="Q2652">
        <v>338.529867971481</v>
      </c>
      <c r="R2652">
        <v>309.092756656826</v>
      </c>
      <c r="S2652">
        <v>211.130225416234</v>
      </c>
      <c r="T2652">
        <v>178.735233907669</v>
      </c>
      <c r="U2652">
        <v>220.54944482620999</v>
      </c>
      <c r="V2652">
        <v>157.42987551122499</v>
      </c>
      <c r="W2652">
        <v>207.52241642418599</v>
      </c>
    </row>
    <row r="2653" spans="1:23" x14ac:dyDescent="0.2">
      <c r="A2653" t="s">
        <v>5311</v>
      </c>
      <c r="B2653" s="3" t="str">
        <f>HYPERLINK("http://www.ncbi.nlm.nih.gov/gene/20068","Rps17")</f>
        <v>Rps17</v>
      </c>
      <c r="C2653">
        <v>20068</v>
      </c>
      <c r="D2653" t="s">
        <v>5312</v>
      </c>
      <c r="E2653" s="3" t="str">
        <f>HYPERLINK("http://genome.ucsc.edu/cgi-bin/hgTracks?db=mm10&amp;lastVirtModeType=default&amp;lastVirtModeExtraState=&amp;virtModeType=default&amp;virtMode=0&amp;nonVirtPosition=&amp;position=chr7:81342732-81345234","chr7:81342732-81345234")</f>
        <v>chr7:81342732-81345234</v>
      </c>
      <c r="F2653" t="s">
        <v>25</v>
      </c>
      <c r="G2653">
        <v>1.1299290031637901</v>
      </c>
      <c r="H2653">
        <v>0.38799579281438701</v>
      </c>
      <c r="I2653">
        <v>2.91221973044521</v>
      </c>
      <c r="J2653">
        <v>3.5887009071732499E-3</v>
      </c>
      <c r="K2653">
        <v>1.8098510932841601E-2</v>
      </c>
      <c r="L2653" t="s">
        <v>26</v>
      </c>
      <c r="M2653" t="s">
        <v>27</v>
      </c>
      <c r="N2653">
        <v>10.291570990141899</v>
      </c>
      <c r="O2653">
        <v>4.6396181274825601</v>
      </c>
      <c r="P2653">
        <v>14.530535637136399</v>
      </c>
      <c r="Q2653">
        <v>6.1247180060629702</v>
      </c>
      <c r="R2653">
        <v>4.1718040775767902</v>
      </c>
      <c r="S2653">
        <v>3.6223322988079301</v>
      </c>
      <c r="T2653">
        <v>4.58295471558126</v>
      </c>
      <c r="U2653">
        <v>6.4237702376566101</v>
      </c>
      <c r="V2653">
        <v>22.069608716526901</v>
      </c>
      <c r="W2653">
        <v>25.045808878780999</v>
      </c>
    </row>
    <row r="2654" spans="1:23" x14ac:dyDescent="0.2">
      <c r="A2654" t="s">
        <v>5313</v>
      </c>
      <c r="B2654" s="3" t="str">
        <f>HYPERLINK("http://www.ncbi.nlm.nih.gov/gene/66440","Cdc26")</f>
        <v>Cdc26</v>
      </c>
      <c r="C2654">
        <v>66440</v>
      </c>
      <c r="D2654" t="s">
        <v>5314</v>
      </c>
      <c r="E2654" s="3" t="str">
        <f>HYPERLINK("http://genome.ucsc.edu/cgi-bin/hgTracks?db=mm10&amp;lastVirtModeType=default&amp;lastVirtModeExtraState=&amp;virtModeType=default&amp;virtMode=0&amp;nonVirtPosition=&amp;position=chr4:62394588-62408623","chr4:62394588-62408623")</f>
        <v>chr4:62394588-62408623</v>
      </c>
      <c r="F2654" t="s">
        <v>25</v>
      </c>
      <c r="G2654">
        <v>0.60980553099991797</v>
      </c>
      <c r="H2654">
        <v>0.209401678483535</v>
      </c>
      <c r="I2654">
        <v>2.9121329657721202</v>
      </c>
      <c r="J2654">
        <v>3.5896979342563899E-3</v>
      </c>
      <c r="K2654">
        <v>1.8098510932841601E-2</v>
      </c>
      <c r="L2654" t="s">
        <v>26</v>
      </c>
      <c r="M2654" t="s">
        <v>27</v>
      </c>
      <c r="N2654">
        <v>89.180953695293198</v>
      </c>
      <c r="O2654">
        <v>66.176928179324506</v>
      </c>
      <c r="P2654">
        <v>106.43397283227</v>
      </c>
      <c r="Q2654">
        <v>59.0200098766068</v>
      </c>
      <c r="R2654">
        <v>58.784512002218399</v>
      </c>
      <c r="S2654">
        <v>80.726262659148205</v>
      </c>
      <c r="T2654">
        <v>114.573867889532</v>
      </c>
      <c r="U2654">
        <v>126.33414800724699</v>
      </c>
      <c r="V2654">
        <v>103.727160967676</v>
      </c>
      <c r="W2654">
        <v>81.100714464624303</v>
      </c>
    </row>
    <row r="2655" spans="1:23" x14ac:dyDescent="0.2">
      <c r="A2655" t="s">
        <v>5315</v>
      </c>
      <c r="B2655" s="3" t="str">
        <f>HYPERLINK("http://www.ncbi.nlm.nih.gov/gene/13992","Khdrbs3")</f>
        <v>Khdrbs3</v>
      </c>
      <c r="C2655">
        <v>13992</v>
      </c>
      <c r="D2655" t="s">
        <v>5316</v>
      </c>
      <c r="E2655" s="3" t="str">
        <f>HYPERLINK("http://genome.ucsc.edu/cgi-bin/hgTracks?db=mm10&amp;lastVirtModeType=default&amp;lastVirtModeExtraState=&amp;virtModeType=default&amp;virtMode=0&amp;nonVirtPosition=&amp;position=chr15:68928419-69093518","chr15:68928419-69093518")</f>
        <v>chr15:68928419-69093518</v>
      </c>
      <c r="F2655" t="s">
        <v>30</v>
      </c>
      <c r="G2655">
        <v>-0.58274822607974497</v>
      </c>
      <c r="H2655">
        <v>0.20012241090924501</v>
      </c>
      <c r="I2655">
        <v>-2.9119588527444802</v>
      </c>
      <c r="J2655">
        <v>3.5916994557545802E-3</v>
      </c>
      <c r="K2655">
        <v>1.8101786756495899E-2</v>
      </c>
      <c r="L2655" t="s">
        <v>26</v>
      </c>
      <c r="M2655" t="s">
        <v>27</v>
      </c>
      <c r="N2655">
        <v>319.73030755347099</v>
      </c>
      <c r="O2655">
        <v>398.895654603982</v>
      </c>
      <c r="P2655">
        <v>260.35629726558699</v>
      </c>
      <c r="Q2655">
        <v>522.828200699376</v>
      </c>
      <c r="R2655">
        <v>400.113936531229</v>
      </c>
      <c r="S2655">
        <v>273.74482658134201</v>
      </c>
      <c r="T2655">
        <v>265.81137350371301</v>
      </c>
      <c r="U2655">
        <v>304.05845791574598</v>
      </c>
      <c r="V2655">
        <v>235.40915964295399</v>
      </c>
      <c r="W2655">
        <v>236.146197999935</v>
      </c>
    </row>
    <row r="2656" spans="1:23" x14ac:dyDescent="0.2">
      <c r="A2656" t="s">
        <v>5317</v>
      </c>
      <c r="B2656" s="3" t="str">
        <f>HYPERLINK("http://www.ncbi.nlm.nih.gov/gene/434198","B130024G19Rik")</f>
        <v>B130024G19Rik</v>
      </c>
      <c r="C2656">
        <v>434198</v>
      </c>
      <c r="D2656" t="s">
        <v>5318</v>
      </c>
      <c r="E2656" s="3" t="str">
        <f>HYPERLINK("http://genome.ucsc.edu/cgi-bin/hgTracks?db=mm10&amp;lastVirtModeType=default&amp;lastVirtModeExtraState=&amp;virtModeType=default&amp;virtMode=0&amp;nonVirtPosition=&amp;position=chr7:70365382-70411146","chr7:70365382-70411146")</f>
        <v>chr7:70365382-70411146</v>
      </c>
      <c r="F2656" t="s">
        <v>30</v>
      </c>
      <c r="G2656">
        <v>1.0861121713845601</v>
      </c>
      <c r="H2656">
        <v>0.37314281786755998</v>
      </c>
      <c r="I2656">
        <v>2.9107143950712602</v>
      </c>
      <c r="J2656">
        <v>3.6060347377516E-3</v>
      </c>
      <c r="K2656">
        <v>1.8167197582103702E-2</v>
      </c>
      <c r="L2656" t="s">
        <v>26</v>
      </c>
      <c r="M2656" t="s">
        <v>27</v>
      </c>
      <c r="N2656">
        <v>19.1922949760833</v>
      </c>
      <c r="O2656">
        <v>8.4180788637643005</v>
      </c>
      <c r="P2656">
        <v>27.2729570603226</v>
      </c>
      <c r="Q2656">
        <v>12.8062285581317</v>
      </c>
      <c r="R2656">
        <v>9.8606278197269592</v>
      </c>
      <c r="S2656">
        <v>2.5873802134342401</v>
      </c>
      <c r="T2656">
        <v>45.829547155812598</v>
      </c>
      <c r="U2656">
        <v>12.847540475313201</v>
      </c>
      <c r="V2656">
        <v>20.5983014687584</v>
      </c>
      <c r="W2656">
        <v>29.816439141406001</v>
      </c>
    </row>
    <row r="2657" spans="1:23" x14ac:dyDescent="0.2">
      <c r="A2657" t="s">
        <v>5319</v>
      </c>
      <c r="B2657" s="3" t="str">
        <f>HYPERLINK("http://www.ncbi.nlm.nih.gov/gene/224836","Usp49")</f>
        <v>Usp49</v>
      </c>
      <c r="C2657">
        <v>224836</v>
      </c>
      <c r="D2657" t="s">
        <v>5320</v>
      </c>
      <c r="E2657" s="3" t="str">
        <f>HYPERLINK("http://genome.ucsc.edu/cgi-bin/hgTracks?db=mm10&amp;lastVirtModeType=default&amp;lastVirtModeExtraState=&amp;virtModeType=default&amp;virtMode=0&amp;nonVirtPosition=&amp;position=chr17:47630689-47684067","chr17:47630689-47684067")</f>
        <v>chr17:47630689-47684067</v>
      </c>
      <c r="F2657" t="s">
        <v>30</v>
      </c>
      <c r="G2657">
        <v>0.446573861085232</v>
      </c>
      <c r="H2657">
        <v>0.15344422461399701</v>
      </c>
      <c r="I2657">
        <v>2.9103334596569499</v>
      </c>
      <c r="J2657">
        <v>3.6104332386201199E-3</v>
      </c>
      <c r="K2657">
        <v>1.8182516546958301E-2</v>
      </c>
      <c r="L2657" t="s">
        <v>26</v>
      </c>
      <c r="M2657" t="s">
        <v>27</v>
      </c>
      <c r="N2657">
        <v>257.52054882282602</v>
      </c>
      <c r="O2657">
        <v>211.06684318850699</v>
      </c>
      <c r="P2657">
        <v>292.36082804856699</v>
      </c>
      <c r="Q2657">
        <v>205.45644947611299</v>
      </c>
      <c r="R2657">
        <v>175.215771258225</v>
      </c>
      <c r="S2657">
        <v>252.52830883118199</v>
      </c>
      <c r="T2657">
        <v>307.05796594394502</v>
      </c>
      <c r="U2657">
        <v>299.77594442397498</v>
      </c>
      <c r="V2657">
        <v>294.26144955369199</v>
      </c>
      <c r="W2657">
        <v>268.34795227265403</v>
      </c>
    </row>
    <row r="2658" spans="1:23" x14ac:dyDescent="0.2">
      <c r="A2658" t="s">
        <v>5321</v>
      </c>
      <c r="B2658" s="3" t="str">
        <f>HYPERLINK("http://www.ncbi.nlm.nih.gov/gene/14270","Srgap2")</f>
        <v>Srgap2</v>
      </c>
      <c r="C2658">
        <v>14270</v>
      </c>
      <c r="D2658" t="s">
        <v>5322</v>
      </c>
      <c r="E2658" s="3" t="str">
        <f>HYPERLINK("http://genome.ucsc.edu/cgi-bin/hgTracks?db=mm10&amp;lastVirtModeType=default&amp;lastVirtModeExtraState=&amp;virtModeType=default&amp;virtMode=0&amp;nonVirtPosition=&amp;position=chr1:131285250-131527361","chr1:131285250-131527361")</f>
        <v>chr1:131285250-131527361</v>
      </c>
      <c r="F2658" t="s">
        <v>25</v>
      </c>
      <c r="G2658">
        <v>0.366745471628529</v>
      </c>
      <c r="H2658">
        <v>0.12607637397688001</v>
      </c>
      <c r="I2658">
        <v>2.9089151286646602</v>
      </c>
      <c r="J2658">
        <v>3.6268530498619598E-3</v>
      </c>
      <c r="K2658">
        <v>1.8258341801015598E-2</v>
      </c>
      <c r="L2658" t="s">
        <v>26</v>
      </c>
      <c r="M2658" t="s">
        <v>27</v>
      </c>
      <c r="N2658">
        <v>541.931727112864</v>
      </c>
      <c r="O2658">
        <v>463.28009661100202</v>
      </c>
      <c r="P2658">
        <v>600.92044998926099</v>
      </c>
      <c r="Q2658">
        <v>425.38950514837398</v>
      </c>
      <c r="R2658">
        <v>437.66017322942002</v>
      </c>
      <c r="S2658">
        <v>526.79061145521098</v>
      </c>
      <c r="T2658">
        <v>618.69888660347101</v>
      </c>
      <c r="U2658">
        <v>537.45544321726902</v>
      </c>
      <c r="V2658">
        <v>595.14378172234206</v>
      </c>
      <c r="W2658">
        <v>652.383688413963</v>
      </c>
    </row>
    <row r="2659" spans="1:23" x14ac:dyDescent="0.2">
      <c r="A2659" t="s">
        <v>5323</v>
      </c>
      <c r="B2659" s="3" t="str">
        <f>HYPERLINK("http://www.ncbi.nlm.nih.gov/gene/237411","Zfp938")</f>
        <v>Zfp938</v>
      </c>
      <c r="C2659">
        <v>237411</v>
      </c>
      <c r="D2659" t="s">
        <v>5324</v>
      </c>
      <c r="E2659" s="3" t="str">
        <f>HYPERLINK("http://genome.ucsc.edu/cgi-bin/hgTracks?db=mm10&amp;lastVirtModeType=default&amp;lastVirtModeExtraState=&amp;virtModeType=default&amp;virtMode=0&amp;nonVirtPosition=&amp;position=chr10:82224855-82241275","chr10:82224855-82241275")</f>
        <v>chr10:82224855-82241275</v>
      </c>
      <c r="F2659" t="s">
        <v>25</v>
      </c>
      <c r="G2659">
        <v>-0.65855327155659704</v>
      </c>
      <c r="H2659">
        <v>0.226477766131678</v>
      </c>
      <c r="I2659">
        <v>-2.9078054009668302</v>
      </c>
      <c r="J2659">
        <v>3.6397475292071399E-3</v>
      </c>
      <c r="K2659">
        <v>1.83163694714817E-2</v>
      </c>
      <c r="L2659" t="s">
        <v>26</v>
      </c>
      <c r="M2659" t="s">
        <v>27</v>
      </c>
      <c r="N2659">
        <v>64.424219768858407</v>
      </c>
      <c r="O2659">
        <v>80.855836128234003</v>
      </c>
      <c r="P2659">
        <v>52.100507499326604</v>
      </c>
      <c r="Q2659">
        <v>90.757184998933198</v>
      </c>
      <c r="R2659">
        <v>86.090865964539205</v>
      </c>
      <c r="S2659">
        <v>65.719457421229606</v>
      </c>
      <c r="T2659">
        <v>68.744320733718993</v>
      </c>
      <c r="U2659">
        <v>51.390161901252803</v>
      </c>
      <c r="V2659">
        <v>44.139217433053801</v>
      </c>
      <c r="W2659">
        <v>44.128329929280902</v>
      </c>
    </row>
    <row r="2660" spans="1:23" x14ac:dyDescent="0.2">
      <c r="A2660" t="s">
        <v>5325</v>
      </c>
      <c r="B2660" s="3" t="str">
        <f>HYPERLINK("http://www.ncbi.nlm.nih.gov/gene/240614","Ranbp6")</f>
        <v>Ranbp6</v>
      </c>
      <c r="C2660">
        <v>240614</v>
      </c>
      <c r="D2660" t="s">
        <v>5326</v>
      </c>
      <c r="E2660" s="3" t="str">
        <f>HYPERLINK("http://genome.ucsc.edu/cgi-bin/hgTracks?db=mm10&amp;lastVirtModeType=default&amp;lastVirtModeExtraState=&amp;virtModeType=default&amp;virtMode=0&amp;nonVirtPosition=&amp;position=chr19:29808107-29812974","chr19:29808107-29812974")</f>
        <v>chr19:29808107-29812974</v>
      </c>
      <c r="F2660" t="s">
        <v>25</v>
      </c>
      <c r="G2660">
        <v>-0.39876594334340498</v>
      </c>
      <c r="H2660">
        <v>0.137165130948362</v>
      </c>
      <c r="I2660">
        <v>-2.9071961699473401</v>
      </c>
      <c r="J2660">
        <v>3.64684420085429E-3</v>
      </c>
      <c r="K2660">
        <v>1.8345188089271099E-2</v>
      </c>
      <c r="L2660" t="s">
        <v>26</v>
      </c>
      <c r="M2660" t="s">
        <v>27</v>
      </c>
      <c r="N2660">
        <v>177.792077727405</v>
      </c>
      <c r="O2660">
        <v>209.108471982857</v>
      </c>
      <c r="P2660">
        <v>154.304782035817</v>
      </c>
      <c r="Q2660">
        <v>206.57003456812399</v>
      </c>
      <c r="R2660">
        <v>208.59020387883999</v>
      </c>
      <c r="S2660">
        <v>212.16517750160801</v>
      </c>
      <c r="T2660">
        <v>137.48864146743799</v>
      </c>
      <c r="U2660">
        <v>152.02922895787299</v>
      </c>
      <c r="V2660">
        <v>155.95856826345701</v>
      </c>
      <c r="W2660">
        <v>171.74268945449899</v>
      </c>
    </row>
    <row r="2661" spans="1:23" x14ac:dyDescent="0.2">
      <c r="A2661" t="s">
        <v>5327</v>
      </c>
      <c r="B2661" s="3" t="str">
        <f>HYPERLINK("http://www.ncbi.nlm.nih.gov/gene/17274","Rab8a")</f>
        <v>Rab8a</v>
      </c>
      <c r="C2661">
        <v>17274</v>
      </c>
      <c r="D2661" t="s">
        <v>5328</v>
      </c>
      <c r="E2661" s="3" t="str">
        <f>HYPERLINK("http://genome.ucsc.edu/cgi-bin/hgTracks?db=mm10&amp;lastVirtModeType=default&amp;lastVirtModeExtraState=&amp;virtModeType=default&amp;virtMode=0&amp;nonVirtPosition=&amp;position=chr8:72161199-72181366","chr8:72161199-72181366")</f>
        <v>chr8:72161199-72181366</v>
      </c>
      <c r="F2661" t="s">
        <v>30</v>
      </c>
      <c r="G2661">
        <v>-0.401210602440502</v>
      </c>
      <c r="H2661">
        <v>0.138016130795794</v>
      </c>
      <c r="I2661">
        <v>-2.9069834093097802</v>
      </c>
      <c r="J2661">
        <v>3.6493255214219401E-3</v>
      </c>
      <c r="K2661">
        <v>1.83507765893208E-2</v>
      </c>
      <c r="L2661" t="s">
        <v>26</v>
      </c>
      <c r="M2661" t="s">
        <v>27</v>
      </c>
      <c r="N2661">
        <v>237.991263364291</v>
      </c>
      <c r="O2661">
        <v>277.21610798314799</v>
      </c>
      <c r="P2661">
        <v>208.572629900148</v>
      </c>
      <c r="Q2661">
        <v>283.407405916914</v>
      </c>
      <c r="R2661">
        <v>300.36989358552898</v>
      </c>
      <c r="S2661">
        <v>247.871024447</v>
      </c>
      <c r="T2661">
        <v>210.81591691673799</v>
      </c>
      <c r="U2661">
        <v>216.26693133443899</v>
      </c>
      <c r="V2661">
        <v>219.96043354138499</v>
      </c>
      <c r="W2661">
        <v>187.24723780803001</v>
      </c>
    </row>
    <row r="2662" spans="1:23" x14ac:dyDescent="0.2">
      <c r="A2662" t="s">
        <v>5329</v>
      </c>
      <c r="B2662" s="3" t="str">
        <f>HYPERLINK("http://www.ncbi.nlm.nih.gov/gene/213550","Dis3l")</f>
        <v>Dis3l</v>
      </c>
      <c r="C2662">
        <v>213550</v>
      </c>
      <c r="D2662" t="s">
        <v>5330</v>
      </c>
      <c r="E2662" s="3" t="str">
        <f>HYPERLINK("http://genome.ucsc.edu/cgi-bin/hgTracks?db=mm10&amp;lastVirtModeType=default&amp;lastVirtModeExtraState=&amp;virtModeType=default&amp;virtMode=0&amp;nonVirtPosition=&amp;position=chr9:64306755-64340457","chr9:64306755-64340457")</f>
        <v>chr9:64306755-64340457</v>
      </c>
      <c r="F2662" t="s">
        <v>25</v>
      </c>
      <c r="G2662">
        <v>-0.43023587556906401</v>
      </c>
      <c r="H2662">
        <v>0.148099132708088</v>
      </c>
      <c r="I2662">
        <v>-2.9050533092390398</v>
      </c>
      <c r="J2662">
        <v>3.6719055445145199E-3</v>
      </c>
      <c r="K2662">
        <v>1.8457390070042799E-2</v>
      </c>
      <c r="L2662" t="s">
        <v>26</v>
      </c>
      <c r="M2662" t="s">
        <v>27</v>
      </c>
      <c r="N2662">
        <v>193.39247901519701</v>
      </c>
      <c r="O2662">
        <v>227.044765889042</v>
      </c>
      <c r="P2662">
        <v>168.15326385981299</v>
      </c>
      <c r="Q2662">
        <v>257.79494880065101</v>
      </c>
      <c r="R2662">
        <v>214.27902762099001</v>
      </c>
      <c r="S2662">
        <v>209.06032124548599</v>
      </c>
      <c r="T2662">
        <v>169.56932447650701</v>
      </c>
      <c r="U2662">
        <v>184.14808014615599</v>
      </c>
      <c r="V2662">
        <v>156.694221887341</v>
      </c>
      <c r="W2662">
        <v>162.201428929249</v>
      </c>
    </row>
    <row r="2663" spans="1:23" x14ac:dyDescent="0.2">
      <c r="A2663" t="s">
        <v>5331</v>
      </c>
      <c r="B2663" s="3" t="str">
        <f>HYPERLINK("http://www.ncbi.nlm.nih.gov/gene/109910","Zfp91")</f>
        <v>Zfp91</v>
      </c>
      <c r="C2663">
        <v>109910</v>
      </c>
      <c r="D2663" t="s">
        <v>5332</v>
      </c>
      <c r="E2663" s="3" t="str">
        <f>HYPERLINK("http://genome.ucsc.edu/cgi-bin/hgTracks?db=mm10&amp;lastVirtModeType=default&amp;lastVirtModeExtraState=&amp;virtModeType=default&amp;virtMode=0&amp;nonVirtPosition=&amp;position=chr19:12766938-12796123","chr19:12766938-12796123")</f>
        <v>chr19:12766938-12796123</v>
      </c>
      <c r="F2663" t="s">
        <v>25</v>
      </c>
      <c r="G2663">
        <v>-0.33637990381084998</v>
      </c>
      <c r="H2663">
        <v>0.11584723512635001</v>
      </c>
      <c r="I2663">
        <v>-2.9036506865612499</v>
      </c>
      <c r="J2663">
        <v>3.6883942906755398E-3</v>
      </c>
      <c r="K2663">
        <v>1.8533316302602701E-2</v>
      </c>
      <c r="L2663" t="s">
        <v>26</v>
      </c>
      <c r="M2663" t="s">
        <v>27</v>
      </c>
      <c r="N2663">
        <v>754.143773891725</v>
      </c>
      <c r="O2663">
        <v>858.76515918444204</v>
      </c>
      <c r="P2663">
        <v>675.67773492218805</v>
      </c>
      <c r="Q2663">
        <v>948.21770584775004</v>
      </c>
      <c r="R2663">
        <v>871.52779729740598</v>
      </c>
      <c r="S2663">
        <v>756.54997440817101</v>
      </c>
      <c r="T2663">
        <v>669.11138847486404</v>
      </c>
      <c r="U2663">
        <v>657.36582098685903</v>
      </c>
      <c r="V2663">
        <v>670.18045135853401</v>
      </c>
      <c r="W2663">
        <v>706.05327886849398</v>
      </c>
    </row>
    <row r="2664" spans="1:23" x14ac:dyDescent="0.2">
      <c r="A2664" t="s">
        <v>5331</v>
      </c>
      <c r="B2664" s="3" t="str">
        <f>HYPERLINK("http://www.ncbi.nlm.nih.gov/gene/664779","Gm44505")</f>
        <v>Gm44505</v>
      </c>
      <c r="C2664">
        <v>664779</v>
      </c>
      <c r="D2664" t="s">
        <v>5333</v>
      </c>
      <c r="E2664" s="3" t="str">
        <f>HYPERLINK("http://genome.ucsc.edu/cgi-bin/hgTracks?db=mm10&amp;lastVirtModeType=default&amp;lastVirtModeExtraState=&amp;virtModeType=default&amp;virtMode=0&amp;nonVirtPosition=&amp;position=chr19:12763527-12796123","chr19:12763527-12796123")</f>
        <v>chr19:12763527-12796123</v>
      </c>
      <c r="F2664" t="s">
        <v>25</v>
      </c>
      <c r="G2664">
        <v>-0.33637990381084998</v>
      </c>
      <c r="H2664">
        <v>0.11584723512635001</v>
      </c>
      <c r="I2664">
        <v>-2.9036506865612499</v>
      </c>
      <c r="J2664">
        <v>3.6883942906755398E-3</v>
      </c>
      <c r="K2664">
        <v>1.8533316302602701E-2</v>
      </c>
      <c r="L2664" t="s">
        <v>26</v>
      </c>
      <c r="M2664" t="s">
        <v>27</v>
      </c>
      <c r="N2664">
        <v>754.143773891725</v>
      </c>
      <c r="O2664">
        <v>858.76515918444204</v>
      </c>
      <c r="P2664">
        <v>675.67773492218805</v>
      </c>
      <c r="Q2664">
        <v>948.21770584775004</v>
      </c>
      <c r="R2664">
        <v>871.52779729740598</v>
      </c>
      <c r="S2664">
        <v>756.54997440817101</v>
      </c>
      <c r="T2664">
        <v>669.11138847486404</v>
      </c>
      <c r="U2664">
        <v>657.36582098685903</v>
      </c>
      <c r="V2664">
        <v>670.18045135853401</v>
      </c>
      <c r="W2664">
        <v>706.05327886849398</v>
      </c>
    </row>
    <row r="2665" spans="1:23" x14ac:dyDescent="0.2">
      <c r="A2665" t="s">
        <v>5334</v>
      </c>
      <c r="B2665" s="3" t="str">
        <f>HYPERLINK("http://www.ncbi.nlm.nih.gov/gene/15926","Idh1")</f>
        <v>Idh1</v>
      </c>
      <c r="C2665">
        <v>15926</v>
      </c>
      <c r="D2665" t="s">
        <v>5335</v>
      </c>
      <c r="E2665" s="3" t="str">
        <f>HYPERLINK("http://genome.ucsc.edu/cgi-bin/hgTracks?db=mm10&amp;lastVirtModeType=default&amp;lastVirtModeExtraState=&amp;virtModeType=default&amp;virtMode=0&amp;nonVirtPosition=&amp;position=chr1:65158615-65179142","chr1:65158615-65179142")</f>
        <v>chr1:65158615-65179142</v>
      </c>
      <c r="F2665" t="s">
        <v>25</v>
      </c>
      <c r="G2665">
        <v>-0.49731072016620398</v>
      </c>
      <c r="H2665">
        <v>0.17132496601605199</v>
      </c>
      <c r="I2665">
        <v>-2.90273351123624</v>
      </c>
      <c r="J2665">
        <v>3.6992126580699899E-3</v>
      </c>
      <c r="K2665">
        <v>1.85807039400658E-2</v>
      </c>
      <c r="L2665" t="s">
        <v>26</v>
      </c>
      <c r="M2665" t="s">
        <v>27</v>
      </c>
      <c r="N2665">
        <v>479.84568918421098</v>
      </c>
      <c r="O2665">
        <v>583.49498276194402</v>
      </c>
      <c r="P2665">
        <v>402.10871900091098</v>
      </c>
      <c r="Q2665">
        <v>478.28479701891803</v>
      </c>
      <c r="R2665">
        <v>743.33963564095495</v>
      </c>
      <c r="S2665">
        <v>528.86051562595799</v>
      </c>
      <c r="T2665">
        <v>320.80683009068798</v>
      </c>
      <c r="U2665">
        <v>443.24014639830602</v>
      </c>
      <c r="V2665">
        <v>428.15040910062203</v>
      </c>
      <c r="W2665">
        <v>416.237490414028</v>
      </c>
    </row>
    <row r="2666" spans="1:23" x14ac:dyDescent="0.2">
      <c r="A2666" t="s">
        <v>5336</v>
      </c>
      <c r="B2666" s="3" t="str">
        <f>HYPERLINK("http://www.ncbi.nlm.nih.gov/gene/20402","Zfp106")</f>
        <v>Zfp106</v>
      </c>
      <c r="C2666">
        <v>20402</v>
      </c>
      <c r="D2666" t="s">
        <v>5337</v>
      </c>
      <c r="E2666" s="3" t="str">
        <f>HYPERLINK("http://genome.ucsc.edu/cgi-bin/hgTracks?db=mm10&amp;lastVirtModeType=default&amp;lastVirtModeExtraState=&amp;virtModeType=default&amp;virtMode=0&amp;nonVirtPosition=&amp;position=chr2:120506829-120563831","chr2:120506829-120563831")</f>
        <v>chr2:120506829-120563831</v>
      </c>
      <c r="F2666" t="s">
        <v>25</v>
      </c>
      <c r="G2666">
        <v>-0.27558790590588</v>
      </c>
      <c r="H2666">
        <v>9.4950607261031703E-2</v>
      </c>
      <c r="I2666">
        <v>-2.9024343693585002</v>
      </c>
      <c r="J2666">
        <v>3.7027473631882899E-3</v>
      </c>
      <c r="K2666">
        <v>1.85914847920714E-2</v>
      </c>
      <c r="L2666" t="s">
        <v>26</v>
      </c>
      <c r="M2666" t="s">
        <v>27</v>
      </c>
      <c r="N2666">
        <v>1137.3169762120101</v>
      </c>
      <c r="O2666">
        <v>1262.8547747980199</v>
      </c>
      <c r="P2666">
        <v>1043.16362727251</v>
      </c>
      <c r="Q2666">
        <v>1207.68303228642</v>
      </c>
      <c r="R2666">
        <v>1287.1911853905101</v>
      </c>
      <c r="S2666">
        <v>1293.69010671712</v>
      </c>
      <c r="T2666">
        <v>1095.3261770239201</v>
      </c>
      <c r="U2666">
        <v>1006.3906705662</v>
      </c>
      <c r="V2666">
        <v>1076.2612517426301</v>
      </c>
      <c r="W2666">
        <v>994.67640975730399</v>
      </c>
    </row>
    <row r="2667" spans="1:23" x14ac:dyDescent="0.2">
      <c r="A2667" t="s">
        <v>5338</v>
      </c>
      <c r="B2667" s="3" t="str">
        <f>HYPERLINK("http://www.ncbi.nlm.nih.gov/gene/240843","Brinp2")</f>
        <v>Brinp2</v>
      </c>
      <c r="C2667">
        <v>240843</v>
      </c>
      <c r="D2667" t="s">
        <v>5339</v>
      </c>
      <c r="E2667" s="3" t="str">
        <f>HYPERLINK("http://genome.ucsc.edu/cgi-bin/hgTracks?db=mm10&amp;lastVirtModeType=default&amp;lastVirtModeExtraState=&amp;virtModeType=default&amp;virtMode=0&amp;nonVirtPosition=&amp;position=chr1:158245268-158356260","chr1:158245268-158356260")</f>
        <v>chr1:158245268-158356260</v>
      </c>
      <c r="F2667" t="s">
        <v>25</v>
      </c>
      <c r="G2667">
        <v>-0.50862479541907202</v>
      </c>
      <c r="H2667">
        <v>0.17538011623892</v>
      </c>
      <c r="I2667">
        <v>-2.9001280551449402</v>
      </c>
      <c r="J2667">
        <v>3.73010237900363E-3</v>
      </c>
      <c r="K2667">
        <v>1.8721192869156199E-2</v>
      </c>
      <c r="L2667" t="s">
        <v>26</v>
      </c>
      <c r="M2667" t="s">
        <v>27</v>
      </c>
      <c r="N2667">
        <v>293.90306139449598</v>
      </c>
      <c r="O2667">
        <v>358.05786341884698</v>
      </c>
      <c r="P2667">
        <v>245.786959876233</v>
      </c>
      <c r="Q2667">
        <v>467.705738644809</v>
      </c>
      <c r="R2667">
        <v>310.98903123754297</v>
      </c>
      <c r="S2667">
        <v>295.47882037418998</v>
      </c>
      <c r="T2667">
        <v>229.147735779063</v>
      </c>
      <c r="U2667">
        <v>261.23332299803502</v>
      </c>
      <c r="V2667">
        <v>243.50134950568</v>
      </c>
      <c r="W2667">
        <v>249.26543122215401</v>
      </c>
    </row>
    <row r="2668" spans="1:23" x14ac:dyDescent="0.2">
      <c r="A2668" t="s">
        <v>5340</v>
      </c>
      <c r="B2668" s="3" t="str">
        <f>HYPERLINK("http://www.ncbi.nlm.nih.gov/gene/56316","Ggcx")</f>
        <v>Ggcx</v>
      </c>
      <c r="C2668">
        <v>56316</v>
      </c>
      <c r="D2668" t="s">
        <v>5341</v>
      </c>
      <c r="E2668" s="3" t="str">
        <f>HYPERLINK("http://genome.ucsc.edu/cgi-bin/hgTracks?db=mm10&amp;lastVirtModeType=default&amp;lastVirtModeExtraState=&amp;virtModeType=default&amp;virtMode=0&amp;nonVirtPosition=&amp;position=chr6:72414307-72431106","chr6:72414307-72431106")</f>
        <v>chr6:72414307-72431106</v>
      </c>
      <c r="F2668" t="s">
        <v>30</v>
      </c>
      <c r="G2668">
        <v>0.48642902420488898</v>
      </c>
      <c r="H2668">
        <v>0.16773800138827999</v>
      </c>
      <c r="I2668">
        <v>2.8999333495032098</v>
      </c>
      <c r="J2668">
        <v>3.73242015594266E-3</v>
      </c>
      <c r="K2668">
        <v>1.8721192869156199E-2</v>
      </c>
      <c r="L2668" t="s">
        <v>26</v>
      </c>
      <c r="M2668" t="s">
        <v>27</v>
      </c>
      <c r="N2668">
        <v>165.40376263269999</v>
      </c>
      <c r="O2668">
        <v>134.43586990249301</v>
      </c>
      <c r="P2668">
        <v>188.62968218035601</v>
      </c>
      <c r="Q2668">
        <v>149.77719487554</v>
      </c>
      <c r="R2668">
        <v>112.25945517843</v>
      </c>
      <c r="S2668">
        <v>141.27095965350901</v>
      </c>
      <c r="T2668">
        <v>183.31818862325099</v>
      </c>
      <c r="U2668">
        <v>158.45299919553</v>
      </c>
      <c r="V2668">
        <v>195.68386395320499</v>
      </c>
      <c r="W2668">
        <v>217.063676949436</v>
      </c>
    </row>
    <row r="2669" spans="1:23" x14ac:dyDescent="0.2">
      <c r="A2669" t="s">
        <v>5342</v>
      </c>
      <c r="B2669" s="3" t="str">
        <f>HYPERLINK("http://www.ncbi.nlm.nih.gov/gene/55980","Impa1")</f>
        <v>Impa1</v>
      </c>
      <c r="C2669">
        <v>55980</v>
      </c>
      <c r="D2669" t="s">
        <v>5343</v>
      </c>
      <c r="E2669" s="3" t="str">
        <f>HYPERLINK("http://genome.ucsc.edu/cgi-bin/hgTracks?db=mm10&amp;lastVirtModeType=default&amp;lastVirtModeExtraState=&amp;virtModeType=default&amp;virtMode=0&amp;nonVirtPosition=&amp;position=chr3:10311955-10331439","chr3:10311955-10331439")</f>
        <v>chr3:10311955-10331439</v>
      </c>
      <c r="F2669" t="s">
        <v>25</v>
      </c>
      <c r="G2669">
        <v>-0.41335858927035202</v>
      </c>
      <c r="H2669">
        <v>0.14254218375130401</v>
      </c>
      <c r="I2669">
        <v>-2.8999035821672701</v>
      </c>
      <c r="J2669">
        <v>3.7327746218092099E-3</v>
      </c>
      <c r="K2669">
        <v>1.8721192869156199E-2</v>
      </c>
      <c r="L2669" t="s">
        <v>26</v>
      </c>
      <c r="M2669" t="s">
        <v>27</v>
      </c>
      <c r="N2669">
        <v>293.49215941586402</v>
      </c>
      <c r="O2669">
        <v>347.715813003064</v>
      </c>
      <c r="P2669">
        <v>252.824419225464</v>
      </c>
      <c r="Q2669">
        <v>372.49421327783</v>
      </c>
      <c r="R2669">
        <v>337.91613028372001</v>
      </c>
      <c r="S2669">
        <v>332.73709544764301</v>
      </c>
      <c r="T2669">
        <v>229.147735779063</v>
      </c>
      <c r="U2669">
        <v>209.84316109678201</v>
      </c>
      <c r="V2669">
        <v>282.49099157154399</v>
      </c>
      <c r="W2669">
        <v>289.81578845446597</v>
      </c>
    </row>
    <row r="2670" spans="1:23" x14ac:dyDescent="0.2">
      <c r="A2670" t="s">
        <v>5344</v>
      </c>
      <c r="B2670" s="3" t="str">
        <f>HYPERLINK("http://www.ncbi.nlm.nih.gov/gene/98432","Phlpp1")</f>
        <v>Phlpp1</v>
      </c>
      <c r="C2670">
        <v>98432</v>
      </c>
      <c r="D2670" t="s">
        <v>5345</v>
      </c>
      <c r="E2670" s="3" t="str">
        <f>HYPERLINK("http://genome.ucsc.edu/cgi-bin/hgTracks?db=mm10&amp;lastVirtModeType=default&amp;lastVirtModeExtraState=&amp;virtModeType=default&amp;virtMode=0&amp;nonVirtPosition=&amp;position=chr1:106171868-106394245","chr1:106171868-106394245")</f>
        <v>chr1:106171868-106394245</v>
      </c>
      <c r="F2670" t="s">
        <v>30</v>
      </c>
      <c r="G2670">
        <v>-0.36281700578676102</v>
      </c>
      <c r="H2670">
        <v>0.12512535528136501</v>
      </c>
      <c r="I2670">
        <v>-2.8996281766465799</v>
      </c>
      <c r="J2670">
        <v>3.7360555692194002E-3</v>
      </c>
      <c r="K2670">
        <v>1.8730632769530901E-2</v>
      </c>
      <c r="L2670" t="s">
        <v>26</v>
      </c>
      <c r="M2670" t="s">
        <v>27</v>
      </c>
      <c r="N2670">
        <v>928.84506622614401</v>
      </c>
      <c r="O2670">
        <v>1071.46791816514</v>
      </c>
      <c r="P2670">
        <v>821.87792727189901</v>
      </c>
      <c r="Q2670">
        <v>1143.6518894957601</v>
      </c>
      <c r="R2670">
        <v>944.72399611307105</v>
      </c>
      <c r="S2670">
        <v>1126.0278688865801</v>
      </c>
      <c r="T2670">
        <v>701.19207148393298</v>
      </c>
      <c r="U2670">
        <v>918.59914398489502</v>
      </c>
      <c r="V2670">
        <v>836.43817035637005</v>
      </c>
      <c r="W2670">
        <v>831.28232326239902</v>
      </c>
    </row>
    <row r="2671" spans="1:23" x14ac:dyDescent="0.2">
      <c r="A2671" t="s">
        <v>5346</v>
      </c>
      <c r="B2671" s="3" t="str">
        <f>HYPERLINK("http://www.ncbi.nlm.nih.gov/gene/21888","Tle4")</f>
        <v>Tle4</v>
      </c>
      <c r="C2671">
        <v>21888</v>
      </c>
      <c r="D2671" t="s">
        <v>5347</v>
      </c>
      <c r="E2671" s="3" t="str">
        <f>HYPERLINK("http://genome.ucsc.edu/cgi-bin/hgTracks?db=mm10&amp;lastVirtModeType=default&amp;lastVirtModeExtraState=&amp;virtModeType=default&amp;virtMode=0&amp;nonVirtPosition=&amp;position=chr19:14448071-14598183","chr19:14448071-14598183")</f>
        <v>chr19:14448071-14598183</v>
      </c>
      <c r="F2671" t="s">
        <v>25</v>
      </c>
      <c r="G2671">
        <v>-0.41659239568295697</v>
      </c>
      <c r="H2671">
        <v>0.14368698542324199</v>
      </c>
      <c r="I2671">
        <v>-2.89930500285638</v>
      </c>
      <c r="J2671">
        <v>3.7399089298388501E-3</v>
      </c>
      <c r="K2671">
        <v>1.8742934311179699E-2</v>
      </c>
      <c r="L2671" t="s">
        <v>26</v>
      </c>
      <c r="M2671" t="s">
        <v>27</v>
      </c>
      <c r="N2671">
        <v>235.526135373709</v>
      </c>
      <c r="O2671">
        <v>274.82365649330802</v>
      </c>
      <c r="P2671">
        <v>206.05299453401099</v>
      </c>
      <c r="Q2671">
        <v>303.45193757312001</v>
      </c>
      <c r="R2671">
        <v>247.274205325461</v>
      </c>
      <c r="S2671">
        <v>273.74482658134201</v>
      </c>
      <c r="T2671">
        <v>238.31364521022601</v>
      </c>
      <c r="U2671">
        <v>171.30053967084299</v>
      </c>
      <c r="V2671">
        <v>202.30474656816301</v>
      </c>
      <c r="W2671">
        <v>212.29304668681101</v>
      </c>
    </row>
    <row r="2672" spans="1:23" x14ac:dyDescent="0.2">
      <c r="A2672" t="s">
        <v>5348</v>
      </c>
      <c r="B2672" s="3" t="str">
        <f>HYPERLINK("http://www.ncbi.nlm.nih.gov/gene/73296","Rhobtb3")</f>
        <v>Rhobtb3</v>
      </c>
      <c r="C2672">
        <v>73296</v>
      </c>
      <c r="D2672" t="s">
        <v>5349</v>
      </c>
      <c r="E2672" s="3" t="str">
        <f>HYPERLINK("http://genome.ucsc.edu/cgi-bin/hgTracks?db=mm10&amp;lastVirtModeType=default&amp;lastVirtModeExtraState=&amp;virtModeType=default&amp;virtMode=0&amp;nonVirtPosition=&amp;position=chr13:75869536-75943824","chr13:75869536-75943824")</f>
        <v>chr13:75869536-75943824</v>
      </c>
      <c r="F2672" t="s">
        <v>25</v>
      </c>
      <c r="G2672">
        <v>-0.34696529076237698</v>
      </c>
      <c r="H2672">
        <v>0.119678134905812</v>
      </c>
      <c r="I2672">
        <v>-2.89915355913128</v>
      </c>
      <c r="J2672">
        <v>3.74171591092946E-3</v>
      </c>
      <c r="K2672">
        <v>1.8744974845961999E-2</v>
      </c>
      <c r="L2672" t="s">
        <v>26</v>
      </c>
      <c r="M2672" t="s">
        <v>27</v>
      </c>
      <c r="N2672">
        <v>857.140526362277</v>
      </c>
      <c r="O2672">
        <v>981.42750662208005</v>
      </c>
      <c r="P2672">
        <v>763.92529116742503</v>
      </c>
      <c r="Q2672">
        <v>994.431487166225</v>
      </c>
      <c r="R2672">
        <v>975.44364432068198</v>
      </c>
      <c r="S2672">
        <v>974.40738837933395</v>
      </c>
      <c r="T2672">
        <v>774.51934693323403</v>
      </c>
      <c r="U2672">
        <v>659.50707773274496</v>
      </c>
      <c r="V2672">
        <v>879.84173416553904</v>
      </c>
      <c r="W2672">
        <v>741.83300583818095</v>
      </c>
    </row>
    <row r="2673" spans="1:23" x14ac:dyDescent="0.2">
      <c r="A2673" t="s">
        <v>5350</v>
      </c>
      <c r="B2673" s="3" t="str">
        <f>HYPERLINK("http://www.ncbi.nlm.nih.gov/gene/207165","Bptf")</f>
        <v>Bptf</v>
      </c>
      <c r="C2673">
        <v>207165</v>
      </c>
      <c r="D2673" t="s">
        <v>5351</v>
      </c>
      <c r="E2673" s="3" t="str">
        <f>HYPERLINK("http://genome.ucsc.edu/cgi-bin/hgTracks?db=mm10&amp;lastVirtModeType=default&amp;lastVirtModeExtraState=&amp;virtModeType=default&amp;virtMode=0&amp;nonVirtPosition=&amp;position=chr11:107033080-107131922","chr11:107033080-107131922")</f>
        <v>chr11:107033080-107131922</v>
      </c>
      <c r="F2673" t="s">
        <v>25</v>
      </c>
      <c r="G2673">
        <v>0.28607197404336399</v>
      </c>
      <c r="H2673">
        <v>9.8686746081596805E-2</v>
      </c>
      <c r="I2673">
        <v>2.89878818992403</v>
      </c>
      <c r="J2673">
        <v>3.74607865394658E-3</v>
      </c>
      <c r="K2673">
        <v>1.8759812735601601E-2</v>
      </c>
      <c r="L2673" t="s">
        <v>26</v>
      </c>
      <c r="M2673" t="s">
        <v>27</v>
      </c>
      <c r="N2673">
        <v>1331.2655491493999</v>
      </c>
      <c r="O2673">
        <v>1181.40615047404</v>
      </c>
      <c r="P2673">
        <v>1443.66009815591</v>
      </c>
      <c r="Q2673">
        <v>1218.81888320653</v>
      </c>
      <c r="R2673">
        <v>1092.2541584928299</v>
      </c>
      <c r="S2673">
        <v>1233.14540972276</v>
      </c>
      <c r="T2673">
        <v>1466.545508986</v>
      </c>
      <c r="U2673">
        <v>1359.6980336373099</v>
      </c>
      <c r="V2673">
        <v>1483.8133593744899</v>
      </c>
      <c r="W2673">
        <v>1464.5834906258599</v>
      </c>
    </row>
    <row r="2674" spans="1:23" x14ac:dyDescent="0.2">
      <c r="A2674" t="s">
        <v>5352</v>
      </c>
      <c r="B2674" s="3" t="str">
        <f>HYPERLINK("http://www.ncbi.nlm.nih.gov/gene/21406","Tcf12")</f>
        <v>Tcf12</v>
      </c>
      <c r="C2674">
        <v>21406</v>
      </c>
      <c r="D2674" t="s">
        <v>5353</v>
      </c>
      <c r="E2674" s="3" t="str">
        <f>HYPERLINK("http://genome.ucsc.edu/cgi-bin/hgTracks?db=mm10&amp;lastVirtModeType=default&amp;lastVirtModeExtraState=&amp;virtModeType=default&amp;virtMode=0&amp;nonVirtPosition=&amp;position=chr9:71844251-72111201","chr9:71844251-72111201")</f>
        <v>chr9:71844251-72111201</v>
      </c>
      <c r="F2674" t="s">
        <v>25</v>
      </c>
      <c r="G2674">
        <v>-0.36984965729265101</v>
      </c>
      <c r="H2674">
        <v>0.127619678517467</v>
      </c>
      <c r="I2674">
        <v>-2.8980613459391402</v>
      </c>
      <c r="J2674">
        <v>3.7547713887422802E-3</v>
      </c>
      <c r="K2674">
        <v>1.87926774597897E-2</v>
      </c>
      <c r="L2674" t="s">
        <v>26</v>
      </c>
      <c r="M2674" t="s">
        <v>27</v>
      </c>
      <c r="N2674">
        <v>1638.2398542200001</v>
      </c>
      <c r="O2674">
        <v>1891.6948829340099</v>
      </c>
      <c r="P2674">
        <v>1448.1485826845001</v>
      </c>
      <c r="Q2674">
        <v>1708.23953114556</v>
      </c>
      <c r="R2674">
        <v>2050.6313315870598</v>
      </c>
      <c r="S2674">
        <v>1916.2137860693999</v>
      </c>
      <c r="T2674">
        <v>1342.8057316653101</v>
      </c>
      <c r="U2674">
        <v>1385.3931145879401</v>
      </c>
      <c r="V2674">
        <v>1696.4172566770301</v>
      </c>
      <c r="W2674">
        <v>1367.97822780771</v>
      </c>
    </row>
    <row r="2675" spans="1:23" x14ac:dyDescent="0.2">
      <c r="A2675" t="s">
        <v>5354</v>
      </c>
      <c r="B2675" s="3" t="str">
        <f>HYPERLINK("http://www.ncbi.nlm.nih.gov/gene/72832","Crtac1")</f>
        <v>Crtac1</v>
      </c>
      <c r="C2675">
        <v>72832</v>
      </c>
      <c r="D2675" t="s">
        <v>5355</v>
      </c>
      <c r="E2675" s="3" t="str">
        <f>HYPERLINK("http://genome.ucsc.edu/cgi-bin/hgTracks?db=mm10&amp;lastVirtModeType=default&amp;lastVirtModeExtraState=&amp;virtModeType=default&amp;virtMode=0&amp;nonVirtPosition=&amp;position=chr19:42283036-42431783","chr19:42283036-42431783")</f>
        <v>chr19:42283036-42431783</v>
      </c>
      <c r="F2675" t="s">
        <v>25</v>
      </c>
      <c r="G2675">
        <v>0.78056321756823999</v>
      </c>
      <c r="H2675">
        <v>0.26934503672662302</v>
      </c>
      <c r="I2675">
        <v>2.8980048307349602</v>
      </c>
      <c r="J2675">
        <v>3.7554480533490602E-3</v>
      </c>
      <c r="K2675">
        <v>1.87926774597897E-2</v>
      </c>
      <c r="L2675" t="s">
        <v>26</v>
      </c>
      <c r="M2675" t="s">
        <v>27</v>
      </c>
      <c r="N2675">
        <v>55.866462315044501</v>
      </c>
      <c r="O2675">
        <v>35.690041427188802</v>
      </c>
      <c r="P2675">
        <v>70.998777980936197</v>
      </c>
      <c r="Q2675">
        <v>44.543403680457999</v>
      </c>
      <c r="R2675">
        <v>31.4781580398976</v>
      </c>
      <c r="S2675">
        <v>31.0485625612109</v>
      </c>
      <c r="T2675">
        <v>109.99091317395001</v>
      </c>
      <c r="U2675">
        <v>59.955188884795</v>
      </c>
      <c r="V2675">
        <v>44.874871056937998</v>
      </c>
      <c r="W2675">
        <v>69.174138808061898</v>
      </c>
    </row>
    <row r="2676" spans="1:23" x14ac:dyDescent="0.2">
      <c r="A2676" t="s">
        <v>5356</v>
      </c>
      <c r="B2676" s="3" t="str">
        <f>HYPERLINK("http://www.ncbi.nlm.nih.gov/gene/12832","Col5a2")</f>
        <v>Col5a2</v>
      </c>
      <c r="C2676">
        <v>12832</v>
      </c>
      <c r="D2676" t="s">
        <v>5357</v>
      </c>
      <c r="E2676" s="3" t="str">
        <f>HYPERLINK("http://genome.ucsc.edu/cgi-bin/hgTracks?db=mm10&amp;lastVirtModeType=default&amp;lastVirtModeExtraState=&amp;virtModeType=default&amp;virtMode=0&amp;nonVirtPosition=&amp;position=chr1:45374330-45503282","chr1:45374330-45503282")</f>
        <v>chr1:45374330-45503282</v>
      </c>
      <c r="F2676" t="s">
        <v>25</v>
      </c>
      <c r="G2676">
        <v>-1.06733767279267</v>
      </c>
      <c r="H2676">
        <v>0.36834789089550302</v>
      </c>
      <c r="I2676">
        <v>-2.8976348152770099</v>
      </c>
      <c r="J2676">
        <v>3.7598810402873499E-3</v>
      </c>
      <c r="K2676">
        <v>1.88078322788524E-2</v>
      </c>
      <c r="L2676" t="s">
        <v>26</v>
      </c>
      <c r="M2676" t="s">
        <v>27</v>
      </c>
      <c r="N2676">
        <v>277.14944377876702</v>
      </c>
      <c r="O2676">
        <v>443.83541372973298</v>
      </c>
      <c r="P2676">
        <v>152.13496631554301</v>
      </c>
      <c r="Q2676">
        <v>678.17332103497301</v>
      </c>
      <c r="R2676">
        <v>226.41518493757701</v>
      </c>
      <c r="S2676">
        <v>426.91773521664902</v>
      </c>
      <c r="T2676">
        <v>96.242049027206505</v>
      </c>
      <c r="U2676">
        <v>128.47540475313201</v>
      </c>
      <c r="V2676">
        <v>263.36399735055397</v>
      </c>
      <c r="W2676">
        <v>120.45841413127999</v>
      </c>
    </row>
    <row r="2677" spans="1:23" x14ac:dyDescent="0.2">
      <c r="A2677" t="s">
        <v>5358</v>
      </c>
      <c r="B2677" s="3" t="str">
        <f>HYPERLINK("http://www.ncbi.nlm.nih.gov/gene/74015","Fcho1")</f>
        <v>Fcho1</v>
      </c>
      <c r="C2677">
        <v>74015</v>
      </c>
      <c r="D2677" t="s">
        <v>5359</v>
      </c>
      <c r="E2677" s="3" t="str">
        <f>HYPERLINK("http://genome.ucsc.edu/cgi-bin/hgTracks?db=mm10&amp;lastVirtModeType=default&amp;lastVirtModeExtraState=&amp;virtModeType=default&amp;virtMode=0&amp;nonVirtPosition=&amp;position=chr8:71708386-71725681","chr8:71708386-71725681")</f>
        <v>chr8:71708386-71725681</v>
      </c>
      <c r="F2677" t="s">
        <v>25</v>
      </c>
      <c r="G2677">
        <v>0.56245306522396099</v>
      </c>
      <c r="H2677">
        <v>0.19412108237822501</v>
      </c>
      <c r="I2677">
        <v>2.8974342113345499</v>
      </c>
      <c r="J2677">
        <v>3.7622863725777101E-3</v>
      </c>
      <c r="K2677">
        <v>1.8812836749510099E-2</v>
      </c>
      <c r="L2677" t="s">
        <v>26</v>
      </c>
      <c r="M2677" t="s">
        <v>27</v>
      </c>
      <c r="N2677">
        <v>97.662578340036802</v>
      </c>
      <c r="O2677">
        <v>76.453752660471196</v>
      </c>
      <c r="P2677">
        <v>113.569197599711</v>
      </c>
      <c r="Q2677">
        <v>79.064541532812996</v>
      </c>
      <c r="R2677">
        <v>78.885022557815702</v>
      </c>
      <c r="S2677">
        <v>71.411693890785003</v>
      </c>
      <c r="T2677">
        <v>91.659094311625296</v>
      </c>
      <c r="U2677">
        <v>113.486607531933</v>
      </c>
      <c r="V2677">
        <v>100.04889284825499</v>
      </c>
      <c r="W2677">
        <v>149.08219570703</v>
      </c>
    </row>
    <row r="2678" spans="1:23" x14ac:dyDescent="0.2">
      <c r="A2678" t="s">
        <v>5360</v>
      </c>
      <c r="B2678" s="3" t="str">
        <f>HYPERLINK("http://www.ncbi.nlm.nih.gov/gene/14677","Gnai1")</f>
        <v>Gnai1</v>
      </c>
      <c r="C2678">
        <v>14677</v>
      </c>
      <c r="D2678" t="s">
        <v>5361</v>
      </c>
      <c r="E2678" s="3" t="str">
        <f>HYPERLINK("http://genome.ucsc.edu/cgi-bin/hgTracks?db=mm10&amp;lastVirtModeType=default&amp;lastVirtModeExtraState=&amp;virtModeType=default&amp;virtMode=0&amp;nonVirtPosition=&amp;position=chr5:18265134-18360413","chr5:18265134-18360413")</f>
        <v>chr5:18265134-18360413</v>
      </c>
      <c r="F2678" t="s">
        <v>25</v>
      </c>
      <c r="G2678">
        <v>-0.55899868830369903</v>
      </c>
      <c r="H2678">
        <v>0.193006698160299</v>
      </c>
      <c r="I2678">
        <v>-2.8962657443081699</v>
      </c>
      <c r="J2678">
        <v>3.7763246416518698E-3</v>
      </c>
      <c r="K2678">
        <v>1.8875984798939999E-2</v>
      </c>
      <c r="L2678" t="s">
        <v>26</v>
      </c>
      <c r="M2678" t="s">
        <v>27</v>
      </c>
      <c r="N2678">
        <v>277.49201220114003</v>
      </c>
      <c r="O2678">
        <v>343.68434776849</v>
      </c>
      <c r="P2678">
        <v>227.847760525627</v>
      </c>
      <c r="Q2678">
        <v>306.23590030314898</v>
      </c>
      <c r="R2678">
        <v>450.55484037829302</v>
      </c>
      <c r="S2678">
        <v>274.26230262402902</v>
      </c>
      <c r="T2678">
        <v>210.81591691673799</v>
      </c>
      <c r="U2678">
        <v>280.504633711005</v>
      </c>
      <c r="V2678">
        <v>228.05262340411099</v>
      </c>
      <c r="W2678">
        <v>192.017868070655</v>
      </c>
    </row>
    <row r="2679" spans="1:23" x14ac:dyDescent="0.2">
      <c r="A2679" t="s">
        <v>5362</v>
      </c>
      <c r="B2679" s="3" t="str">
        <f>HYPERLINK("http://www.ncbi.nlm.nih.gov/gene/226691","Ifi207")</f>
        <v>Ifi207</v>
      </c>
      <c r="C2679">
        <v>226691</v>
      </c>
      <c r="D2679" t="s">
        <v>5363</v>
      </c>
      <c r="E2679" s="3" t="str">
        <f>HYPERLINK("http://genome.ucsc.edu/cgi-bin/hgTracks?db=mm10&amp;lastVirtModeType=default&amp;lastVirtModeExtraState=&amp;virtModeType=default&amp;virtMode=0&amp;nonVirtPosition=&amp;position=chr1:173723427-173741809","chr1:173723427-173741809")</f>
        <v>chr1:173723427-173741809</v>
      </c>
      <c r="F2679" t="s">
        <v>25</v>
      </c>
      <c r="G2679">
        <v>1.0373848527296601</v>
      </c>
      <c r="H2679">
        <v>0.358246446694027</v>
      </c>
      <c r="I2679">
        <v>2.89572963612861</v>
      </c>
      <c r="J2679">
        <v>3.7827815033414799E-3</v>
      </c>
      <c r="K2679">
        <v>1.8901204145987199E-2</v>
      </c>
      <c r="L2679" t="s">
        <v>26</v>
      </c>
      <c r="M2679" t="s">
        <v>27</v>
      </c>
      <c r="N2679">
        <v>20.8488916133144</v>
      </c>
      <c r="O2679">
        <v>10.6692636000636</v>
      </c>
      <c r="P2679">
        <v>28.483612623252501</v>
      </c>
      <c r="Q2679">
        <v>15.5901912881603</v>
      </c>
      <c r="R2679">
        <v>6.0680786582935102</v>
      </c>
      <c r="S2679">
        <v>10.349520853736999</v>
      </c>
      <c r="T2679">
        <v>36.663637724650101</v>
      </c>
      <c r="U2679">
        <v>8.5650269835421398</v>
      </c>
      <c r="V2679">
        <v>35.311373946442998</v>
      </c>
      <c r="W2679">
        <v>33.394411838374701</v>
      </c>
    </row>
    <row r="2680" spans="1:23" x14ac:dyDescent="0.2">
      <c r="A2680" t="s">
        <v>5364</v>
      </c>
      <c r="B2680" s="3" t="str">
        <f>HYPERLINK("http://www.ncbi.nlm.nih.gov/gene/319765","Igf2bp2")</f>
        <v>Igf2bp2</v>
      </c>
      <c r="C2680">
        <v>319765</v>
      </c>
      <c r="D2680" t="s">
        <v>5365</v>
      </c>
      <c r="E2680" s="3" t="str">
        <f>HYPERLINK("http://genome.ucsc.edu/cgi-bin/hgTracks?db=mm10&amp;lastVirtModeType=default&amp;lastVirtModeExtraState=&amp;virtModeType=default&amp;virtMode=0&amp;nonVirtPosition=&amp;position=chr16:22059008-22163299","chr16:22059008-22163299")</f>
        <v>chr16:22059008-22163299</v>
      </c>
      <c r="F2680" t="s">
        <v>25</v>
      </c>
      <c r="G2680">
        <v>1.0662143428209701</v>
      </c>
      <c r="H2680">
        <v>0.368289926303765</v>
      </c>
      <c r="I2680">
        <v>2.8950407455390401</v>
      </c>
      <c r="J2680">
        <v>3.7910931982993298E-3</v>
      </c>
      <c r="K2680">
        <v>1.8935669160173901E-2</v>
      </c>
      <c r="L2680" t="s">
        <v>26</v>
      </c>
      <c r="M2680" t="s">
        <v>27</v>
      </c>
      <c r="N2680">
        <v>220.25737361875099</v>
      </c>
      <c r="O2680">
        <v>105.151589101939</v>
      </c>
      <c r="P2680">
        <v>306.58671200636002</v>
      </c>
      <c r="Q2680">
        <v>45.100196226463702</v>
      </c>
      <c r="R2680">
        <v>73.196198815665497</v>
      </c>
      <c r="S2680">
        <v>197.15837226368899</v>
      </c>
      <c r="T2680">
        <v>261.22841878813199</v>
      </c>
      <c r="U2680">
        <v>295.49343093220398</v>
      </c>
      <c r="V2680">
        <v>352.37808584054602</v>
      </c>
      <c r="W2680">
        <v>317.24691246456001</v>
      </c>
    </row>
    <row r="2681" spans="1:23" x14ac:dyDescent="0.2">
      <c r="A2681" t="s">
        <v>5366</v>
      </c>
      <c r="B2681" s="3" t="str">
        <f>HYPERLINK("http://www.ncbi.nlm.nih.gov/gene/11864","Arnt2")</f>
        <v>Arnt2</v>
      </c>
      <c r="C2681">
        <v>11864</v>
      </c>
      <c r="D2681" t="s">
        <v>5367</v>
      </c>
      <c r="E2681" s="3" t="str">
        <f>HYPERLINK("http://genome.ucsc.edu/cgi-bin/hgTracks?db=mm10&amp;lastVirtModeType=default&amp;lastVirtModeExtraState=&amp;virtModeType=default&amp;virtMode=0&amp;nonVirtPosition=&amp;position=chr7:84246274-84410038","chr7:84246274-84410038")</f>
        <v>chr7:84246274-84410038</v>
      </c>
      <c r="F2681" t="s">
        <v>25</v>
      </c>
      <c r="G2681">
        <v>-0.41565318201026302</v>
      </c>
      <c r="H2681">
        <v>0.14358414329816499</v>
      </c>
      <c r="I2681">
        <v>-2.89484042222632</v>
      </c>
      <c r="J2681">
        <v>3.7935132787713698E-3</v>
      </c>
      <c r="K2681">
        <v>1.89406921387127E-2</v>
      </c>
      <c r="L2681" t="s">
        <v>26</v>
      </c>
      <c r="M2681" t="s">
        <v>27</v>
      </c>
      <c r="N2681">
        <v>1460.9058196005401</v>
      </c>
      <c r="O2681">
        <v>1713.63160718066</v>
      </c>
      <c r="P2681">
        <v>1271.3614789154501</v>
      </c>
      <c r="Q2681">
        <v>2022.8273196388</v>
      </c>
      <c r="R2681">
        <v>1440.41017151242</v>
      </c>
      <c r="S2681">
        <v>1677.6573303907601</v>
      </c>
      <c r="T2681">
        <v>1223.6489090601999</v>
      </c>
      <c r="U2681">
        <v>1421.794479268</v>
      </c>
      <c r="V2681">
        <v>1305.78518239451</v>
      </c>
      <c r="W2681">
        <v>1134.21734493908</v>
      </c>
    </row>
    <row r="2682" spans="1:23" x14ac:dyDescent="0.2">
      <c r="A2682" t="s">
        <v>5368</v>
      </c>
      <c r="B2682" s="3" t="str">
        <f>HYPERLINK("http://www.ncbi.nlm.nih.gov/gene/104001","Rtn1")</f>
        <v>Rtn1</v>
      </c>
      <c r="C2682">
        <v>104001</v>
      </c>
      <c r="D2682" t="s">
        <v>5369</v>
      </c>
      <c r="E2682" s="3" t="str">
        <f>HYPERLINK("http://genome.ucsc.edu/cgi-bin/hgTracks?db=mm10&amp;lastVirtModeType=default&amp;lastVirtModeExtraState=&amp;virtModeType=default&amp;virtMode=0&amp;nonVirtPosition=&amp;position=chr12:72211748-72235746","chr12:72211748-72235746")</f>
        <v>chr12:72211748-72235746</v>
      </c>
      <c r="F2682" t="s">
        <v>25</v>
      </c>
      <c r="G2682">
        <v>-0.37768655502388798</v>
      </c>
      <c r="H2682">
        <v>0.13050007260076099</v>
      </c>
      <c r="I2682">
        <v>-2.8941482368316001</v>
      </c>
      <c r="J2682">
        <v>3.8018862927607202E-3</v>
      </c>
      <c r="K2682">
        <v>1.8975422790293999E-2</v>
      </c>
      <c r="L2682" t="s">
        <v>26</v>
      </c>
      <c r="M2682" t="s">
        <v>27</v>
      </c>
      <c r="N2682">
        <v>1440.50987326274</v>
      </c>
      <c r="O2682">
        <v>1665.3552142797801</v>
      </c>
      <c r="P2682">
        <v>1271.8758674999599</v>
      </c>
      <c r="Q2682">
        <v>1521.15723568764</v>
      </c>
      <c r="R2682">
        <v>1688.06363175403</v>
      </c>
      <c r="S2682">
        <v>1786.84477539768</v>
      </c>
      <c r="T2682">
        <v>1159.48754304206</v>
      </c>
      <c r="U2682">
        <v>1520.2922895787301</v>
      </c>
      <c r="V2682">
        <v>1154.2405358743599</v>
      </c>
      <c r="W2682">
        <v>1253.48310150471</v>
      </c>
    </row>
    <row r="2683" spans="1:23" x14ac:dyDescent="0.2">
      <c r="A2683" t="s">
        <v>5370</v>
      </c>
      <c r="B2683" s="3" t="str">
        <f>HYPERLINK("http://www.ncbi.nlm.nih.gov/gene/140792","Colec12")</f>
        <v>Colec12</v>
      </c>
      <c r="C2683">
        <v>140792</v>
      </c>
      <c r="D2683" t="s">
        <v>5371</v>
      </c>
      <c r="E2683" s="3" t="str">
        <f>HYPERLINK("http://genome.ucsc.edu/cgi-bin/hgTracks?db=mm10&amp;lastVirtModeType=default&amp;lastVirtModeExtraState=&amp;virtModeType=default&amp;virtMode=0&amp;nonVirtPosition=&amp;position=chr18:9707647-9877995","chr18:9707647-9877995")</f>
        <v>chr18:9707647-9877995</v>
      </c>
      <c r="F2683" t="s">
        <v>30</v>
      </c>
      <c r="G2683">
        <v>-0.88549753400463804</v>
      </c>
      <c r="H2683">
        <v>0.30601314193370099</v>
      </c>
      <c r="I2683">
        <v>-2.8936585154780201</v>
      </c>
      <c r="J2683">
        <v>3.8078203425300598E-3</v>
      </c>
      <c r="K2683">
        <v>1.89979590934501E-2</v>
      </c>
      <c r="L2683" t="s">
        <v>26</v>
      </c>
      <c r="M2683" t="s">
        <v>27</v>
      </c>
      <c r="N2683">
        <v>54.406872387968399</v>
      </c>
      <c r="O2683">
        <v>79.889811071832895</v>
      </c>
      <c r="P2683">
        <v>35.294668375070003</v>
      </c>
      <c r="Q2683">
        <v>117.483227207208</v>
      </c>
      <c r="R2683">
        <v>69.403649654232098</v>
      </c>
      <c r="S2683">
        <v>52.782556354058499</v>
      </c>
      <c r="T2683">
        <v>22.914773577906299</v>
      </c>
      <c r="U2683">
        <v>23.553824204740899</v>
      </c>
      <c r="V2683">
        <v>52.967060919664597</v>
      </c>
      <c r="W2683">
        <v>41.743014797968399</v>
      </c>
    </row>
    <row r="2684" spans="1:23" x14ac:dyDescent="0.2">
      <c r="A2684" t="s">
        <v>5372</v>
      </c>
      <c r="B2684" s="3" t="str">
        <f>HYPERLINK("http://www.ncbi.nlm.nih.gov/gene/110595","Timp4")</f>
        <v>Timp4</v>
      </c>
      <c r="C2684">
        <v>110595</v>
      </c>
      <c r="D2684" t="s">
        <v>5373</v>
      </c>
      <c r="E2684" s="3" t="str">
        <f>HYPERLINK("http://genome.ucsc.edu/cgi-bin/hgTracks?db=mm10&amp;lastVirtModeType=default&amp;lastVirtModeExtraState=&amp;virtModeType=default&amp;virtMode=0&amp;nonVirtPosition=&amp;position=chr6:115245615-115251849","chr6:115245615-115251849")</f>
        <v>chr6:115245615-115251849</v>
      </c>
      <c r="F2684" t="s">
        <v>25</v>
      </c>
      <c r="G2684">
        <v>-0.43832182660221097</v>
      </c>
      <c r="H2684">
        <v>0.15150107920381101</v>
      </c>
      <c r="I2684">
        <v>-2.8931927673765698</v>
      </c>
      <c r="J2684">
        <v>3.8134717107342702E-3</v>
      </c>
      <c r="K2684">
        <v>1.90190687815429E-2</v>
      </c>
      <c r="L2684" t="s">
        <v>26</v>
      </c>
      <c r="M2684" t="s">
        <v>27</v>
      </c>
      <c r="N2684">
        <v>303.778342200304</v>
      </c>
      <c r="O2684">
        <v>362.05682433733</v>
      </c>
      <c r="P2684">
        <v>260.06948059753603</v>
      </c>
      <c r="Q2684">
        <v>403.67459585415099</v>
      </c>
      <c r="R2684">
        <v>379.25491614334499</v>
      </c>
      <c r="S2684">
        <v>303.240961014493</v>
      </c>
      <c r="T2684">
        <v>238.31364521022601</v>
      </c>
      <c r="U2684">
        <v>244.103269030951</v>
      </c>
      <c r="V2684">
        <v>303.824946664187</v>
      </c>
      <c r="W2684">
        <v>254.036061484779</v>
      </c>
    </row>
    <row r="2685" spans="1:23" x14ac:dyDescent="0.2">
      <c r="A2685" t="s">
        <v>5374</v>
      </c>
      <c r="B2685" s="3" t="str">
        <f>HYPERLINK("http://www.ncbi.nlm.nih.gov/gene/13617","Ednra")</f>
        <v>Ednra</v>
      </c>
      <c r="C2685">
        <v>13617</v>
      </c>
      <c r="D2685" t="s">
        <v>5375</v>
      </c>
      <c r="E2685" s="3" t="str">
        <f>HYPERLINK("http://genome.ucsc.edu/cgi-bin/hgTracks?db=mm10&amp;lastVirtModeType=default&amp;lastVirtModeExtraState=&amp;virtModeType=default&amp;virtMode=0&amp;nonVirtPosition=&amp;position=chr8:77663028-77724452","chr8:77663028-77724452")</f>
        <v>chr8:77663028-77724452</v>
      </c>
      <c r="F2685" t="s">
        <v>25</v>
      </c>
      <c r="G2685">
        <v>-0.78855852865704401</v>
      </c>
      <c r="H2685">
        <v>0.272669404532495</v>
      </c>
      <c r="I2685">
        <v>-2.8919949049988398</v>
      </c>
      <c r="J2685">
        <v>3.82804154773213E-3</v>
      </c>
      <c r="K2685">
        <v>1.9081498563067501E-2</v>
      </c>
      <c r="L2685" t="s">
        <v>26</v>
      </c>
      <c r="M2685" t="s">
        <v>27</v>
      </c>
      <c r="N2685">
        <v>34.630016892580898</v>
      </c>
      <c r="O2685">
        <v>47.141994515957698</v>
      </c>
      <c r="P2685">
        <v>25.246033675048299</v>
      </c>
      <c r="Q2685">
        <v>56.792839692583897</v>
      </c>
      <c r="R2685">
        <v>43.2350604403413</v>
      </c>
      <c r="S2685">
        <v>41.398083414947799</v>
      </c>
      <c r="T2685">
        <v>32.0806830090688</v>
      </c>
      <c r="U2685">
        <v>14.9887972211987</v>
      </c>
      <c r="V2685">
        <v>26.483530459832298</v>
      </c>
      <c r="W2685">
        <v>27.431124010093502</v>
      </c>
    </row>
    <row r="2686" spans="1:23" x14ac:dyDescent="0.2">
      <c r="A2686" t="s">
        <v>5376</v>
      </c>
      <c r="B2686" s="3" t="str">
        <f>HYPERLINK("http://www.ncbi.nlm.nih.gov/gene/236312","Ifi209")</f>
        <v>Ifi209</v>
      </c>
      <c r="C2686">
        <v>236312</v>
      </c>
      <c r="D2686" t="s">
        <v>5377</v>
      </c>
      <c r="E2686" s="3" t="str">
        <f>HYPERLINK("http://genome.ucsc.edu/cgi-bin/hgTracks?db=mm10&amp;lastVirtModeType=default&amp;lastVirtModeExtraState=&amp;virtModeType=default&amp;virtMode=0&amp;nonVirtPosition=&amp;position=chr1:173630858-173647928","chr1:173630858-173647928")</f>
        <v>chr1:173630858-173647928</v>
      </c>
      <c r="F2686" t="s">
        <v>30</v>
      </c>
      <c r="G2686">
        <v>1.10540481310704</v>
      </c>
      <c r="H2686">
        <v>0.38223782290338298</v>
      </c>
      <c r="I2686">
        <v>2.8919294399247599</v>
      </c>
      <c r="J2686">
        <v>3.8288392680877002E-3</v>
      </c>
      <c r="K2686">
        <v>1.9081498563067501E-2</v>
      </c>
      <c r="L2686" t="s">
        <v>26</v>
      </c>
      <c r="M2686" t="s">
        <v>27</v>
      </c>
      <c r="N2686">
        <v>10.3740896536266</v>
      </c>
      <c r="O2686">
        <v>4.1339449059581002</v>
      </c>
      <c r="P2686">
        <v>15.054198214377999</v>
      </c>
      <c r="Q2686">
        <v>6.1247180060629702</v>
      </c>
      <c r="R2686">
        <v>2.6547844130034099</v>
      </c>
      <c r="S2686">
        <v>3.6223322988079301</v>
      </c>
      <c r="T2686">
        <v>27.497728293487601</v>
      </c>
      <c r="U2686">
        <v>8.5650269835421398</v>
      </c>
      <c r="V2686">
        <v>11.0348043582635</v>
      </c>
      <c r="W2686">
        <v>13.1192332222186</v>
      </c>
    </row>
    <row r="2687" spans="1:23" x14ac:dyDescent="0.2">
      <c r="A2687" t="s">
        <v>5378</v>
      </c>
      <c r="B2687" s="3" t="str">
        <f>HYPERLINK("http://www.ncbi.nlm.nih.gov/gene/67848","Ddx55")</f>
        <v>Ddx55</v>
      </c>
      <c r="C2687">
        <v>67848</v>
      </c>
      <c r="D2687" t="s">
        <v>5379</v>
      </c>
      <c r="E2687" s="3" t="str">
        <f>HYPERLINK("http://genome.ucsc.edu/cgi-bin/hgTracks?db=mm10&amp;lastVirtModeType=default&amp;lastVirtModeExtraState=&amp;virtModeType=default&amp;virtMode=0&amp;nonVirtPosition=&amp;position=chr5:124552863-124569660","chr5:124552863-124569660")</f>
        <v>chr5:124552863-124569660</v>
      </c>
      <c r="F2687" t="s">
        <v>30</v>
      </c>
      <c r="G2687">
        <v>0.52515042894119501</v>
      </c>
      <c r="H2687">
        <v>0.18160587066735601</v>
      </c>
      <c r="I2687">
        <v>2.8917040347396199</v>
      </c>
      <c r="J2687">
        <v>3.8315870836287298E-3</v>
      </c>
      <c r="K2687">
        <v>1.90880887785983E-2</v>
      </c>
      <c r="L2687" t="s">
        <v>26</v>
      </c>
      <c r="M2687" t="s">
        <v>27</v>
      </c>
      <c r="N2687">
        <v>108.19924672762301</v>
      </c>
      <c r="O2687">
        <v>85.399577106295496</v>
      </c>
      <c r="P2687">
        <v>125.29899894362001</v>
      </c>
      <c r="Q2687">
        <v>71.826238434738499</v>
      </c>
      <c r="R2687">
        <v>93.296709371262807</v>
      </c>
      <c r="S2687">
        <v>91.075783512885195</v>
      </c>
      <c r="T2687">
        <v>119.15682260511301</v>
      </c>
      <c r="U2687">
        <v>122.051634515476</v>
      </c>
      <c r="V2687">
        <v>113.29065807817101</v>
      </c>
      <c r="W2687">
        <v>146.69688057571801</v>
      </c>
    </row>
    <row r="2688" spans="1:23" x14ac:dyDescent="0.2">
      <c r="A2688" t="s">
        <v>5380</v>
      </c>
      <c r="B2688" s="3" t="str">
        <f>HYPERLINK("http://www.ncbi.nlm.nih.gov/gene/27784","Commd8")</f>
        <v>Commd8</v>
      </c>
      <c r="C2688">
        <v>27784</v>
      </c>
      <c r="D2688" t="s">
        <v>5381</v>
      </c>
      <c r="E2688" s="3" t="str">
        <f>HYPERLINK("http://genome.ucsc.edu/cgi-bin/hgTracks?db=mm10&amp;lastVirtModeType=default&amp;lastVirtModeExtraState=&amp;virtModeType=default&amp;virtMode=0&amp;nonVirtPosition=&amp;position=chr5:72156999-72168183","chr5:72156999-72168183")</f>
        <v>chr5:72156999-72168183</v>
      </c>
      <c r="F2688" t="s">
        <v>25</v>
      </c>
      <c r="G2688">
        <v>-0.43470949452963398</v>
      </c>
      <c r="H2688">
        <v>0.15036419921077601</v>
      </c>
      <c r="I2688">
        <v>-2.8910438575892101</v>
      </c>
      <c r="J2688">
        <v>3.8396453250071402E-3</v>
      </c>
      <c r="K2688">
        <v>1.9121119578717202E-2</v>
      </c>
      <c r="L2688" t="s">
        <v>26</v>
      </c>
      <c r="M2688" t="s">
        <v>27</v>
      </c>
      <c r="N2688">
        <v>196.08982586807201</v>
      </c>
      <c r="O2688">
        <v>233.037126204098</v>
      </c>
      <c r="P2688">
        <v>168.37935061605199</v>
      </c>
      <c r="Q2688">
        <v>270.04438481277703</v>
      </c>
      <c r="R2688">
        <v>212.762007956416</v>
      </c>
      <c r="S2688">
        <v>216.304985843102</v>
      </c>
      <c r="T2688">
        <v>151.237505614182</v>
      </c>
      <c r="U2688">
        <v>179.86556665438499</v>
      </c>
      <c r="V2688">
        <v>170.671640741141</v>
      </c>
      <c r="W2688">
        <v>171.74268945449899</v>
      </c>
    </row>
    <row r="2689" spans="1:23" x14ac:dyDescent="0.2">
      <c r="A2689" t="s">
        <v>5382</v>
      </c>
      <c r="B2689" s="3" t="str">
        <f>HYPERLINK("http://www.ncbi.nlm.nih.gov/gene/381318","Nsl1")</f>
        <v>Nsl1</v>
      </c>
      <c r="C2689">
        <v>381318</v>
      </c>
      <c r="D2689" t="s">
        <v>5383</v>
      </c>
      <c r="E2689" s="3" t="str">
        <f>HYPERLINK("http://genome.ucsc.edu/cgi-bin/hgTracks?db=mm10&amp;lastVirtModeType=default&amp;lastVirtModeExtraState=&amp;virtModeType=default&amp;virtMode=0&amp;nonVirtPosition=&amp;position=chr1:191063020-191084558","chr1:191063020-191084558")</f>
        <v>chr1:191063020-191084558</v>
      </c>
      <c r="F2689" t="s">
        <v>30</v>
      </c>
      <c r="G2689">
        <v>0.81468678030244701</v>
      </c>
      <c r="H2689">
        <v>0.28181675890673002</v>
      </c>
      <c r="I2689">
        <v>2.89083865509956</v>
      </c>
      <c r="J2689">
        <v>3.8421531986314898E-3</v>
      </c>
      <c r="K2689">
        <v>1.9126495718540599E-2</v>
      </c>
      <c r="L2689" t="s">
        <v>26</v>
      </c>
      <c r="M2689" t="s">
        <v>27</v>
      </c>
      <c r="N2689">
        <v>91.600166174591607</v>
      </c>
      <c r="O2689">
        <v>58.221552252129399</v>
      </c>
      <c r="P2689">
        <v>116.634126616438</v>
      </c>
      <c r="Q2689">
        <v>31.737175122326299</v>
      </c>
      <c r="R2689">
        <v>56.508982505358297</v>
      </c>
      <c r="S2689">
        <v>86.418499128703601</v>
      </c>
      <c r="T2689">
        <v>174.152279192088</v>
      </c>
      <c r="U2689">
        <v>92.074040073077995</v>
      </c>
      <c r="V2689">
        <v>94.163663857181504</v>
      </c>
      <c r="W2689">
        <v>106.14652334340499</v>
      </c>
    </row>
    <row r="2690" spans="1:23" x14ac:dyDescent="0.2">
      <c r="A2690" t="s">
        <v>5384</v>
      </c>
      <c r="B2690" s="3" t="str">
        <f>HYPERLINK("http://www.ncbi.nlm.nih.gov/gene/60344","Fign")</f>
        <v>Fign</v>
      </c>
      <c r="C2690">
        <v>60344</v>
      </c>
      <c r="D2690" t="s">
        <v>5385</v>
      </c>
      <c r="E2690" s="3" t="str">
        <f>HYPERLINK("http://genome.ucsc.edu/cgi-bin/hgTracks?db=mm10&amp;lastVirtModeType=default&amp;lastVirtModeExtraState=&amp;virtModeType=default&amp;virtMode=0&amp;nonVirtPosition=&amp;position=chr2:63971507-64098038","chr2:63971507-64098038")</f>
        <v>chr2:63971507-64098038</v>
      </c>
      <c r="F2690" t="s">
        <v>25</v>
      </c>
      <c r="G2690">
        <v>0.59298790814895896</v>
      </c>
      <c r="H2690">
        <v>0.20518773986111399</v>
      </c>
      <c r="I2690">
        <v>2.8899772888494</v>
      </c>
      <c r="J2690">
        <v>3.8526965930686398E-3</v>
      </c>
      <c r="K2690">
        <v>1.9171854358150199E-2</v>
      </c>
      <c r="L2690" t="s">
        <v>26</v>
      </c>
      <c r="M2690" t="s">
        <v>27</v>
      </c>
      <c r="N2690">
        <v>104.49596440484</v>
      </c>
      <c r="O2690">
        <v>80.024622222549596</v>
      </c>
      <c r="P2690">
        <v>122.849471041557</v>
      </c>
      <c r="Q2690">
        <v>100.222658281031</v>
      </c>
      <c r="R2690">
        <v>66.369610325085304</v>
      </c>
      <c r="S2690">
        <v>73.481598061532395</v>
      </c>
      <c r="T2690">
        <v>128.322732036275</v>
      </c>
      <c r="U2690">
        <v>94.215296818963594</v>
      </c>
      <c r="V2690">
        <v>141.24549578577199</v>
      </c>
      <c r="W2690">
        <v>127.61435952521801</v>
      </c>
    </row>
    <row r="2691" spans="1:23" x14ac:dyDescent="0.2">
      <c r="A2691" t="s">
        <v>5386</v>
      </c>
      <c r="B2691" s="3" t="str">
        <f>HYPERLINK("http://www.ncbi.nlm.nih.gov/gene/320865","Cdh18")</f>
        <v>Cdh18</v>
      </c>
      <c r="C2691">
        <v>320865</v>
      </c>
      <c r="D2691" t="s">
        <v>5387</v>
      </c>
      <c r="E2691" s="3" t="str">
        <f>HYPERLINK("http://genome.ucsc.edu/cgi-bin/hgTracks?db=mm10&amp;lastVirtModeType=default&amp;lastVirtModeExtraState=&amp;virtModeType=default&amp;virtMode=0&amp;nonVirtPosition=&amp;position=chr15:23036462-23474418","chr15:23036462-23474418")</f>
        <v>chr15:23036462-23474418</v>
      </c>
      <c r="F2691" t="s">
        <v>30</v>
      </c>
      <c r="G2691">
        <v>-1.06391950683443</v>
      </c>
      <c r="H2691">
        <v>0.36829285008261498</v>
      </c>
      <c r="I2691">
        <v>-2.8887867537905598</v>
      </c>
      <c r="J2691">
        <v>3.8673123905511001E-3</v>
      </c>
      <c r="K2691">
        <v>1.92374369323439E-2</v>
      </c>
      <c r="L2691" t="s">
        <v>26</v>
      </c>
      <c r="M2691" t="s">
        <v>27</v>
      </c>
      <c r="N2691">
        <v>37.347686777905501</v>
      </c>
      <c r="O2691">
        <v>59.063635597091803</v>
      </c>
      <c r="P2691">
        <v>21.060725163515698</v>
      </c>
      <c r="Q2691">
        <v>89.643599906921693</v>
      </c>
      <c r="R2691">
        <v>73.575453731808807</v>
      </c>
      <c r="S2691">
        <v>13.971853152544901</v>
      </c>
      <c r="T2691">
        <v>27.497728293487601</v>
      </c>
      <c r="U2691">
        <v>19.2713107129698</v>
      </c>
      <c r="V2691">
        <v>18.391340597105799</v>
      </c>
      <c r="W2691">
        <v>19.0825210504998</v>
      </c>
    </row>
    <row r="2692" spans="1:23" x14ac:dyDescent="0.2">
      <c r="A2692" t="s">
        <v>5388</v>
      </c>
      <c r="B2692" s="3" t="str">
        <f>HYPERLINK("http://www.ncbi.nlm.nih.gov/gene/75785","Klhl24")</f>
        <v>Klhl24</v>
      </c>
      <c r="C2692">
        <v>75785</v>
      </c>
      <c r="D2692" t="s">
        <v>5389</v>
      </c>
      <c r="E2692" s="3" t="str">
        <f>HYPERLINK("http://genome.ucsc.edu/cgi-bin/hgTracks?db=mm10&amp;lastVirtModeType=default&amp;lastVirtModeExtraState=&amp;virtModeType=default&amp;virtMode=0&amp;nonVirtPosition=&amp;position=chr16:20097553-20127744","chr16:20097553-20127744")</f>
        <v>chr16:20097553-20127744</v>
      </c>
      <c r="F2692" t="s">
        <v>30</v>
      </c>
      <c r="G2692">
        <v>-0.59459974557990602</v>
      </c>
      <c r="H2692">
        <v>0.20584673611518001</v>
      </c>
      <c r="I2692">
        <v>-2.88855561570431</v>
      </c>
      <c r="J2692">
        <v>3.8701558270765701E-3</v>
      </c>
      <c r="K2692">
        <v>1.9244432484360301E-2</v>
      </c>
      <c r="L2692" t="s">
        <v>26</v>
      </c>
      <c r="M2692" t="s">
        <v>27</v>
      </c>
      <c r="N2692">
        <v>606.84000663897302</v>
      </c>
      <c r="O2692">
        <v>765.32248033413703</v>
      </c>
      <c r="P2692">
        <v>487.97815136759903</v>
      </c>
      <c r="Q2692">
        <v>1085.1886721651599</v>
      </c>
      <c r="R2692">
        <v>537.02496125897596</v>
      </c>
      <c r="S2692">
        <v>673.753807578276</v>
      </c>
      <c r="T2692">
        <v>435.38069798022002</v>
      </c>
      <c r="U2692">
        <v>449.66391663596198</v>
      </c>
      <c r="V2692">
        <v>548.06194979375198</v>
      </c>
      <c r="W2692">
        <v>518.80604106046405</v>
      </c>
    </row>
    <row r="2693" spans="1:23" x14ac:dyDescent="0.2">
      <c r="A2693" t="s">
        <v>5390</v>
      </c>
      <c r="B2693" s="3" t="str">
        <f>HYPERLINK("http://www.ncbi.nlm.nih.gov/gene/209195","Clic6")</f>
        <v>Clic6</v>
      </c>
      <c r="C2693">
        <v>209195</v>
      </c>
      <c r="D2693" t="s">
        <v>5391</v>
      </c>
      <c r="E2693" s="3" t="str">
        <f>HYPERLINK("http://genome.ucsc.edu/cgi-bin/hgTracks?db=mm10&amp;lastVirtModeType=default&amp;lastVirtModeExtraState=&amp;virtModeType=default&amp;virtMode=0&amp;nonVirtPosition=&amp;position=chr16:92498146-92541241","chr16:92498146-92541241")</f>
        <v>chr16:92498146-92541241</v>
      </c>
      <c r="F2693" t="s">
        <v>30</v>
      </c>
      <c r="G2693">
        <v>-1.1557984392217799</v>
      </c>
      <c r="H2693">
        <v>0.40017616805859402</v>
      </c>
      <c r="I2693">
        <v>-2.8882240659882199</v>
      </c>
      <c r="J2693">
        <v>3.8742378330026399E-3</v>
      </c>
      <c r="K2693">
        <v>1.9255690935453901E-2</v>
      </c>
      <c r="L2693" t="s">
        <v>26</v>
      </c>
      <c r="M2693" t="s">
        <v>27</v>
      </c>
      <c r="N2693">
        <v>14.546777136492899</v>
      </c>
      <c r="O2693">
        <v>27.178622524609899</v>
      </c>
      <c r="P2693">
        <v>5.0728930954051599</v>
      </c>
      <c r="Q2693">
        <v>6.1247180060629702</v>
      </c>
      <c r="R2693">
        <v>61.439296415221797</v>
      </c>
      <c r="S2693">
        <v>13.971853152544901</v>
      </c>
      <c r="T2693">
        <v>4.58295471558126</v>
      </c>
      <c r="U2693">
        <v>6.4237702376566101</v>
      </c>
      <c r="V2693">
        <v>8.0921898627265296</v>
      </c>
      <c r="W2693">
        <v>1.1926575656562399</v>
      </c>
    </row>
    <row r="2694" spans="1:23" x14ac:dyDescent="0.2">
      <c r="A2694" t="s">
        <v>5392</v>
      </c>
      <c r="B2694" s="3" t="str">
        <f>HYPERLINK("http://www.ncbi.nlm.nih.gov/gene/27404","Abca8b")</f>
        <v>Abca8b</v>
      </c>
      <c r="C2694">
        <v>27404</v>
      </c>
      <c r="D2694" t="s">
        <v>5393</v>
      </c>
      <c r="E2694" s="3" t="str">
        <f>HYPERLINK("http://genome.ucsc.edu/cgi-bin/hgTracks?db=mm10&amp;lastVirtModeType=default&amp;lastVirtModeExtraState=&amp;virtModeType=default&amp;virtMode=0&amp;nonVirtPosition=&amp;position=chr11:109933405-109995816","chr11:109933405-109995816")</f>
        <v>chr11:109933405-109995816</v>
      </c>
      <c r="F2694" t="s">
        <v>25</v>
      </c>
      <c r="G2694">
        <v>-0.440734576707422</v>
      </c>
      <c r="H2694">
        <v>0.15260162397400301</v>
      </c>
      <c r="I2694">
        <v>-2.8881381811671001</v>
      </c>
      <c r="J2694">
        <v>3.8752958756663601E-3</v>
      </c>
      <c r="K2694">
        <v>1.9255690935453901E-2</v>
      </c>
      <c r="L2694" t="s">
        <v>26</v>
      </c>
      <c r="M2694" t="s">
        <v>27</v>
      </c>
      <c r="N2694">
        <v>206.64855870295199</v>
      </c>
      <c r="O2694">
        <v>242.74699095788301</v>
      </c>
      <c r="P2694">
        <v>179.574734511754</v>
      </c>
      <c r="Q2694">
        <v>272.82834754280498</v>
      </c>
      <c r="R2694">
        <v>231.34549884744001</v>
      </c>
      <c r="S2694">
        <v>224.06712648340499</v>
      </c>
      <c r="T2694">
        <v>183.31818862325099</v>
      </c>
      <c r="U2694">
        <v>209.84316109678201</v>
      </c>
      <c r="V2694">
        <v>158.16552913510901</v>
      </c>
      <c r="W2694">
        <v>166.972059191874</v>
      </c>
    </row>
    <row r="2695" spans="1:23" x14ac:dyDescent="0.2">
      <c r="A2695" t="s">
        <v>5394</v>
      </c>
      <c r="B2695" s="3" t="str">
        <f>HYPERLINK("http://www.ncbi.nlm.nih.gov/gene/70231","Gorasp2")</f>
        <v>Gorasp2</v>
      </c>
      <c r="C2695">
        <v>70231</v>
      </c>
      <c r="D2695" t="s">
        <v>5395</v>
      </c>
      <c r="E2695" s="3" t="str">
        <f>HYPERLINK("http://genome.ucsc.edu/cgi-bin/hgTracks?db=mm10&amp;lastVirtModeType=default&amp;lastVirtModeExtraState=&amp;virtModeType=default&amp;virtMode=0&amp;nonVirtPosition=&amp;position=chr2:70661508-70691725","chr2:70661508-70691725")</f>
        <v>chr2:70661508-70691725</v>
      </c>
      <c r="F2695" t="s">
        <v>30</v>
      </c>
      <c r="G2695">
        <v>-0.44203163299481801</v>
      </c>
      <c r="H2695">
        <v>0.153062584867623</v>
      </c>
      <c r="I2695">
        <v>-2.8879143350225802</v>
      </c>
      <c r="J2695">
        <v>3.8780547418437099E-3</v>
      </c>
      <c r="K2695">
        <v>1.9262251872414302E-2</v>
      </c>
      <c r="L2695" t="s">
        <v>26</v>
      </c>
      <c r="M2695" t="s">
        <v>27</v>
      </c>
      <c r="N2695">
        <v>389.15660974215501</v>
      </c>
      <c r="O2695">
        <v>465.13449883886301</v>
      </c>
      <c r="P2695">
        <v>332.17319291962298</v>
      </c>
      <c r="Q2695">
        <v>406.458558584179</v>
      </c>
      <c r="R2695">
        <v>552.19515790470996</v>
      </c>
      <c r="S2695">
        <v>436.74978002769899</v>
      </c>
      <c r="T2695">
        <v>265.81137350371301</v>
      </c>
      <c r="U2695">
        <v>334.03605235814302</v>
      </c>
      <c r="V2695">
        <v>372.24073368542003</v>
      </c>
      <c r="W2695">
        <v>356.60461213121602</v>
      </c>
    </row>
    <row r="2696" spans="1:23" x14ac:dyDescent="0.2">
      <c r="A2696" t="s">
        <v>5396</v>
      </c>
      <c r="B2696" s="3" t="str">
        <f>HYPERLINK("http://www.ncbi.nlm.nih.gov/gene/110959","Nudt19")</f>
        <v>Nudt19</v>
      </c>
      <c r="C2696">
        <v>110959</v>
      </c>
      <c r="D2696" t="s">
        <v>5397</v>
      </c>
      <c r="E2696" s="3" t="str">
        <f>HYPERLINK("http://genome.ucsc.edu/cgi-bin/hgTracks?db=mm10&amp;lastVirtModeType=default&amp;lastVirtModeExtraState=&amp;virtModeType=default&amp;virtMode=0&amp;nonVirtPosition=&amp;position=chr7:35547184-35555928","chr7:35547184-35555928")</f>
        <v>chr7:35547184-35555928</v>
      </c>
      <c r="F2696" t="s">
        <v>25</v>
      </c>
      <c r="G2696">
        <v>-0.51093138299502405</v>
      </c>
      <c r="H2696">
        <v>0.17706049955326</v>
      </c>
      <c r="I2696">
        <v>-2.8856316585808401</v>
      </c>
      <c r="J2696">
        <v>3.9062903811000298E-3</v>
      </c>
      <c r="K2696">
        <v>1.93953038536561E-2</v>
      </c>
      <c r="L2696" t="s">
        <v>26</v>
      </c>
      <c r="M2696" t="s">
        <v>27</v>
      </c>
      <c r="N2696">
        <v>124.068849447349</v>
      </c>
      <c r="O2696">
        <v>152.42512843822999</v>
      </c>
      <c r="P2696">
        <v>102.801640204189</v>
      </c>
      <c r="Q2696">
        <v>143.652476869477</v>
      </c>
      <c r="R2696">
        <v>175.97428109051199</v>
      </c>
      <c r="S2696">
        <v>137.64862735470101</v>
      </c>
      <c r="T2696">
        <v>77.910230164881497</v>
      </c>
      <c r="U2696">
        <v>122.051634515476</v>
      </c>
      <c r="V2696">
        <v>101.520200096024</v>
      </c>
      <c r="W2696">
        <v>109.72449604037401</v>
      </c>
    </row>
    <row r="2697" spans="1:23" x14ac:dyDescent="0.2">
      <c r="A2697" t="s">
        <v>5398</v>
      </c>
      <c r="B2697" s="3" t="str">
        <f>HYPERLINK("http://www.ncbi.nlm.nih.gov/gene/269336","Ccdc32")</f>
        <v>Ccdc32</v>
      </c>
      <c r="C2697">
        <v>269336</v>
      </c>
      <c r="D2697" t="s">
        <v>5399</v>
      </c>
      <c r="E2697" s="3" t="str">
        <f>HYPERLINK("http://genome.ucsc.edu/cgi-bin/hgTracks?db=mm10&amp;lastVirtModeType=default&amp;lastVirtModeExtraState=&amp;virtModeType=default&amp;virtMode=0&amp;nonVirtPosition=&amp;position=chr2:119017778-119029393","chr2:119017778-119029393")</f>
        <v>chr2:119017778-119029393</v>
      </c>
      <c r="F2697" t="s">
        <v>25</v>
      </c>
      <c r="G2697">
        <v>-0.53767046709176303</v>
      </c>
      <c r="H2697">
        <v>0.18637993996159699</v>
      </c>
      <c r="I2697">
        <v>-2.8848086720199002</v>
      </c>
      <c r="J2697">
        <v>3.9165160490412503E-3</v>
      </c>
      <c r="K2697">
        <v>1.9438868203377101E-2</v>
      </c>
      <c r="L2697" t="s">
        <v>26</v>
      </c>
      <c r="M2697" t="s">
        <v>27</v>
      </c>
      <c r="N2697">
        <v>82.7143365830362</v>
      </c>
      <c r="O2697">
        <v>101.90995034385401</v>
      </c>
      <c r="P2697">
        <v>68.317626262422607</v>
      </c>
      <c r="Q2697">
        <v>111.358509201145</v>
      </c>
      <c r="R2697">
        <v>102.778082274846</v>
      </c>
      <c r="S2697">
        <v>91.593259555572004</v>
      </c>
      <c r="T2697">
        <v>68.744320733718993</v>
      </c>
      <c r="U2697">
        <v>66.378959122451604</v>
      </c>
      <c r="V2697">
        <v>71.3584015167703</v>
      </c>
      <c r="W2697">
        <v>66.788823676749402</v>
      </c>
    </row>
    <row r="2698" spans="1:23" x14ac:dyDescent="0.2">
      <c r="A2698" t="s">
        <v>5400</v>
      </c>
      <c r="B2698" s="3" t="str">
        <f>HYPERLINK("http://www.ncbi.nlm.nih.gov/gene/675921","Tnk2os")</f>
        <v>Tnk2os</v>
      </c>
      <c r="C2698">
        <v>675921</v>
      </c>
      <c r="D2698" t="s">
        <v>5401</v>
      </c>
      <c r="E2698" s="3" t="str">
        <f>HYPERLINK("http://genome.ucsc.edu/cgi-bin/hgTracks?db=mm10&amp;lastVirtModeType=default&amp;lastVirtModeExtraState=&amp;virtModeType=default&amp;virtMode=0&amp;nonVirtPosition=&amp;position=chr16:32665222-32668197","chr16:32665222-32668197")</f>
        <v>chr16:32665222-32668197</v>
      </c>
      <c r="F2698" t="s">
        <v>25</v>
      </c>
      <c r="G2698">
        <v>1.0084535405167101</v>
      </c>
      <c r="H2698">
        <v>0.34967501298057901</v>
      </c>
      <c r="I2698">
        <v>2.8839736986660802</v>
      </c>
      <c r="J2698">
        <v>3.9269154938160597E-3</v>
      </c>
      <c r="K2698">
        <v>1.94832624593149E-2</v>
      </c>
      <c r="L2698" t="s">
        <v>26</v>
      </c>
      <c r="M2698" t="s">
        <v>27</v>
      </c>
      <c r="N2698">
        <v>17.026270882489001</v>
      </c>
      <c r="O2698">
        <v>8.8263939478174702</v>
      </c>
      <c r="P2698">
        <v>23.1761785834926</v>
      </c>
      <c r="Q2698">
        <v>10.579058374108801</v>
      </c>
      <c r="R2698">
        <v>6.0680786582935102</v>
      </c>
      <c r="S2698">
        <v>9.8320448110501104</v>
      </c>
      <c r="T2698">
        <v>32.0806830090688</v>
      </c>
      <c r="U2698">
        <v>19.2713107129698</v>
      </c>
      <c r="V2698">
        <v>29.4261449553692</v>
      </c>
      <c r="W2698">
        <v>11.926575656562401</v>
      </c>
    </row>
    <row r="2699" spans="1:23" x14ac:dyDescent="0.2">
      <c r="A2699" t="s">
        <v>5402</v>
      </c>
      <c r="B2699" s="3" t="str">
        <f>HYPERLINK("http://www.ncbi.nlm.nih.gov/gene/244713","Zfp317")</f>
        <v>Zfp317</v>
      </c>
      <c r="C2699">
        <v>244713</v>
      </c>
      <c r="D2699" t="s">
        <v>5403</v>
      </c>
      <c r="E2699" s="3" t="str">
        <f>HYPERLINK("http://genome.ucsc.edu/cgi-bin/hgTracks?db=mm10&amp;lastVirtModeType=default&amp;lastVirtModeExtraState=&amp;virtModeType=default&amp;virtMode=0&amp;nonVirtPosition=&amp;position=chr9:19622090-19649731","chr9:19622090-19649731")</f>
        <v>chr9:19622090-19649731</v>
      </c>
      <c r="F2699" t="s">
        <v>30</v>
      </c>
      <c r="G2699">
        <v>-0.427326104846798</v>
      </c>
      <c r="H2699">
        <v>0.14819197493045499</v>
      </c>
      <c r="I2699">
        <v>-2.8835981506241399</v>
      </c>
      <c r="J2699">
        <v>3.9316010492527302E-3</v>
      </c>
      <c r="K2699">
        <v>1.94992850557568E-2</v>
      </c>
      <c r="L2699" t="s">
        <v>26</v>
      </c>
      <c r="M2699" t="s">
        <v>27</v>
      </c>
      <c r="N2699">
        <v>244.82732609155499</v>
      </c>
      <c r="O2699">
        <v>287.08450732141603</v>
      </c>
      <c r="P2699">
        <v>213.13444016915901</v>
      </c>
      <c r="Q2699">
        <v>330.734772327401</v>
      </c>
      <c r="R2699">
        <v>283.68267727522198</v>
      </c>
      <c r="S2699">
        <v>246.83607236162601</v>
      </c>
      <c r="T2699">
        <v>219.98182634790101</v>
      </c>
      <c r="U2699">
        <v>231.255728555638</v>
      </c>
      <c r="V2699">
        <v>204.51170743981601</v>
      </c>
      <c r="W2699">
        <v>196.78849833327999</v>
      </c>
    </row>
    <row r="2700" spans="1:23" x14ac:dyDescent="0.2">
      <c r="A2700" t="s">
        <v>5404</v>
      </c>
      <c r="B2700" s="3" t="str">
        <f>HYPERLINK("http://www.ncbi.nlm.nih.gov/gene/20526","Slc2a2")</f>
        <v>Slc2a2</v>
      </c>
      <c r="C2700">
        <v>20526</v>
      </c>
      <c r="D2700" t="s">
        <v>5405</v>
      </c>
      <c r="E2700" s="3" t="str">
        <f>HYPERLINK("http://genome.ucsc.edu/cgi-bin/hgTracks?db=mm10&amp;lastVirtModeType=default&amp;lastVirtModeExtraState=&amp;virtModeType=default&amp;virtMode=0&amp;nonVirtPosition=&amp;position=chr3:28697902-28728360","chr3:28697902-28728360")</f>
        <v>chr3:28697902-28728360</v>
      </c>
      <c r="F2700" t="s">
        <v>30</v>
      </c>
      <c r="G2700">
        <v>1.1440142307321399</v>
      </c>
      <c r="H2700">
        <v>0.396760714135306</v>
      </c>
      <c r="I2700">
        <v>2.8833858544321398</v>
      </c>
      <c r="J2700">
        <v>3.9342520256618503E-3</v>
      </c>
      <c r="K2700">
        <v>1.9505208765508202E-2</v>
      </c>
      <c r="L2700" t="s">
        <v>26</v>
      </c>
      <c r="M2700" t="s">
        <v>27</v>
      </c>
      <c r="N2700">
        <v>10.404902468989899</v>
      </c>
      <c r="O2700">
        <v>3.4701878512549</v>
      </c>
      <c r="P2700">
        <v>15.605938432291101</v>
      </c>
      <c r="Q2700">
        <v>7.2383030980744296</v>
      </c>
      <c r="R2700">
        <v>2.6547844130034099</v>
      </c>
      <c r="S2700">
        <v>0.51747604268684799</v>
      </c>
      <c r="T2700">
        <v>27.497728293487601</v>
      </c>
      <c r="U2700">
        <v>8.5650269835421398</v>
      </c>
      <c r="V2700">
        <v>13.241765229916099</v>
      </c>
      <c r="W2700">
        <v>13.1192332222186</v>
      </c>
    </row>
    <row r="2701" spans="1:23" x14ac:dyDescent="0.2">
      <c r="A2701" t="s">
        <v>5406</v>
      </c>
      <c r="B2701" s="3" t="str">
        <f>HYPERLINK("http://www.ncbi.nlm.nih.gov/gene/24086","Tlk2")</f>
        <v>Tlk2</v>
      </c>
      <c r="C2701">
        <v>24086</v>
      </c>
      <c r="D2701" t="s">
        <v>5407</v>
      </c>
      <c r="E2701" s="3" t="str">
        <f>HYPERLINK("http://genome.ucsc.edu/cgi-bin/hgTracks?db=mm10&amp;lastVirtModeType=default&amp;lastVirtModeExtraState=&amp;virtModeType=default&amp;virtMode=0&amp;nonVirtPosition=&amp;position=chr11:105181526-105283959","chr11:105181526-105283959")</f>
        <v>chr11:105181526-105283959</v>
      </c>
      <c r="F2701" t="s">
        <v>30</v>
      </c>
      <c r="G2701">
        <v>-0.36721313970354102</v>
      </c>
      <c r="H2701">
        <v>0.12737204481637801</v>
      </c>
      <c r="I2701">
        <v>-2.8829963453356</v>
      </c>
      <c r="J2701">
        <v>3.9391201097751698E-3</v>
      </c>
      <c r="K2701">
        <v>1.9522115984455701E-2</v>
      </c>
      <c r="L2701" t="s">
        <v>26</v>
      </c>
      <c r="M2701" t="s">
        <v>27</v>
      </c>
      <c r="N2701">
        <v>311.38825754543899</v>
      </c>
      <c r="O2701">
        <v>362.185046138237</v>
      </c>
      <c r="P2701">
        <v>273.29066610083999</v>
      </c>
      <c r="Q2701">
        <v>371.38062818581898</v>
      </c>
      <c r="R2701">
        <v>364.84322932989699</v>
      </c>
      <c r="S2701">
        <v>350.331280898996</v>
      </c>
      <c r="T2701">
        <v>252.062509356969</v>
      </c>
      <c r="U2701">
        <v>246.24452577683701</v>
      </c>
      <c r="V2701">
        <v>313.388443774682</v>
      </c>
      <c r="W2701">
        <v>281.46718549487298</v>
      </c>
    </row>
    <row r="2702" spans="1:23" x14ac:dyDescent="0.2">
      <c r="A2702" t="s">
        <v>5408</v>
      </c>
      <c r="B2702" s="3" t="str">
        <f>HYPERLINK("http://www.ncbi.nlm.nih.gov/gene/19211","Pten")</f>
        <v>Pten</v>
      </c>
      <c r="C2702">
        <v>19211</v>
      </c>
      <c r="D2702" t="s">
        <v>5409</v>
      </c>
      <c r="E2702" s="3" t="str">
        <f>HYPERLINK("http://genome.ucsc.edu/cgi-bin/hgTracks?db=mm10&amp;lastVirtModeType=default&amp;lastVirtModeExtraState=&amp;virtModeType=default&amp;virtMode=0&amp;nonVirtPosition=&amp;position=chr19:32757576-32826160","chr19:32757576-32826160")</f>
        <v>chr19:32757576-32826160</v>
      </c>
      <c r="F2702" t="s">
        <v>30</v>
      </c>
      <c r="G2702">
        <v>-0.311094987189515</v>
      </c>
      <c r="H2702">
        <v>0.107919993189188</v>
      </c>
      <c r="I2702">
        <v>-2.8826446147393101</v>
      </c>
      <c r="J2702">
        <v>3.9435207377667199E-3</v>
      </c>
      <c r="K2702">
        <v>1.95354594253207E-2</v>
      </c>
      <c r="L2702" t="s">
        <v>26</v>
      </c>
      <c r="M2702" t="s">
        <v>27</v>
      </c>
      <c r="N2702">
        <v>1124.1520574711799</v>
      </c>
      <c r="O2702">
        <v>1268.9763425896001</v>
      </c>
      <c r="P2702">
        <v>1015.53384363236</v>
      </c>
      <c r="Q2702">
        <v>1163.1396286059601</v>
      </c>
      <c r="R2702">
        <v>1257.9885568474699</v>
      </c>
      <c r="S2702">
        <v>1385.8008423153799</v>
      </c>
      <c r="T2702">
        <v>976.16935441880901</v>
      </c>
      <c r="U2702">
        <v>1025.66198127917</v>
      </c>
      <c r="V2702">
        <v>1079.93951986205</v>
      </c>
      <c r="W2702">
        <v>980.36451896942901</v>
      </c>
    </row>
    <row r="2703" spans="1:23" x14ac:dyDescent="0.2">
      <c r="A2703" t="s">
        <v>5410</v>
      </c>
      <c r="B2703" s="3" t="str">
        <f>HYPERLINK("http://www.ncbi.nlm.nih.gov/gene/71918","Zcchc24")</f>
        <v>Zcchc24</v>
      </c>
      <c r="C2703">
        <v>71918</v>
      </c>
      <c r="D2703" t="s">
        <v>5411</v>
      </c>
      <c r="E2703" s="3" t="str">
        <f>HYPERLINK("http://genome.ucsc.edu/cgi-bin/hgTracks?db=mm10&amp;lastVirtModeType=default&amp;lastVirtModeExtraState=&amp;virtModeType=default&amp;virtMode=0&amp;nonVirtPosition=&amp;position=chr14:25711639-25768856","chr14:25711639-25768856")</f>
        <v>chr14:25711639-25768856</v>
      </c>
      <c r="F2703" t="s">
        <v>25</v>
      </c>
      <c r="G2703">
        <v>-0.64159525050882704</v>
      </c>
      <c r="H2703">
        <v>0.22257920733733</v>
      </c>
      <c r="I2703">
        <v>-2.8825480069953602</v>
      </c>
      <c r="J2703">
        <v>3.9447302132826004E-3</v>
      </c>
      <c r="K2703">
        <v>1.95354594253207E-2</v>
      </c>
      <c r="L2703" t="s">
        <v>26</v>
      </c>
      <c r="M2703" t="s">
        <v>27</v>
      </c>
      <c r="N2703">
        <v>1827.1066548874001</v>
      </c>
      <c r="O2703">
        <v>2339.3249423829802</v>
      </c>
      <c r="P2703">
        <v>1442.94293926572</v>
      </c>
      <c r="Q2703">
        <v>3453.22737032751</v>
      </c>
      <c r="R2703">
        <v>1851.9017555279499</v>
      </c>
      <c r="S2703">
        <v>1712.84570129347</v>
      </c>
      <c r="T2703">
        <v>1814.8500673701801</v>
      </c>
      <c r="U2703">
        <v>1282.61279078544</v>
      </c>
      <c r="V2703">
        <v>1422.0184549682201</v>
      </c>
      <c r="W2703">
        <v>1252.29044393905</v>
      </c>
    </row>
    <row r="2704" spans="1:23" x14ac:dyDescent="0.2">
      <c r="A2704" t="s">
        <v>5412</v>
      </c>
      <c r="B2704" s="3" t="str">
        <f>HYPERLINK("http://www.ncbi.nlm.nih.gov/gene/27370","Rps26")</f>
        <v>Rps26</v>
      </c>
      <c r="C2704">
        <v>27370</v>
      </c>
      <c r="D2704" t="s">
        <v>5413</v>
      </c>
      <c r="E2704" s="3" t="str">
        <f>HYPERLINK("http://genome.ucsc.edu/cgi-bin/hgTracks?db=mm10&amp;lastVirtModeType=default&amp;lastVirtModeExtraState=&amp;virtModeType=default&amp;virtMode=0&amp;nonVirtPosition=&amp;position=chr10:128624528-128626506","chr10:128624528-128626506")</f>
        <v>chr10:128624528-128626506</v>
      </c>
      <c r="F2704" t="s">
        <v>25</v>
      </c>
      <c r="G2704">
        <v>-0.50295048008955301</v>
      </c>
      <c r="H2704">
        <v>0.17457562184627901</v>
      </c>
      <c r="I2704">
        <v>-2.8809891940835901</v>
      </c>
      <c r="J2704">
        <v>3.9642923150266197E-3</v>
      </c>
      <c r="K2704">
        <v>1.9625078887438599E-2</v>
      </c>
      <c r="L2704" t="s">
        <v>26</v>
      </c>
      <c r="M2704" t="s">
        <v>27</v>
      </c>
      <c r="N2704">
        <v>396.27199147559799</v>
      </c>
      <c r="O2704">
        <v>480.51987488819702</v>
      </c>
      <c r="P2704">
        <v>333.08607891614901</v>
      </c>
      <c r="Q2704">
        <v>358.574399627687</v>
      </c>
      <c r="R2704">
        <v>613.63445431993205</v>
      </c>
      <c r="S2704">
        <v>469.350770716971</v>
      </c>
      <c r="T2704">
        <v>329.972739521851</v>
      </c>
      <c r="U2704">
        <v>340.45982259580001</v>
      </c>
      <c r="V2704">
        <v>349.43547134500898</v>
      </c>
      <c r="W2704">
        <v>312.47628220193502</v>
      </c>
    </row>
    <row r="2705" spans="1:23" x14ac:dyDescent="0.2">
      <c r="A2705" t="s">
        <v>5414</v>
      </c>
      <c r="B2705" s="3" t="str">
        <f>HYPERLINK("http://www.ncbi.nlm.nih.gov/gene/56462","Mtch1")</f>
        <v>Mtch1</v>
      </c>
      <c r="C2705">
        <v>56462</v>
      </c>
      <c r="D2705" t="s">
        <v>5415</v>
      </c>
      <c r="E2705" s="3" t="str">
        <f>HYPERLINK("http://genome.ucsc.edu/cgi-bin/hgTracks?db=mm10&amp;lastVirtModeType=default&amp;lastVirtModeExtraState=&amp;virtModeType=default&amp;virtMode=0&amp;nonVirtPosition=&amp;position=chr17:29332075-29347904","chr17:29332075-29347904")</f>
        <v>chr17:29332075-29347904</v>
      </c>
      <c r="F2705" t="s">
        <v>25</v>
      </c>
      <c r="G2705">
        <v>-0.356599550420793</v>
      </c>
      <c r="H2705">
        <v>0.123808920960126</v>
      </c>
      <c r="I2705">
        <v>-2.8802411623928199</v>
      </c>
      <c r="J2705">
        <v>3.97371087548541E-3</v>
      </c>
      <c r="K2705">
        <v>1.9664435452189599E-2</v>
      </c>
      <c r="L2705" t="s">
        <v>26</v>
      </c>
      <c r="M2705" t="s">
        <v>27</v>
      </c>
      <c r="N2705">
        <v>649.99427305753898</v>
      </c>
      <c r="O2705">
        <v>746.72397903726801</v>
      </c>
      <c r="P2705">
        <v>577.44699357274101</v>
      </c>
      <c r="Q2705">
        <v>646.43614591264702</v>
      </c>
      <c r="R2705">
        <v>840.80814908979505</v>
      </c>
      <c r="S2705">
        <v>752.92764210936298</v>
      </c>
      <c r="T2705">
        <v>540.78865643858899</v>
      </c>
      <c r="U2705">
        <v>599.55188884794995</v>
      </c>
      <c r="V2705">
        <v>592.20116722680496</v>
      </c>
      <c r="W2705">
        <v>577.24626177762002</v>
      </c>
    </row>
    <row r="2706" spans="1:23" x14ac:dyDescent="0.2">
      <c r="A2706" t="s">
        <v>5416</v>
      </c>
      <c r="B2706" s="3" t="str">
        <f>HYPERLINK("http://www.ncbi.nlm.nih.gov/gene/67371","Gtf3c6")</f>
        <v>Gtf3c6</v>
      </c>
      <c r="C2706">
        <v>67371</v>
      </c>
      <c r="D2706" t="s">
        <v>5417</v>
      </c>
      <c r="E2706" s="3" t="str">
        <f>HYPERLINK("http://genome.ucsc.edu/cgi-bin/hgTracks?db=mm10&amp;lastVirtModeType=default&amp;lastVirtModeExtraState=&amp;virtModeType=default&amp;virtMode=0&amp;nonVirtPosition=&amp;position=chr10:40249202-40257665","chr10:40249202-40257665")</f>
        <v>chr10:40249202-40257665</v>
      </c>
      <c r="F2706" t="s">
        <v>25</v>
      </c>
      <c r="G2706">
        <v>-0.58868188025491897</v>
      </c>
      <c r="H2706">
        <v>0.20445445216845701</v>
      </c>
      <c r="I2706">
        <v>-2.8792812971853801</v>
      </c>
      <c r="J2706">
        <v>3.9858264215020403E-3</v>
      </c>
      <c r="K2706">
        <v>1.9717104399827799E-2</v>
      </c>
      <c r="L2706" t="s">
        <v>26</v>
      </c>
      <c r="M2706" t="s">
        <v>27</v>
      </c>
      <c r="N2706">
        <v>142.99667004733499</v>
      </c>
      <c r="O2706">
        <v>182.04001149411999</v>
      </c>
      <c r="P2706">
        <v>113.714163962247</v>
      </c>
      <c r="Q2706">
        <v>199.33173147004999</v>
      </c>
      <c r="R2706">
        <v>212.762007956416</v>
      </c>
      <c r="S2706">
        <v>134.026295055894</v>
      </c>
      <c r="T2706">
        <v>77.910230164881497</v>
      </c>
      <c r="U2706">
        <v>124.192891261361</v>
      </c>
      <c r="V2706">
        <v>119.17588706924499</v>
      </c>
      <c r="W2706">
        <v>133.577647353499</v>
      </c>
    </row>
    <row r="2707" spans="1:23" x14ac:dyDescent="0.2">
      <c r="A2707" t="s">
        <v>5418</v>
      </c>
      <c r="B2707" s="3" t="str">
        <f>HYPERLINK("http://www.ncbi.nlm.nih.gov/gene/14725","Lrp2")</f>
        <v>Lrp2</v>
      </c>
      <c r="C2707">
        <v>14725</v>
      </c>
      <c r="D2707" t="s">
        <v>5419</v>
      </c>
      <c r="E2707" s="3" t="str">
        <f>HYPERLINK("http://genome.ucsc.edu/cgi-bin/hgTracks?db=mm10&amp;lastVirtModeType=default&amp;lastVirtModeExtraState=&amp;virtModeType=default&amp;virtMode=0&amp;nonVirtPosition=&amp;position=chr2:69424334-69586067","chr2:69424334-69586067")</f>
        <v>chr2:69424334-69586067</v>
      </c>
      <c r="F2707" t="s">
        <v>25</v>
      </c>
      <c r="G2707">
        <v>0.90033548562975796</v>
      </c>
      <c r="H2707">
        <v>0.31281932999789303</v>
      </c>
      <c r="I2707">
        <v>2.8781325170532899</v>
      </c>
      <c r="J2707">
        <v>4.0003705623717599E-3</v>
      </c>
      <c r="K2707">
        <v>1.9781743796425499E-2</v>
      </c>
      <c r="L2707" t="s">
        <v>26</v>
      </c>
      <c r="M2707" t="s">
        <v>27</v>
      </c>
      <c r="N2707">
        <v>34.614280928996301</v>
      </c>
      <c r="O2707">
        <v>20.127340164835001</v>
      </c>
      <c r="P2707">
        <v>45.479486502117197</v>
      </c>
      <c r="Q2707">
        <v>30.066797484309099</v>
      </c>
      <c r="R2707">
        <v>14.790941729590401</v>
      </c>
      <c r="S2707">
        <v>15.5242812806054</v>
      </c>
      <c r="T2707">
        <v>68.744320733718993</v>
      </c>
      <c r="U2707">
        <v>29.9775944423975</v>
      </c>
      <c r="V2707">
        <v>33.104413074790401</v>
      </c>
      <c r="W2707">
        <v>50.091617757562098</v>
      </c>
    </row>
    <row r="2708" spans="1:23" x14ac:dyDescent="0.2">
      <c r="A2708" t="s">
        <v>5420</v>
      </c>
      <c r="B2708" s="3" t="str">
        <f>HYPERLINK("http://www.ncbi.nlm.nih.gov/gene/66256","Ssr2")</f>
        <v>Ssr2</v>
      </c>
      <c r="C2708">
        <v>66256</v>
      </c>
      <c r="D2708" t="s">
        <v>5421</v>
      </c>
      <c r="E2708" s="3" t="str">
        <f>HYPERLINK("http://genome.ucsc.edu/cgi-bin/hgTracks?db=mm10&amp;lastVirtModeType=default&amp;lastVirtModeExtraState=&amp;virtModeType=default&amp;virtMode=0&amp;nonVirtPosition=&amp;position=chr3:88579670-88588413","chr3:88579670-88588413")</f>
        <v>chr3:88579670-88588413</v>
      </c>
      <c r="F2708" t="s">
        <v>30</v>
      </c>
      <c r="G2708">
        <v>-0.43313280469809101</v>
      </c>
      <c r="H2708">
        <v>0.15054161189906601</v>
      </c>
      <c r="I2708">
        <v>-2.8771633253701001</v>
      </c>
      <c r="J2708">
        <v>4.0126784774890097E-3</v>
      </c>
      <c r="K2708">
        <v>1.9835281466244099E-2</v>
      </c>
      <c r="L2708" t="s">
        <v>26</v>
      </c>
      <c r="M2708" t="s">
        <v>27</v>
      </c>
      <c r="N2708">
        <v>384.40410007700098</v>
      </c>
      <c r="O2708">
        <v>458.38432600021201</v>
      </c>
      <c r="P2708">
        <v>328.91893063459298</v>
      </c>
      <c r="Q2708">
        <v>418.15120205029899</v>
      </c>
      <c r="R2708">
        <v>490.75586148948798</v>
      </c>
      <c r="S2708">
        <v>466.24591446084997</v>
      </c>
      <c r="T2708">
        <v>252.062509356969</v>
      </c>
      <c r="U2708">
        <v>368.29616029231198</v>
      </c>
      <c r="V2708">
        <v>393.57468877806298</v>
      </c>
      <c r="W2708">
        <v>301.74236411102902</v>
      </c>
    </row>
    <row r="2709" spans="1:23" x14ac:dyDescent="0.2">
      <c r="A2709" t="s">
        <v>5422</v>
      </c>
      <c r="B2709" s="3" t="str">
        <f>HYPERLINK("http://www.ncbi.nlm.nih.gov/gene/378460","Pram1")</f>
        <v>Pram1</v>
      </c>
      <c r="C2709">
        <v>378460</v>
      </c>
      <c r="D2709" t="s">
        <v>5423</v>
      </c>
      <c r="E2709" s="3" t="str">
        <f>HYPERLINK("http://genome.ucsc.edu/cgi-bin/hgTracks?db=mm10&amp;lastVirtModeType=default&amp;lastVirtModeExtraState=&amp;virtModeType=default&amp;virtMode=0&amp;nonVirtPosition=&amp;position=chr17:33638055-33645706","chr17:33638055-33645706")</f>
        <v>chr17:33638055-33645706</v>
      </c>
      <c r="F2709" t="s">
        <v>30</v>
      </c>
      <c r="G2709">
        <v>0.97142805813493605</v>
      </c>
      <c r="H2709">
        <v>0.33770369917076698</v>
      </c>
      <c r="I2709">
        <v>2.8765691951858501</v>
      </c>
      <c r="J2709">
        <v>4.0202404152532897E-3</v>
      </c>
      <c r="K2709">
        <v>1.9853450311653E-2</v>
      </c>
      <c r="L2709" t="s">
        <v>26</v>
      </c>
      <c r="M2709" t="s">
        <v>27</v>
      </c>
      <c r="N2709">
        <v>24.3926337491291</v>
      </c>
      <c r="O2709">
        <v>12.880403167193901</v>
      </c>
      <c r="P2709">
        <v>33.026806685580603</v>
      </c>
      <c r="Q2709">
        <v>12.8062285581317</v>
      </c>
      <c r="R2709">
        <v>7.2058434067235497</v>
      </c>
      <c r="S2709">
        <v>18.6291375367265</v>
      </c>
      <c r="T2709">
        <v>54.995456586975202</v>
      </c>
      <c r="U2709">
        <v>23.553824204740899</v>
      </c>
      <c r="V2709">
        <v>30.8974522031377</v>
      </c>
      <c r="W2709">
        <v>22.6604937474686</v>
      </c>
    </row>
    <row r="2710" spans="1:23" x14ac:dyDescent="0.2">
      <c r="A2710" t="s">
        <v>5424</v>
      </c>
      <c r="B2710" s="3" t="str">
        <f>HYPERLINK("http://www.ncbi.nlm.nih.gov/gene/78068","6430503K07Rik")</f>
        <v>6430503K07Rik</v>
      </c>
      <c r="C2710">
        <v>78068</v>
      </c>
      <c r="D2710" t="s">
        <v>5425</v>
      </c>
      <c r="E2710" s="3" t="str">
        <f>HYPERLINK("http://genome.ucsc.edu/cgi-bin/hgTracks?db=mm10&amp;lastVirtModeType=default&amp;lastVirtModeExtraState=&amp;virtModeType=default&amp;virtMode=0&amp;nonVirtPosition=&amp;position=chr2:147187423-147188482","chr2:147187423-147188482")</f>
        <v>chr2:147187423-147188482</v>
      </c>
      <c r="F2710" t="s">
        <v>30</v>
      </c>
      <c r="G2710">
        <v>0.95949677739929695</v>
      </c>
      <c r="H2710">
        <v>0.33356521891277802</v>
      </c>
      <c r="I2710">
        <v>2.8764892830453999</v>
      </c>
      <c r="J2710">
        <v>4.0212585030964601E-3</v>
      </c>
      <c r="K2710">
        <v>1.9853450311653E-2</v>
      </c>
      <c r="L2710" t="s">
        <v>26</v>
      </c>
      <c r="M2710" t="s">
        <v>27</v>
      </c>
      <c r="N2710">
        <v>15.696004123323</v>
      </c>
      <c r="O2710">
        <v>8.8027883054926992</v>
      </c>
      <c r="P2710">
        <v>20.8659159866957</v>
      </c>
      <c r="Q2710">
        <v>10.579058374108801</v>
      </c>
      <c r="R2710">
        <v>9.1021179874402698</v>
      </c>
      <c r="S2710">
        <v>6.72718855492902</v>
      </c>
      <c r="T2710">
        <v>18.3318188623251</v>
      </c>
      <c r="U2710">
        <v>27.836337696512</v>
      </c>
      <c r="V2710">
        <v>20.5983014687584</v>
      </c>
      <c r="W2710">
        <v>16.6972059191874</v>
      </c>
    </row>
    <row r="2711" spans="1:23" x14ac:dyDescent="0.2">
      <c r="A2711" t="s">
        <v>5426</v>
      </c>
      <c r="B2711" s="3" t="str">
        <f>HYPERLINK("http://www.ncbi.nlm.nih.gov/gene/22359","Vldlr")</f>
        <v>Vldlr</v>
      </c>
      <c r="C2711">
        <v>22359</v>
      </c>
      <c r="D2711" t="s">
        <v>5427</v>
      </c>
      <c r="E2711" s="3" t="str">
        <f>HYPERLINK("http://genome.ucsc.edu/cgi-bin/hgTracks?db=mm10&amp;lastVirtModeType=default&amp;lastVirtModeExtraState=&amp;virtModeType=default&amp;virtMode=0&amp;nonVirtPosition=&amp;position=chr19:27217019-27254231","chr19:27217019-27254231")</f>
        <v>chr19:27217019-27254231</v>
      </c>
      <c r="F2711" t="s">
        <v>30</v>
      </c>
      <c r="G2711">
        <v>-0.43263692459382203</v>
      </c>
      <c r="H2711">
        <v>0.15040532237047399</v>
      </c>
      <c r="I2711">
        <v>-2.8764735035650002</v>
      </c>
      <c r="J2711">
        <v>4.0214595627625404E-3</v>
      </c>
      <c r="K2711">
        <v>1.9853450311653E-2</v>
      </c>
      <c r="L2711" t="s">
        <v>26</v>
      </c>
      <c r="M2711" t="s">
        <v>27</v>
      </c>
      <c r="N2711">
        <v>698.10476011934202</v>
      </c>
      <c r="O2711">
        <v>828.27878917162195</v>
      </c>
      <c r="P2711">
        <v>600.47423833013204</v>
      </c>
      <c r="Q2711">
        <v>783.40711223005496</v>
      </c>
      <c r="R2711">
        <v>915.90062248617699</v>
      </c>
      <c r="S2711">
        <v>785.52863279863504</v>
      </c>
      <c r="T2711">
        <v>508.70797342952</v>
      </c>
      <c r="U2711">
        <v>616.68194281503395</v>
      </c>
      <c r="V2711">
        <v>748.15973549026205</v>
      </c>
      <c r="W2711">
        <v>528.34730158571404</v>
      </c>
    </row>
    <row r="2712" spans="1:23" x14ac:dyDescent="0.2">
      <c r="A2712" t="s">
        <v>5428</v>
      </c>
      <c r="B2712" s="3" t="str">
        <f>HYPERLINK("http://www.ncbi.nlm.nih.gov/gene/385668","Lca5l")</f>
        <v>Lca5l</v>
      </c>
      <c r="C2712">
        <v>385668</v>
      </c>
      <c r="D2712" t="s">
        <v>5429</v>
      </c>
      <c r="E2712" s="3" t="str">
        <f>HYPERLINK("http://genome.ucsc.edu/cgi-bin/hgTracks?db=mm10&amp;lastVirtModeType=default&amp;lastVirtModeExtraState=&amp;virtModeType=default&amp;virtMode=0&amp;nonVirtPosition=&amp;position=chr16:96158405-96192257","chr16:96158405-96192257")</f>
        <v>chr16:96158405-96192257</v>
      </c>
      <c r="F2712" t="s">
        <v>25</v>
      </c>
      <c r="G2712">
        <v>0.87192004523111299</v>
      </c>
      <c r="H2712">
        <v>0.30314731163347702</v>
      </c>
      <c r="I2712">
        <v>2.8762255569177402</v>
      </c>
      <c r="J2712">
        <v>4.02462005866652E-3</v>
      </c>
      <c r="K2712">
        <v>1.9853450311653E-2</v>
      </c>
      <c r="L2712" t="s">
        <v>26</v>
      </c>
      <c r="M2712" t="s">
        <v>27</v>
      </c>
      <c r="N2712">
        <v>19.437909175196399</v>
      </c>
      <c r="O2712">
        <v>11.8971444203953</v>
      </c>
      <c r="P2712">
        <v>25.093482741297301</v>
      </c>
      <c r="Q2712">
        <v>11.1358509201145</v>
      </c>
      <c r="R2712">
        <v>12.136157316586999</v>
      </c>
      <c r="S2712">
        <v>12.419425024484299</v>
      </c>
      <c r="T2712">
        <v>27.497728293487601</v>
      </c>
      <c r="U2712">
        <v>23.553824204740899</v>
      </c>
      <c r="V2712">
        <v>24.276569588179601</v>
      </c>
      <c r="W2712">
        <v>25.045808878780999</v>
      </c>
    </row>
    <row r="2713" spans="1:23" x14ac:dyDescent="0.2">
      <c r="A2713" t="s">
        <v>5430</v>
      </c>
      <c r="B2713" s="3" t="str">
        <f>HYPERLINK("http://www.ncbi.nlm.nih.gov/gene/232813","Shisa7")</f>
        <v>Shisa7</v>
      </c>
      <c r="C2713">
        <v>232813</v>
      </c>
      <c r="D2713" t="s">
        <v>5431</v>
      </c>
      <c r="E2713" s="3" t="str">
        <f>HYPERLINK("http://genome.ucsc.edu/cgi-bin/hgTracks?db=mm10&amp;lastVirtModeType=default&amp;lastVirtModeExtraState=&amp;virtModeType=default&amp;virtMode=0&amp;nonVirtPosition=&amp;position=chr7:4825551-4844696","chr7:4825551-4844696")</f>
        <v>chr7:4825551-4844696</v>
      </c>
      <c r="F2713" t="s">
        <v>25</v>
      </c>
      <c r="G2713">
        <v>0.489506348348339</v>
      </c>
      <c r="H2713">
        <v>0.17019122861453001</v>
      </c>
      <c r="I2713">
        <v>2.8762137293046499</v>
      </c>
      <c r="J2713">
        <v>4.0247708777655404E-3</v>
      </c>
      <c r="K2713">
        <v>1.9853450311653E-2</v>
      </c>
      <c r="L2713" t="s">
        <v>26</v>
      </c>
      <c r="M2713" t="s">
        <v>27</v>
      </c>
      <c r="N2713">
        <v>513.53063336457603</v>
      </c>
      <c r="O2713">
        <v>413.64635525703102</v>
      </c>
      <c r="P2713">
        <v>588.44384194523604</v>
      </c>
      <c r="Q2713">
        <v>474.38724919687797</v>
      </c>
      <c r="R2713">
        <v>292.02628543037503</v>
      </c>
      <c r="S2713">
        <v>474.52553114383898</v>
      </c>
      <c r="T2713">
        <v>572.86933944765804</v>
      </c>
      <c r="U2713">
        <v>563.15052416789604</v>
      </c>
      <c r="V2713">
        <v>614.27077594333196</v>
      </c>
      <c r="W2713">
        <v>603.48472822205702</v>
      </c>
    </row>
    <row r="2714" spans="1:23" x14ac:dyDescent="0.2">
      <c r="A2714" t="s">
        <v>5432</v>
      </c>
      <c r="B2714" s="3" t="str">
        <f>HYPERLINK("http://www.ncbi.nlm.nih.gov/gene/16922","Phyh")</f>
        <v>Phyh</v>
      </c>
      <c r="C2714">
        <v>16922</v>
      </c>
      <c r="D2714" t="s">
        <v>5433</v>
      </c>
      <c r="E2714" s="3" t="str">
        <f>HYPERLINK("http://genome.ucsc.edu/cgi-bin/hgTracks?db=mm10&amp;lastVirtModeType=default&amp;lastVirtModeExtraState=&amp;virtModeType=default&amp;virtMode=0&amp;nonVirtPosition=&amp;position=chr2:4918995-4938743","chr2:4918995-4938743")</f>
        <v>chr2:4918995-4938743</v>
      </c>
      <c r="F2714" t="s">
        <v>30</v>
      </c>
      <c r="G2714">
        <v>-0.604769753257834</v>
      </c>
      <c r="H2714">
        <v>0.210268673992485</v>
      </c>
      <c r="I2714">
        <v>-2.8761761881822201</v>
      </c>
      <c r="J2714">
        <v>4.02524961512493E-3</v>
      </c>
      <c r="K2714">
        <v>1.9853450311653E-2</v>
      </c>
      <c r="L2714" t="s">
        <v>26</v>
      </c>
      <c r="M2714" t="s">
        <v>27</v>
      </c>
      <c r="N2714">
        <v>114.018947067203</v>
      </c>
      <c r="O2714">
        <v>141.894701820157</v>
      </c>
      <c r="P2714">
        <v>93.112131002487899</v>
      </c>
      <c r="Q2714">
        <v>174.276066899792</v>
      </c>
      <c r="R2714">
        <v>142.22059355375399</v>
      </c>
      <c r="S2714">
        <v>109.187445006925</v>
      </c>
      <c r="T2714">
        <v>109.99091317395001</v>
      </c>
      <c r="U2714">
        <v>94.215296818963594</v>
      </c>
      <c r="V2714">
        <v>72.829708764538793</v>
      </c>
      <c r="W2714">
        <v>95.412605252499205</v>
      </c>
    </row>
    <row r="2715" spans="1:23" x14ac:dyDescent="0.2">
      <c r="A2715" t="s">
        <v>5434</v>
      </c>
      <c r="B2715" s="3" t="str">
        <f>HYPERLINK("http://www.ncbi.nlm.nih.gov/gene/14256","Flt3l")</f>
        <v>Flt3l</v>
      </c>
      <c r="C2715">
        <v>14256</v>
      </c>
      <c r="D2715" t="s">
        <v>5435</v>
      </c>
      <c r="E2715" s="3" t="str">
        <f>HYPERLINK("http://genome.ucsc.edu/cgi-bin/hgTracks?db=mm10&amp;lastVirtModeType=default&amp;lastVirtModeExtraState=&amp;virtModeType=default&amp;virtMode=0&amp;nonVirtPosition=&amp;position=chr7:45131188-45136432","chr7:45131188-45136432")</f>
        <v>chr7:45131188-45136432</v>
      </c>
      <c r="F2715" t="s">
        <v>25</v>
      </c>
      <c r="G2715">
        <v>0.91704540808031698</v>
      </c>
      <c r="H2715">
        <v>0.31895803138219597</v>
      </c>
      <c r="I2715">
        <v>2.8751287563016499</v>
      </c>
      <c r="J2715">
        <v>4.0386276881904997E-3</v>
      </c>
      <c r="K2715">
        <v>1.9912099916258801E-2</v>
      </c>
      <c r="L2715" t="s">
        <v>26</v>
      </c>
      <c r="M2715" t="s">
        <v>27</v>
      </c>
      <c r="N2715">
        <v>26.8135340374644</v>
      </c>
      <c r="O2715">
        <v>15.349909820760599</v>
      </c>
      <c r="P2715">
        <v>35.411252199992198</v>
      </c>
      <c r="Q2715">
        <v>20.0445316562061</v>
      </c>
      <c r="R2715">
        <v>10.998392568157</v>
      </c>
      <c r="S2715">
        <v>15.0068052379186</v>
      </c>
      <c r="T2715">
        <v>54.995456586975202</v>
      </c>
      <c r="U2715">
        <v>17.130053967084301</v>
      </c>
      <c r="V2715">
        <v>30.1617985792534</v>
      </c>
      <c r="W2715">
        <v>39.357699666655897</v>
      </c>
    </row>
    <row r="2716" spans="1:23" x14ac:dyDescent="0.2">
      <c r="A2716" t="s">
        <v>5436</v>
      </c>
      <c r="B2716" s="3" t="str">
        <f>HYPERLINK("http://www.ncbi.nlm.nih.gov/gene/217194","Klhl11")</f>
        <v>Klhl11</v>
      </c>
      <c r="C2716">
        <v>217194</v>
      </c>
      <c r="D2716" t="s">
        <v>5437</v>
      </c>
      <c r="E2716" s="3" t="str">
        <f>HYPERLINK("http://genome.ucsc.edu/cgi-bin/hgTracks?db=mm10&amp;lastVirtModeType=default&amp;lastVirtModeExtraState=&amp;virtModeType=default&amp;virtMode=0&amp;nonVirtPosition=&amp;position=chr11:100462611-100472782","chr11:100462611-100472782")</f>
        <v>chr11:100462611-100472782</v>
      </c>
      <c r="F2716" t="s">
        <v>25</v>
      </c>
      <c r="G2716">
        <v>-0.41181602268852302</v>
      </c>
      <c r="H2716">
        <v>0.14327444355510799</v>
      </c>
      <c r="I2716">
        <v>-2.8743159803662102</v>
      </c>
      <c r="J2716">
        <v>4.0490364711928701E-3</v>
      </c>
      <c r="K2716">
        <v>1.9951003166121601E-2</v>
      </c>
      <c r="L2716" t="s">
        <v>26</v>
      </c>
      <c r="M2716" t="s">
        <v>27</v>
      </c>
      <c r="N2716">
        <v>259.421891723854</v>
      </c>
      <c r="O2716">
        <v>303.70884883058898</v>
      </c>
      <c r="P2716">
        <v>226.20667389380199</v>
      </c>
      <c r="Q2716">
        <v>344.09779343153798</v>
      </c>
      <c r="R2716">
        <v>265.85769621648501</v>
      </c>
      <c r="S2716">
        <v>301.17105684374502</v>
      </c>
      <c r="T2716">
        <v>242.89659992580701</v>
      </c>
      <c r="U2716">
        <v>196.99562062146899</v>
      </c>
      <c r="V2716">
        <v>228.788277027996</v>
      </c>
      <c r="W2716">
        <v>236.146197999935</v>
      </c>
    </row>
    <row r="2717" spans="1:23" x14ac:dyDescent="0.2">
      <c r="A2717" t="s">
        <v>5438</v>
      </c>
      <c r="B2717" s="3" t="str">
        <f>HYPERLINK("http://www.ncbi.nlm.nih.gov/gene/11622","Ahr")</f>
        <v>Ahr</v>
      </c>
      <c r="C2717">
        <v>11622</v>
      </c>
      <c r="D2717" t="s">
        <v>5439</v>
      </c>
      <c r="E2717" s="3" t="str">
        <f>HYPERLINK("http://genome.ucsc.edu/cgi-bin/hgTracks?db=mm10&amp;lastVirtModeType=default&amp;lastVirtModeExtraState=&amp;virtModeType=default&amp;virtMode=0&amp;nonVirtPosition=&amp;position=chr12:35497978-35534989","chr12:35497978-35534989")</f>
        <v>chr12:35497978-35534989</v>
      </c>
      <c r="F2717" t="s">
        <v>25</v>
      </c>
      <c r="G2717">
        <v>0.71571951671857104</v>
      </c>
      <c r="H2717">
        <v>0.24900827988365201</v>
      </c>
      <c r="I2717">
        <v>2.8742799920267199</v>
      </c>
      <c r="J2717">
        <v>4.0494979169231997E-3</v>
      </c>
      <c r="K2717">
        <v>1.9951003166121601E-2</v>
      </c>
      <c r="L2717" t="s">
        <v>26</v>
      </c>
      <c r="M2717" t="s">
        <v>27</v>
      </c>
      <c r="N2717">
        <v>36.028363018520501</v>
      </c>
      <c r="O2717">
        <v>26.1115750967152</v>
      </c>
      <c r="P2717">
        <v>43.465953959874497</v>
      </c>
      <c r="Q2717">
        <v>24.498872024251899</v>
      </c>
      <c r="R2717">
        <v>26.927099046177499</v>
      </c>
      <c r="S2717">
        <v>26.908754219716101</v>
      </c>
      <c r="T2717">
        <v>32.0806830090688</v>
      </c>
      <c r="U2717">
        <v>44.966391663596198</v>
      </c>
      <c r="V2717">
        <v>51.495753671896097</v>
      </c>
      <c r="W2717">
        <v>45.3209874949371</v>
      </c>
    </row>
    <row r="2718" spans="1:23" x14ac:dyDescent="0.2">
      <c r="A2718" t="s">
        <v>5440</v>
      </c>
      <c r="B2718" s="3" t="str">
        <f>HYPERLINK("http://www.ncbi.nlm.nih.gov/gene/114585","D17H6S53E")</f>
        <v>D17H6S53E</v>
      </c>
      <c r="C2718">
        <v>114585</v>
      </c>
      <c r="D2718" t="s">
        <v>5441</v>
      </c>
      <c r="E2718" s="3" t="str">
        <f>HYPERLINK("http://genome.ucsc.edu/cgi-bin/hgTracks?db=mm10&amp;lastVirtModeType=default&amp;lastVirtModeExtraState=&amp;virtModeType=default&amp;virtMode=0&amp;nonVirtPosition=&amp;position=chr17:35126401-35128855","chr17:35126401-35128855")</f>
        <v>chr17:35126401-35128855</v>
      </c>
      <c r="F2718" t="s">
        <v>30</v>
      </c>
      <c r="G2718">
        <v>-0.69463546261906295</v>
      </c>
      <c r="H2718">
        <v>0.24174766579905699</v>
      </c>
      <c r="I2718">
        <v>-2.87339056748722</v>
      </c>
      <c r="J2718">
        <v>4.0609173772675304E-3</v>
      </c>
      <c r="K2718">
        <v>1.9999906068035901E-2</v>
      </c>
      <c r="L2718" t="s">
        <v>26</v>
      </c>
      <c r="M2718" t="s">
        <v>27</v>
      </c>
      <c r="N2718">
        <v>63.4868568297547</v>
      </c>
      <c r="O2718">
        <v>86.057690874921406</v>
      </c>
      <c r="P2718">
        <v>46.558731295879603</v>
      </c>
      <c r="Q2718">
        <v>103.006621011059</v>
      </c>
      <c r="R2718">
        <v>69.782904570375393</v>
      </c>
      <c r="S2718">
        <v>85.383547043329898</v>
      </c>
      <c r="T2718">
        <v>22.914773577906299</v>
      </c>
      <c r="U2718">
        <v>49.248905155367297</v>
      </c>
      <c r="V2718">
        <v>54.438368167432998</v>
      </c>
      <c r="W2718">
        <v>59.632878282812001</v>
      </c>
    </row>
    <row r="2719" spans="1:23" x14ac:dyDescent="0.2">
      <c r="A2719" t="s">
        <v>5442</v>
      </c>
      <c r="B2719" s="3" t="str">
        <f>HYPERLINK("http://www.ncbi.nlm.nih.gov/gene/21817","Tgm2")</f>
        <v>Tgm2</v>
      </c>
      <c r="C2719">
        <v>21817</v>
      </c>
      <c r="D2719" t="s">
        <v>5443</v>
      </c>
      <c r="E2719" s="3" t="str">
        <f>HYPERLINK("http://genome.ucsc.edu/cgi-bin/hgTracks?db=mm10&amp;lastVirtModeType=default&amp;lastVirtModeExtraState=&amp;virtModeType=default&amp;virtMode=0&amp;nonVirtPosition=&amp;position=chr2:158116404-158146392","chr2:158116404-158146392")</f>
        <v>chr2:158116404-158146392</v>
      </c>
      <c r="F2719" t="s">
        <v>25</v>
      </c>
      <c r="G2719">
        <v>0.670429460745678</v>
      </c>
      <c r="H2719">
        <v>0.23341222740515999</v>
      </c>
      <c r="I2719">
        <v>2.8722979434232299</v>
      </c>
      <c r="J2719">
        <v>4.0749857531093602E-3</v>
      </c>
      <c r="K2719">
        <v>2.0061814051429198E-2</v>
      </c>
      <c r="L2719" t="s">
        <v>26</v>
      </c>
      <c r="M2719" t="s">
        <v>27</v>
      </c>
      <c r="N2719">
        <v>201.54821441963799</v>
      </c>
      <c r="O2719">
        <v>144.602962162491</v>
      </c>
      <c r="P2719">
        <v>244.257153612498</v>
      </c>
      <c r="Q2719">
        <v>153.67474269758</v>
      </c>
      <c r="R2719">
        <v>103.15733719099001</v>
      </c>
      <c r="S2719">
        <v>176.97680659890199</v>
      </c>
      <c r="T2719">
        <v>334.55569423743202</v>
      </c>
      <c r="U2719">
        <v>143.46420197433099</v>
      </c>
      <c r="V2719">
        <v>244.972656753449</v>
      </c>
      <c r="W2719">
        <v>254.036061484779</v>
      </c>
    </row>
    <row r="2720" spans="1:23" x14ac:dyDescent="0.2">
      <c r="A2720" t="s">
        <v>5444</v>
      </c>
      <c r="B2720" s="3" t="str">
        <f>HYPERLINK("http://www.ncbi.nlm.nih.gov/gene/22755","Zfp93")</f>
        <v>Zfp93</v>
      </c>
      <c r="C2720">
        <v>22755</v>
      </c>
      <c r="D2720" t="s">
        <v>5445</v>
      </c>
      <c r="E2720" s="3" t="str">
        <f>HYPERLINK("http://genome.ucsc.edu/cgi-bin/hgTracks?db=mm10&amp;lastVirtModeType=default&amp;lastVirtModeExtraState=&amp;virtModeType=default&amp;virtMode=0&amp;nonVirtPosition=&amp;position=chr7:24270417-24277794","chr7:24270417-24277794")</f>
        <v>chr7:24270417-24277794</v>
      </c>
      <c r="F2720" t="s">
        <v>30</v>
      </c>
      <c r="G2720">
        <v>-0.72105810462692599</v>
      </c>
      <c r="H2720">
        <v>0.25106304796214302</v>
      </c>
      <c r="I2720">
        <v>-2.8720200383118599</v>
      </c>
      <c r="J2720">
        <v>4.0785710445518297E-3</v>
      </c>
      <c r="K2720">
        <v>2.0068481045169201E-2</v>
      </c>
      <c r="L2720" t="s">
        <v>26</v>
      </c>
      <c r="M2720" t="s">
        <v>27</v>
      </c>
      <c r="N2720">
        <v>36.029436158189597</v>
      </c>
      <c r="O2720">
        <v>48.280577084290996</v>
      </c>
      <c r="P2720">
        <v>26.841080463613501</v>
      </c>
      <c r="Q2720">
        <v>48.997744048503797</v>
      </c>
      <c r="R2720">
        <v>45.131335021058</v>
      </c>
      <c r="S2720">
        <v>50.7126521833111</v>
      </c>
      <c r="T2720">
        <v>22.914773577906299</v>
      </c>
      <c r="U2720">
        <v>29.9775944423975</v>
      </c>
      <c r="V2720">
        <v>29.4261449553692</v>
      </c>
      <c r="W2720">
        <v>25.045808878780999</v>
      </c>
    </row>
    <row r="2721" spans="1:23" x14ac:dyDescent="0.2">
      <c r="A2721" t="s">
        <v>5446</v>
      </c>
      <c r="B2721" s="3" t="str">
        <f>HYPERLINK("http://www.ncbi.nlm.nih.gov/gene/15587","Hyal2")</f>
        <v>Hyal2</v>
      </c>
      <c r="C2721">
        <v>15587</v>
      </c>
      <c r="D2721" t="s">
        <v>5447</v>
      </c>
      <c r="E2721" s="3" t="str">
        <f>HYPERLINK("http://genome.ucsc.edu/cgi-bin/hgTracks?db=mm10&amp;lastVirtModeType=default&amp;lastVirtModeExtraState=&amp;virtModeType=default&amp;virtMode=0&amp;nonVirtPosition=&amp;position=chr9:107569162-107572778","chr9:107569162-107572778")</f>
        <v>chr9:107569162-107572778</v>
      </c>
      <c r="F2721" t="s">
        <v>30</v>
      </c>
      <c r="G2721">
        <v>-0.54339236831472904</v>
      </c>
      <c r="H2721">
        <v>0.18920606158511499</v>
      </c>
      <c r="I2721">
        <v>-2.8719606748448698</v>
      </c>
      <c r="J2721">
        <v>4.0793372716713197E-3</v>
      </c>
      <c r="K2721">
        <v>2.0068481045169201E-2</v>
      </c>
      <c r="L2721" t="s">
        <v>26</v>
      </c>
      <c r="M2721" t="s">
        <v>27</v>
      </c>
      <c r="N2721">
        <v>112.585681686877</v>
      </c>
      <c r="O2721">
        <v>136.155369627933</v>
      </c>
      <c r="P2721">
        <v>94.908415731085299</v>
      </c>
      <c r="Q2721">
        <v>114.699264477179</v>
      </c>
      <c r="R2721">
        <v>150.943456625051</v>
      </c>
      <c r="S2721">
        <v>142.82338778157001</v>
      </c>
      <c r="T2721">
        <v>109.99091317395001</v>
      </c>
      <c r="U2721">
        <v>107.062837294277</v>
      </c>
      <c r="V2721">
        <v>83.864513122802194</v>
      </c>
      <c r="W2721">
        <v>78.715399333311794</v>
      </c>
    </row>
    <row r="2722" spans="1:23" x14ac:dyDescent="0.2">
      <c r="A2722" t="s">
        <v>5448</v>
      </c>
      <c r="B2722" s="3" t="str">
        <f>HYPERLINK("http://www.ncbi.nlm.nih.gov/gene/20739","Spta1")</f>
        <v>Spta1</v>
      </c>
      <c r="C2722">
        <v>20739</v>
      </c>
      <c r="D2722" t="s">
        <v>5449</v>
      </c>
      <c r="E2722" s="3" t="str">
        <f>HYPERLINK("http://genome.ucsc.edu/cgi-bin/hgTracks?db=mm10&amp;lastVirtModeType=default&amp;lastVirtModeExtraState=&amp;virtModeType=default&amp;virtMode=0&amp;nonVirtPosition=&amp;position=chr1:174172775-174248449","chr1:174172775-174248449")</f>
        <v>chr1:174172775-174248449</v>
      </c>
      <c r="F2722" t="s">
        <v>30</v>
      </c>
      <c r="G2722">
        <v>1.05637321259004</v>
      </c>
      <c r="H2722">
        <v>0.36786613471653501</v>
      </c>
      <c r="I2722">
        <v>2.8716239764881899</v>
      </c>
      <c r="J2722">
        <v>4.0836856394274703E-3</v>
      </c>
      <c r="K2722">
        <v>2.0078115479961901E-2</v>
      </c>
      <c r="L2722" t="s">
        <v>26</v>
      </c>
      <c r="M2722" t="s">
        <v>27</v>
      </c>
      <c r="N2722">
        <v>16.267670512319398</v>
      </c>
      <c r="O2722">
        <v>7.99144755882919</v>
      </c>
      <c r="P2722">
        <v>22.474837727436999</v>
      </c>
      <c r="Q2722">
        <v>12.2494360121259</v>
      </c>
      <c r="R2722">
        <v>7.58509832286689</v>
      </c>
      <c r="S2722">
        <v>4.1398083414947804</v>
      </c>
      <c r="T2722">
        <v>27.497728293487601</v>
      </c>
      <c r="U2722">
        <v>8.5650269835421398</v>
      </c>
      <c r="V2722">
        <v>32.368759450906097</v>
      </c>
      <c r="W2722">
        <v>21.467836181812299</v>
      </c>
    </row>
    <row r="2723" spans="1:23" x14ac:dyDescent="0.2">
      <c r="A2723" t="s">
        <v>5450</v>
      </c>
      <c r="B2723" s="3" t="str">
        <f>HYPERLINK("http://www.ncbi.nlm.nih.gov/gene/224671","Btbd9")</f>
        <v>Btbd9</v>
      </c>
      <c r="C2723">
        <v>224671</v>
      </c>
      <c r="D2723" t="s">
        <v>5451</v>
      </c>
      <c r="E2723" s="3" t="str">
        <f>HYPERLINK("http://genome.ucsc.edu/cgi-bin/hgTracks?db=mm10&amp;lastVirtModeType=default&amp;lastVirtModeExtraState=&amp;virtModeType=default&amp;virtMode=0&amp;nonVirtPosition=&amp;position=chr17:30215523-30576287","chr17:30215523-30576287")</f>
        <v>chr17:30215523-30576287</v>
      </c>
      <c r="F2723" t="s">
        <v>25</v>
      </c>
      <c r="G2723">
        <v>-0.34701596621026498</v>
      </c>
      <c r="H2723">
        <v>0.120845090568571</v>
      </c>
      <c r="I2723">
        <v>-2.8715768640460899</v>
      </c>
      <c r="J2723">
        <v>4.0842944191932101E-3</v>
      </c>
      <c r="K2723">
        <v>2.0078115479961901E-2</v>
      </c>
      <c r="L2723" t="s">
        <v>26</v>
      </c>
      <c r="M2723" t="s">
        <v>27</v>
      </c>
      <c r="N2723">
        <v>341.235999357477</v>
      </c>
      <c r="O2723">
        <v>393.39354281873602</v>
      </c>
      <c r="P2723">
        <v>302.11784176153202</v>
      </c>
      <c r="Q2723">
        <v>415.36723932027098</v>
      </c>
      <c r="R2723">
        <v>372.04907273662099</v>
      </c>
      <c r="S2723">
        <v>392.76431639931701</v>
      </c>
      <c r="T2723">
        <v>265.81137350371301</v>
      </c>
      <c r="U2723">
        <v>297.63468767808899</v>
      </c>
      <c r="V2723">
        <v>307.50321478360797</v>
      </c>
      <c r="W2723">
        <v>337.522091080716</v>
      </c>
    </row>
    <row r="2724" spans="1:23" x14ac:dyDescent="0.2">
      <c r="A2724" t="s">
        <v>5452</v>
      </c>
      <c r="B2724" s="3" t="str">
        <f>HYPERLINK("http://www.ncbi.nlm.nih.gov/gene/73303","Bcas1os2")</f>
        <v>Bcas1os2</v>
      </c>
      <c r="C2724">
        <v>73303</v>
      </c>
      <c r="D2724" t="s">
        <v>5453</v>
      </c>
      <c r="E2724" s="3" t="str">
        <f>HYPERLINK("http://genome.ucsc.edu/cgi-bin/hgTracks?db=mm10&amp;lastVirtModeType=default&amp;lastVirtModeExtraState=&amp;virtModeType=default&amp;virtMode=0&amp;nonVirtPosition=&amp;position=chr2:170356360-170380435","chr2:170356360-170380435")</f>
        <v>chr2:170356360-170380435</v>
      </c>
      <c r="F2724" t="s">
        <v>30</v>
      </c>
      <c r="G2724">
        <v>0.94492931375502398</v>
      </c>
      <c r="H2724">
        <v>0.32920345562748898</v>
      </c>
      <c r="I2724">
        <v>2.8703505312661699</v>
      </c>
      <c r="J2724">
        <v>4.1001699080703497E-3</v>
      </c>
      <c r="K2724">
        <v>2.0141778914782998E-2</v>
      </c>
      <c r="L2724" t="s">
        <v>26</v>
      </c>
      <c r="M2724" t="s">
        <v>27</v>
      </c>
      <c r="N2724">
        <v>51.850358879043803</v>
      </c>
      <c r="O2724">
        <v>30.590084668793601</v>
      </c>
      <c r="P2724">
        <v>67.795564536731405</v>
      </c>
      <c r="Q2724">
        <v>41.202648404423599</v>
      </c>
      <c r="R2724">
        <v>11.7569024004437</v>
      </c>
      <c r="S2724">
        <v>38.810703201513597</v>
      </c>
      <c r="T2724">
        <v>45.829547155812598</v>
      </c>
      <c r="U2724">
        <v>55.672675393023901</v>
      </c>
      <c r="V2724">
        <v>99.313239224371102</v>
      </c>
      <c r="W2724">
        <v>70.366796373718103</v>
      </c>
    </row>
    <row r="2725" spans="1:23" x14ac:dyDescent="0.2">
      <c r="A2725" t="s">
        <v>5454</v>
      </c>
      <c r="B2725" s="3" t="str">
        <f>HYPERLINK("http://www.ncbi.nlm.nih.gov/gene/20562","Slit1")</f>
        <v>Slit1</v>
      </c>
      <c r="C2725">
        <v>20562</v>
      </c>
      <c r="D2725" t="s">
        <v>5455</v>
      </c>
      <c r="E2725" s="3" t="str">
        <f>HYPERLINK("http://genome.ucsc.edu/cgi-bin/hgTracks?db=mm10&amp;lastVirtModeType=default&amp;lastVirtModeExtraState=&amp;virtModeType=default&amp;virtMode=0&amp;nonVirtPosition=&amp;position=chr19:41600256-41743856","chr19:41600256-41743856")</f>
        <v>chr19:41600256-41743856</v>
      </c>
      <c r="F2725" t="s">
        <v>25</v>
      </c>
      <c r="G2725">
        <v>0.99738267046868301</v>
      </c>
      <c r="H2725">
        <v>0.34748376371941397</v>
      </c>
      <c r="I2725">
        <v>2.8703000675279</v>
      </c>
      <c r="J2725">
        <v>4.1008243843150298E-3</v>
      </c>
      <c r="K2725">
        <v>2.0141778914782998E-2</v>
      </c>
      <c r="L2725" t="s">
        <v>26</v>
      </c>
      <c r="M2725" t="s">
        <v>27</v>
      </c>
      <c r="N2725">
        <v>35.668014067519898</v>
      </c>
      <c r="O2725">
        <v>19.480774959176099</v>
      </c>
      <c r="P2725">
        <v>47.808443398777797</v>
      </c>
      <c r="Q2725">
        <v>10.0222658281031</v>
      </c>
      <c r="R2725">
        <v>26.168589213890801</v>
      </c>
      <c r="S2725">
        <v>22.2514698355345</v>
      </c>
      <c r="T2725">
        <v>18.3318188623251</v>
      </c>
      <c r="U2725">
        <v>62.096445630680499</v>
      </c>
      <c r="V2725">
        <v>30.8974522031377</v>
      </c>
      <c r="W2725">
        <v>79.908056898968098</v>
      </c>
    </row>
    <row r="2726" spans="1:23" x14ac:dyDescent="0.2">
      <c r="A2726" t="s">
        <v>5456</v>
      </c>
      <c r="B2726" s="3" t="str">
        <f>HYPERLINK("http://www.ncbi.nlm.nih.gov/gene/269878","Megf8")</f>
        <v>Megf8</v>
      </c>
      <c r="C2726">
        <v>269878</v>
      </c>
      <c r="D2726" t="s">
        <v>5457</v>
      </c>
      <c r="E2726" s="3" t="str">
        <f>HYPERLINK("http://genome.ucsc.edu/cgi-bin/hgTracks?db=mm10&amp;lastVirtModeType=default&amp;lastVirtModeExtraState=&amp;virtModeType=default&amp;virtMode=0&amp;nonVirtPosition=&amp;position=chr7:25317163-25365917","chr7:25317163-25365917")</f>
        <v>chr7:25317163-25365917</v>
      </c>
      <c r="F2726" t="s">
        <v>30</v>
      </c>
      <c r="G2726">
        <v>0.53468629803452805</v>
      </c>
      <c r="H2726">
        <v>0.186294275247784</v>
      </c>
      <c r="I2726">
        <v>2.8701166330707601</v>
      </c>
      <c r="J2726">
        <v>4.1032041882220803E-3</v>
      </c>
      <c r="K2726">
        <v>2.0141778914782998E-2</v>
      </c>
      <c r="L2726" t="s">
        <v>26</v>
      </c>
      <c r="M2726" t="s">
        <v>27</v>
      </c>
      <c r="N2726">
        <v>765.587863477121</v>
      </c>
      <c r="O2726">
        <v>600.277379562335</v>
      </c>
      <c r="P2726">
        <v>889.57072641321099</v>
      </c>
      <c r="Q2726">
        <v>645.879353366641</v>
      </c>
      <c r="R2726">
        <v>434.62613390027298</v>
      </c>
      <c r="S2726">
        <v>720.32665142009205</v>
      </c>
      <c r="T2726">
        <v>838.68071295137099</v>
      </c>
      <c r="U2726">
        <v>1051.3570622298</v>
      </c>
      <c r="V2726">
        <v>706.96313255274504</v>
      </c>
      <c r="W2726">
        <v>961.28199791892905</v>
      </c>
    </row>
    <row r="2727" spans="1:23" x14ac:dyDescent="0.2">
      <c r="A2727" t="s">
        <v>5458</v>
      </c>
      <c r="B2727" s="3" t="str">
        <f>HYPERLINK("http://www.ncbi.nlm.nih.gov/gene/271508","4933408B17Rik")</f>
        <v>4933408B17Rik</v>
      </c>
      <c r="C2727">
        <v>271508</v>
      </c>
      <c r="D2727" t="s">
        <v>5459</v>
      </c>
      <c r="E2727" s="3" t="str">
        <f>HYPERLINK("http://genome.ucsc.edu/cgi-bin/hgTracks?db=mm10&amp;lastVirtModeType=default&amp;lastVirtModeExtraState=&amp;virtModeType=default&amp;virtMode=0&amp;nonVirtPosition=&amp;position=chr18:34579845-34597468","chr18:34579845-34597468")</f>
        <v>chr18:34579845-34597468</v>
      </c>
      <c r="F2727" t="s">
        <v>25</v>
      </c>
      <c r="G2727">
        <v>1.0216466881414199</v>
      </c>
      <c r="H2727">
        <v>0.35596053644744302</v>
      </c>
      <c r="I2727">
        <v>2.87011222743303</v>
      </c>
      <c r="J2727">
        <v>4.1032613605801E-3</v>
      </c>
      <c r="K2727">
        <v>2.0141778914782998E-2</v>
      </c>
      <c r="L2727" t="s">
        <v>26</v>
      </c>
      <c r="M2727" t="s">
        <v>27</v>
      </c>
      <c r="N2727">
        <v>14.2787368211266</v>
      </c>
      <c r="O2727">
        <v>6.7188848636467204</v>
      </c>
      <c r="P2727">
        <v>19.948625789236601</v>
      </c>
      <c r="Q2727">
        <v>5.5679254600572499</v>
      </c>
      <c r="R2727">
        <v>6.8265884905801997</v>
      </c>
      <c r="S2727">
        <v>7.7621406403027198</v>
      </c>
      <c r="T2727">
        <v>36.663637724650101</v>
      </c>
      <c r="U2727">
        <v>10.7062837294277</v>
      </c>
      <c r="V2727">
        <v>16.920033349337299</v>
      </c>
      <c r="W2727">
        <v>15.504548353531099</v>
      </c>
    </row>
    <row r="2728" spans="1:23" x14ac:dyDescent="0.2">
      <c r="A2728" t="s">
        <v>5460</v>
      </c>
      <c r="B2728" s="3" t="str">
        <f>HYPERLINK("http://www.ncbi.nlm.nih.gov/gene/66660","Sltm")</f>
        <v>Sltm</v>
      </c>
      <c r="C2728">
        <v>66660</v>
      </c>
      <c r="D2728" t="s">
        <v>5461</v>
      </c>
      <c r="E2728" s="3" t="str">
        <f>HYPERLINK("http://genome.ucsc.edu/cgi-bin/hgTracks?db=mm10&amp;lastVirtModeType=default&amp;lastVirtModeExtraState=&amp;virtModeType=default&amp;virtMode=0&amp;nonVirtPosition=&amp;position=chr9:70542869-70592232","chr9:70542869-70592232")</f>
        <v>chr9:70542869-70592232</v>
      </c>
      <c r="F2728" t="s">
        <v>30</v>
      </c>
      <c r="G2728">
        <v>0.33745822318789898</v>
      </c>
      <c r="H2728">
        <v>0.117619316975288</v>
      </c>
      <c r="I2728">
        <v>2.8690714405253699</v>
      </c>
      <c r="J2728">
        <v>4.1167880222329296E-3</v>
      </c>
      <c r="K2728">
        <v>2.0200282604997E-2</v>
      </c>
      <c r="L2728" t="s">
        <v>26</v>
      </c>
      <c r="M2728" t="s">
        <v>27</v>
      </c>
      <c r="N2728">
        <v>446.30390347257298</v>
      </c>
      <c r="O2728">
        <v>386.43729885189799</v>
      </c>
      <c r="P2728">
        <v>491.20385693807998</v>
      </c>
      <c r="Q2728">
        <v>409.24252131420798</v>
      </c>
      <c r="R2728">
        <v>394.04585787293502</v>
      </c>
      <c r="S2728">
        <v>356.02351736855098</v>
      </c>
      <c r="T2728">
        <v>504.12501871393903</v>
      </c>
      <c r="U2728">
        <v>451.80517338184802</v>
      </c>
      <c r="V2728">
        <v>468.61135841425499</v>
      </c>
      <c r="W2728">
        <v>540.27387724227697</v>
      </c>
    </row>
    <row r="2729" spans="1:23" x14ac:dyDescent="0.2">
      <c r="A2729" t="s">
        <v>5462</v>
      </c>
      <c r="B2729" s="3" t="str">
        <f>HYPERLINK("http://www.ncbi.nlm.nih.gov/gene/18761","Prkcq")</f>
        <v>Prkcq</v>
      </c>
      <c r="C2729">
        <v>18761</v>
      </c>
      <c r="D2729" t="s">
        <v>5463</v>
      </c>
      <c r="E2729" s="3" t="str">
        <f>HYPERLINK("http://genome.ucsc.edu/cgi-bin/hgTracks?db=mm10&amp;lastVirtModeType=default&amp;lastVirtModeExtraState=&amp;virtModeType=default&amp;virtMode=0&amp;nonVirtPosition=&amp;position=chr2:11172381-11301226","chr2:11172381-11301226")</f>
        <v>chr2:11172381-11301226</v>
      </c>
      <c r="F2729" t="s">
        <v>30</v>
      </c>
      <c r="G2729">
        <v>-0.77498871563622096</v>
      </c>
      <c r="H2729">
        <v>0.27012849331726502</v>
      </c>
      <c r="I2729">
        <v>-2.8689632334564599</v>
      </c>
      <c r="J2729">
        <v>4.1181966628065E-3</v>
      </c>
      <c r="K2729">
        <v>2.0200282604997E-2</v>
      </c>
      <c r="L2729" t="s">
        <v>26</v>
      </c>
      <c r="M2729" t="s">
        <v>27</v>
      </c>
      <c r="N2729">
        <v>217.50292300146899</v>
      </c>
      <c r="O2729">
        <v>294.95828554610398</v>
      </c>
      <c r="P2729">
        <v>159.411401092993</v>
      </c>
      <c r="Q2729">
        <v>493.87498830707801</v>
      </c>
      <c r="R2729">
        <v>180.904595000375</v>
      </c>
      <c r="S2729">
        <v>210.09527333086001</v>
      </c>
      <c r="T2729">
        <v>183.31818862325099</v>
      </c>
      <c r="U2729">
        <v>130.61666149901799</v>
      </c>
      <c r="V2729">
        <v>175.82121610833099</v>
      </c>
      <c r="W2729">
        <v>147.889538141374</v>
      </c>
    </row>
    <row r="2730" spans="1:23" x14ac:dyDescent="0.2">
      <c r="A2730" t="s">
        <v>5464</v>
      </c>
      <c r="B2730" s="3" t="str">
        <f>HYPERLINK("http://www.ncbi.nlm.nih.gov/gene/14586","Gfra2")</f>
        <v>Gfra2</v>
      </c>
      <c r="C2730">
        <v>14586</v>
      </c>
      <c r="D2730" t="s">
        <v>5465</v>
      </c>
      <c r="E2730" s="3" t="str">
        <f>HYPERLINK("http://genome.ucsc.edu/cgi-bin/hgTracks?db=mm10&amp;lastVirtModeType=default&amp;lastVirtModeExtraState=&amp;virtModeType=default&amp;virtMode=0&amp;nonVirtPosition=&amp;position=chr14:70890106-70979840","chr14:70890106-70979840")</f>
        <v>chr14:70890106-70979840</v>
      </c>
      <c r="F2730" t="s">
        <v>30</v>
      </c>
      <c r="G2730">
        <v>-0.69948255754191901</v>
      </c>
      <c r="H2730">
        <v>0.24384002239434299</v>
      </c>
      <c r="I2730">
        <v>-2.86861258735739</v>
      </c>
      <c r="J2730">
        <v>4.1227643824525801E-3</v>
      </c>
      <c r="K2730">
        <v>2.0210457720076298E-2</v>
      </c>
      <c r="L2730" t="s">
        <v>26</v>
      </c>
      <c r="M2730" t="s">
        <v>27</v>
      </c>
      <c r="N2730">
        <v>83.259030842019897</v>
      </c>
      <c r="O2730">
        <v>110.68442310283</v>
      </c>
      <c r="P2730">
        <v>62.6899866464125</v>
      </c>
      <c r="Q2730">
        <v>86.859637176893102</v>
      </c>
      <c r="R2730">
        <v>92.538199538976102</v>
      </c>
      <c r="S2730">
        <v>152.65543259262</v>
      </c>
      <c r="T2730">
        <v>50.4125018713939</v>
      </c>
      <c r="U2730">
        <v>68.520215868337104</v>
      </c>
      <c r="V2730">
        <v>75.772323260075694</v>
      </c>
      <c r="W2730">
        <v>56.054905585843301</v>
      </c>
    </row>
    <row r="2731" spans="1:23" x14ac:dyDescent="0.2">
      <c r="A2731" t="s">
        <v>5466</v>
      </c>
      <c r="B2731" s="3" t="str">
        <f>HYPERLINK("http://www.ncbi.nlm.nih.gov/gene/19206","Ptch1")</f>
        <v>Ptch1</v>
      </c>
      <c r="C2731">
        <v>19206</v>
      </c>
      <c r="D2731" t="s">
        <v>5467</v>
      </c>
      <c r="E2731" s="3" t="str">
        <f>HYPERLINK("http://genome.ucsc.edu/cgi-bin/hgTracks?db=mm10&amp;lastVirtModeType=default&amp;lastVirtModeExtraState=&amp;virtModeType=default&amp;virtMode=0&amp;nonVirtPosition=&amp;position=chr13:63508327-63573460","chr13:63508327-63573460")</f>
        <v>chr13:63508327-63573460</v>
      </c>
      <c r="F2731" t="s">
        <v>25</v>
      </c>
      <c r="G2731">
        <v>0.37216818850239097</v>
      </c>
      <c r="H2731">
        <v>0.129739867201833</v>
      </c>
      <c r="I2731">
        <v>2.8685722941539602</v>
      </c>
      <c r="J2731">
        <v>4.1232895594988002E-3</v>
      </c>
      <c r="K2731">
        <v>2.0210457720076298E-2</v>
      </c>
      <c r="L2731" t="s">
        <v>26</v>
      </c>
      <c r="M2731" t="s">
        <v>27</v>
      </c>
      <c r="N2731">
        <v>472.64024985356099</v>
      </c>
      <c r="O2731">
        <v>404.078168886507</v>
      </c>
      <c r="P2731">
        <v>524.06181057885203</v>
      </c>
      <c r="Q2731">
        <v>351.33609652961201</v>
      </c>
      <c r="R2731">
        <v>417.93891758996602</v>
      </c>
      <c r="S2731">
        <v>442.959492539942</v>
      </c>
      <c r="T2731">
        <v>462.87842627370799</v>
      </c>
      <c r="U2731">
        <v>595.26937535617901</v>
      </c>
      <c r="V2731">
        <v>525.25668745333996</v>
      </c>
      <c r="W2731">
        <v>512.84275323218299</v>
      </c>
    </row>
    <row r="2732" spans="1:23" x14ac:dyDescent="0.2">
      <c r="A2732" t="s">
        <v>5468</v>
      </c>
      <c r="B2732" s="3" t="str">
        <f>HYPERLINK("http://www.ncbi.nlm.nih.gov/gene/22019","Tpp2")</f>
        <v>Tpp2</v>
      </c>
      <c r="C2732">
        <v>22019</v>
      </c>
      <c r="D2732" t="s">
        <v>5469</v>
      </c>
      <c r="E2732" s="3" t="str">
        <f>HYPERLINK("http://genome.ucsc.edu/cgi-bin/hgTracks?db=mm10&amp;lastVirtModeType=default&amp;lastVirtModeExtraState=&amp;virtModeType=default&amp;virtMode=0&amp;nonVirtPosition=&amp;position=chr1:43933993-44003000","chr1:43933993-44003000")</f>
        <v>chr1:43933993-44003000</v>
      </c>
      <c r="F2732" t="s">
        <v>30</v>
      </c>
      <c r="G2732">
        <v>-0.30507099482983402</v>
      </c>
      <c r="H2732">
        <v>0.106397499124253</v>
      </c>
      <c r="I2732">
        <v>-2.8672759918310402</v>
      </c>
      <c r="J2732">
        <v>4.1402178434874898E-3</v>
      </c>
      <c r="K2732">
        <v>2.0286007004076501E-2</v>
      </c>
      <c r="L2732" t="s">
        <v>26</v>
      </c>
      <c r="M2732" t="s">
        <v>27</v>
      </c>
      <c r="N2732">
        <v>477.12935484290398</v>
      </c>
      <c r="O2732">
        <v>537.79721746649602</v>
      </c>
      <c r="P2732">
        <v>431.62845787521002</v>
      </c>
      <c r="Q2732">
        <v>501.67008395115801</v>
      </c>
      <c r="R2732">
        <v>557.50472673071704</v>
      </c>
      <c r="S2732">
        <v>554.21684171761399</v>
      </c>
      <c r="T2732">
        <v>421.63183383347598</v>
      </c>
      <c r="U2732">
        <v>421.82757893945001</v>
      </c>
      <c r="V2732">
        <v>446.54174969772799</v>
      </c>
      <c r="W2732">
        <v>436.51266903018399</v>
      </c>
    </row>
    <row r="2733" spans="1:23" x14ac:dyDescent="0.2">
      <c r="A2733" t="s">
        <v>5470</v>
      </c>
      <c r="B2733" s="3" t="str">
        <f>HYPERLINK("http://www.ncbi.nlm.nih.gov/gene/381306","BC055324")</f>
        <v>BC055324</v>
      </c>
      <c r="C2733">
        <v>381306</v>
      </c>
      <c r="D2733" t="s">
        <v>5471</v>
      </c>
      <c r="E2733" s="3" t="str">
        <f>HYPERLINK("http://genome.ucsc.edu/cgi-bin/hgTracks?db=mm10&amp;lastVirtModeType=default&amp;lastVirtModeExtraState=&amp;virtModeType=default&amp;virtMode=0&amp;nonVirtPosition=&amp;position=chr1:163954007-163994781","chr1:163954007-163994781")</f>
        <v>chr1:163954007-163994781</v>
      </c>
      <c r="F2733" t="s">
        <v>25</v>
      </c>
      <c r="G2733">
        <v>0.74417480520266099</v>
      </c>
      <c r="H2733">
        <v>0.259575911590957</v>
      </c>
      <c r="I2733">
        <v>2.8668869951821301</v>
      </c>
      <c r="J2733">
        <v>4.1453099992844397E-3</v>
      </c>
      <c r="K2733">
        <v>2.03035282371683E-2</v>
      </c>
      <c r="L2733" t="s">
        <v>26</v>
      </c>
      <c r="M2733" t="s">
        <v>27</v>
      </c>
      <c r="N2733">
        <v>78.662197985191497</v>
      </c>
      <c r="O2733">
        <v>52.027550600881298</v>
      </c>
      <c r="P2733">
        <v>98.638183523424104</v>
      </c>
      <c r="Q2733">
        <v>33.407552760343499</v>
      </c>
      <c r="R2733">
        <v>59.543021834505097</v>
      </c>
      <c r="S2733">
        <v>63.132077207795398</v>
      </c>
      <c r="T2733">
        <v>146.65455089860001</v>
      </c>
      <c r="U2733">
        <v>89.932783327192496</v>
      </c>
      <c r="V2733">
        <v>72.094055140654604</v>
      </c>
      <c r="W2733">
        <v>85.871344727249294</v>
      </c>
    </row>
    <row r="2734" spans="1:23" x14ac:dyDescent="0.2">
      <c r="A2734" t="s">
        <v>5472</v>
      </c>
      <c r="B2734" s="3" t="str">
        <f>HYPERLINK("http://www.ncbi.nlm.nih.gov/gene/71085","Arhgap19")</f>
        <v>Arhgap19</v>
      </c>
      <c r="C2734">
        <v>71085</v>
      </c>
      <c r="D2734" t="s">
        <v>5473</v>
      </c>
      <c r="E2734" s="3" t="str">
        <f>HYPERLINK("http://genome.ucsc.edu/cgi-bin/hgTracks?db=mm10&amp;lastVirtModeType=default&amp;lastVirtModeExtraState=&amp;virtModeType=default&amp;virtMode=0&amp;nonVirtPosition=&amp;position=chr19:41766587-41802084","chr19:41766587-41802084")</f>
        <v>chr19:41766587-41802084</v>
      </c>
      <c r="F2734" t="s">
        <v>25</v>
      </c>
      <c r="G2734">
        <v>0.531669330885435</v>
      </c>
      <c r="H2734">
        <v>0.18548646824411</v>
      </c>
      <c r="I2734">
        <v>2.8663510385336002</v>
      </c>
      <c r="J2734">
        <v>4.1523352416707703E-3</v>
      </c>
      <c r="K2734">
        <v>2.0330501360589899E-2</v>
      </c>
      <c r="L2734" t="s">
        <v>26</v>
      </c>
      <c r="M2734" t="s">
        <v>27</v>
      </c>
      <c r="N2734">
        <v>294.405894381439</v>
      </c>
      <c r="O2734">
        <v>229.675520316345</v>
      </c>
      <c r="P2734">
        <v>342.95367493025998</v>
      </c>
      <c r="Q2734">
        <v>164.253801071689</v>
      </c>
      <c r="R2734">
        <v>258.27259789361801</v>
      </c>
      <c r="S2734">
        <v>266.50016198372703</v>
      </c>
      <c r="T2734">
        <v>412.46592440231399</v>
      </c>
      <c r="U2734">
        <v>282.64589045689098</v>
      </c>
      <c r="V2734">
        <v>358.26331483161999</v>
      </c>
      <c r="W2734">
        <v>318.43957003021598</v>
      </c>
    </row>
    <row r="2735" spans="1:23" x14ac:dyDescent="0.2">
      <c r="A2735" t="s">
        <v>5474</v>
      </c>
      <c r="B2735" s="3" t="str">
        <f>HYPERLINK("http://www.ncbi.nlm.nih.gov/gene/16599","Klf3")</f>
        <v>Klf3</v>
      </c>
      <c r="C2735">
        <v>16599</v>
      </c>
      <c r="D2735" t="s">
        <v>5475</v>
      </c>
      <c r="E2735" s="3" t="str">
        <f>HYPERLINK("http://genome.ucsc.edu/cgi-bin/hgTracks?db=mm10&amp;lastVirtModeType=default&amp;lastVirtModeExtraState=&amp;virtModeType=default&amp;virtMode=0&amp;nonVirtPosition=&amp;position=chr5:64803522-64830129","chr5:64803522-64830129")</f>
        <v>chr5:64803522-64830129</v>
      </c>
      <c r="F2735" t="s">
        <v>30</v>
      </c>
      <c r="G2735">
        <v>-0.38624304216302102</v>
      </c>
      <c r="H2735">
        <v>0.134779386812999</v>
      </c>
      <c r="I2735">
        <v>-2.8657426873362799</v>
      </c>
      <c r="J2735">
        <v>4.1603225098050603E-3</v>
      </c>
      <c r="K2735">
        <v>2.036216327807E-2</v>
      </c>
      <c r="L2735" t="s">
        <v>26</v>
      </c>
      <c r="M2735" t="s">
        <v>27</v>
      </c>
      <c r="N2735">
        <v>566.99308065622995</v>
      </c>
      <c r="O2735">
        <v>658.50151296407603</v>
      </c>
      <c r="P2735">
        <v>498.36175642534602</v>
      </c>
      <c r="Q2735">
        <v>771.71446876393497</v>
      </c>
      <c r="R2735">
        <v>570.39939387958998</v>
      </c>
      <c r="S2735">
        <v>633.39067624870199</v>
      </c>
      <c r="T2735">
        <v>481.210245136033</v>
      </c>
      <c r="U2735">
        <v>524.60790274195597</v>
      </c>
      <c r="V2735">
        <v>520.10711208615101</v>
      </c>
      <c r="W2735">
        <v>467.52176573724603</v>
      </c>
    </row>
    <row r="2736" spans="1:23" x14ac:dyDescent="0.2">
      <c r="A2736" t="s">
        <v>5476</v>
      </c>
      <c r="B2736" s="3" t="str">
        <f>HYPERLINK("http://www.ncbi.nlm.nih.gov/gene/104776","Aldh6a1")</f>
        <v>Aldh6a1</v>
      </c>
      <c r="C2736">
        <v>104776</v>
      </c>
      <c r="D2736" t="s">
        <v>5477</v>
      </c>
      <c r="E2736" s="3" t="str">
        <f>HYPERLINK("http://genome.ucsc.edu/cgi-bin/hgTracks?db=mm10&amp;lastVirtModeType=default&amp;lastVirtModeExtraState=&amp;virtModeType=default&amp;virtMode=0&amp;nonVirtPosition=&amp;position=chr12:84430720-84451024","chr12:84430720-84451024")</f>
        <v>chr12:84430720-84451024</v>
      </c>
      <c r="F2736" t="s">
        <v>25</v>
      </c>
      <c r="G2736">
        <v>-0.537855317845506</v>
      </c>
      <c r="H2736">
        <v>0.18773544684582999</v>
      </c>
      <c r="I2736">
        <v>-2.8649641124363501</v>
      </c>
      <c r="J2736">
        <v>4.1705650430228104E-3</v>
      </c>
      <c r="K2736">
        <v>2.04048361312088E-2</v>
      </c>
      <c r="L2736" t="s">
        <v>26</v>
      </c>
      <c r="M2736" t="s">
        <v>27</v>
      </c>
      <c r="N2736">
        <v>188.08808963998899</v>
      </c>
      <c r="O2736">
        <v>234.07769516762099</v>
      </c>
      <c r="P2736">
        <v>153.595885494264</v>
      </c>
      <c r="Q2736">
        <v>285.63457610093701</v>
      </c>
      <c r="R2736">
        <v>237.03432258959</v>
      </c>
      <c r="S2736">
        <v>179.564186812336</v>
      </c>
      <c r="T2736">
        <v>123.739777320694</v>
      </c>
      <c r="U2736">
        <v>154.170485703759</v>
      </c>
      <c r="V2736">
        <v>180.23513785163601</v>
      </c>
      <c r="W2736">
        <v>156.238141100967</v>
      </c>
    </row>
    <row r="2737" spans="1:23" x14ac:dyDescent="0.2">
      <c r="A2737" t="s">
        <v>5478</v>
      </c>
      <c r="B2737" s="3" t="str">
        <f>HYPERLINK("http://www.ncbi.nlm.nih.gov/gene/19182","Psmc3")</f>
        <v>Psmc3</v>
      </c>
      <c r="C2737">
        <v>19182</v>
      </c>
      <c r="D2737" t="s">
        <v>5479</v>
      </c>
      <c r="E2737" s="3" t="str">
        <f>HYPERLINK("http://genome.ucsc.edu/cgi-bin/hgTracks?db=mm10&amp;lastVirtModeType=default&amp;lastVirtModeExtraState=&amp;virtModeType=default&amp;virtMode=0&amp;nonVirtPosition=&amp;position=chr2:91054015-91059438","chr2:91054015-91059438")</f>
        <v>chr2:91054015-91059438</v>
      </c>
      <c r="F2737" t="s">
        <v>30</v>
      </c>
      <c r="G2737">
        <v>-0.32970138236003299</v>
      </c>
      <c r="H2737">
        <v>0.11508579051694399</v>
      </c>
      <c r="I2737">
        <v>-2.8648313651848398</v>
      </c>
      <c r="J2737">
        <v>4.1723136790682404E-3</v>
      </c>
      <c r="K2737">
        <v>2.0405935893499899E-2</v>
      </c>
      <c r="L2737" t="s">
        <v>26</v>
      </c>
      <c r="M2737" t="s">
        <v>27</v>
      </c>
      <c r="N2737">
        <v>635.50393312539995</v>
      </c>
      <c r="O2737">
        <v>720.18972251680304</v>
      </c>
      <c r="P2737">
        <v>571.98959108184704</v>
      </c>
      <c r="Q2737">
        <v>672.60539557491597</v>
      </c>
      <c r="R2737">
        <v>783.16140183600703</v>
      </c>
      <c r="S2737">
        <v>704.80237013948602</v>
      </c>
      <c r="T2737">
        <v>559.12047530091399</v>
      </c>
      <c r="U2737">
        <v>638.09451027389002</v>
      </c>
      <c r="V2737">
        <v>557.62544690424602</v>
      </c>
      <c r="W2737">
        <v>533.11793184833903</v>
      </c>
    </row>
    <row r="2738" spans="1:23" x14ac:dyDescent="0.2">
      <c r="A2738" t="s">
        <v>5480</v>
      </c>
      <c r="B2738" s="3" t="str">
        <f>HYPERLINK("http://www.ncbi.nlm.nih.gov/gene/58238","Fam181b")</f>
        <v>Fam181b</v>
      </c>
      <c r="C2738">
        <v>58238</v>
      </c>
      <c r="D2738" t="s">
        <v>5481</v>
      </c>
      <c r="E2738" s="3" t="str">
        <f>HYPERLINK("http://genome.ucsc.edu/cgi-bin/hgTracks?db=mm10&amp;lastVirtModeType=default&amp;lastVirtModeExtraState=&amp;virtModeType=default&amp;virtMode=0&amp;nonVirtPosition=&amp;position=chr7:93079878-93081721","chr7:93079878-93081721")</f>
        <v>chr7:93079878-93081721</v>
      </c>
      <c r="F2738" t="s">
        <v>30</v>
      </c>
      <c r="G2738">
        <v>-0.485541054321529</v>
      </c>
      <c r="H2738">
        <v>0.16949938311291601</v>
      </c>
      <c r="I2738">
        <v>-2.8645594184733798</v>
      </c>
      <c r="J2738">
        <v>4.17589802122687E-3</v>
      </c>
      <c r="K2738">
        <v>2.0416009639375302E-2</v>
      </c>
      <c r="L2738" t="s">
        <v>26</v>
      </c>
      <c r="M2738" t="s">
        <v>27</v>
      </c>
      <c r="N2738">
        <v>137.35753192076001</v>
      </c>
      <c r="O2738">
        <v>164.917543183275</v>
      </c>
      <c r="P2738">
        <v>116.68752347387399</v>
      </c>
      <c r="Q2738">
        <v>179.28719981384299</v>
      </c>
      <c r="R2738">
        <v>152.46047628962501</v>
      </c>
      <c r="S2738">
        <v>163.00495344635701</v>
      </c>
      <c r="T2738">
        <v>105.407958458369</v>
      </c>
      <c r="U2738">
        <v>145.60545872021601</v>
      </c>
      <c r="V2738">
        <v>100.04889284825499</v>
      </c>
      <c r="W2738">
        <v>115.687783868655</v>
      </c>
    </row>
    <row r="2739" spans="1:23" x14ac:dyDescent="0.2">
      <c r="A2739" t="s">
        <v>5482</v>
      </c>
      <c r="B2739" s="3" t="str">
        <f>HYPERLINK("http://www.ncbi.nlm.nih.gov/gene/72042","Cotl1")</f>
        <v>Cotl1</v>
      </c>
      <c r="C2739">
        <v>72042</v>
      </c>
      <c r="D2739" t="s">
        <v>5483</v>
      </c>
      <c r="E2739" s="3" t="str">
        <f>HYPERLINK("http://genome.ucsc.edu/cgi-bin/hgTracks?db=mm10&amp;lastVirtModeType=default&amp;lastVirtModeExtraState=&amp;virtModeType=default&amp;virtMode=0&amp;nonVirtPosition=&amp;position=chr8:119809213-119840579","chr8:119809213-119840579")</f>
        <v>chr8:119809213-119840579</v>
      </c>
      <c r="F2739" t="s">
        <v>25</v>
      </c>
      <c r="G2739">
        <v>-0.34928641794280801</v>
      </c>
      <c r="H2739">
        <v>0.121973196222357</v>
      </c>
      <c r="I2739">
        <v>-2.8636325747015801</v>
      </c>
      <c r="J2739">
        <v>4.1881351049006003E-3</v>
      </c>
      <c r="K2739">
        <v>2.04645370393714E-2</v>
      </c>
      <c r="L2739" t="s">
        <v>26</v>
      </c>
      <c r="M2739" t="s">
        <v>27</v>
      </c>
      <c r="N2739">
        <v>668.00095166782501</v>
      </c>
      <c r="O2739">
        <v>762.72534777914302</v>
      </c>
      <c r="P2739">
        <v>596.95765458433698</v>
      </c>
      <c r="Q2739">
        <v>663.69671483882405</v>
      </c>
      <c r="R2739">
        <v>831.70603110235504</v>
      </c>
      <c r="S2739">
        <v>792.773297396251</v>
      </c>
      <c r="T2739">
        <v>618.69888660347101</v>
      </c>
      <c r="U2739">
        <v>597.41063210206403</v>
      </c>
      <c r="V2739">
        <v>623.09861942994303</v>
      </c>
      <c r="W2739">
        <v>548.62248020186996</v>
      </c>
    </row>
    <row r="2740" spans="1:23" x14ac:dyDescent="0.2">
      <c r="A2740" t="s">
        <v>5484</v>
      </c>
      <c r="B2740" s="3" t="str">
        <f>HYPERLINK("http://www.ncbi.nlm.nih.gov/gene/241764","L3mbtl1")</f>
        <v>L3mbtl1</v>
      </c>
      <c r="C2740">
        <v>241764</v>
      </c>
      <c r="D2740" t="s">
        <v>5485</v>
      </c>
      <c r="E2740" s="3" t="str">
        <f>HYPERLINK("http://genome.ucsc.edu/cgi-bin/hgTracks?db=mm10&amp;lastVirtModeType=default&amp;lastVirtModeExtraState=&amp;virtModeType=default&amp;virtMode=0&amp;nonVirtPosition=&amp;position=chr2:162943464-162974522","chr2:162943464-162974522")</f>
        <v>chr2:162943464-162974522</v>
      </c>
      <c r="F2740" t="s">
        <v>30</v>
      </c>
      <c r="G2740">
        <v>1.0961061885536101</v>
      </c>
      <c r="H2740">
        <v>0.382788220562362</v>
      </c>
      <c r="I2740">
        <v>2.8634794115223801</v>
      </c>
      <c r="J2740">
        <v>4.1901604418374599E-3</v>
      </c>
      <c r="K2740">
        <v>2.04645370393714E-2</v>
      </c>
      <c r="L2740" t="s">
        <v>26</v>
      </c>
      <c r="M2740" t="s">
        <v>27</v>
      </c>
      <c r="N2740">
        <v>13.078202852343701</v>
      </c>
      <c r="O2740">
        <v>5.2074848288005802</v>
      </c>
      <c r="P2740">
        <v>18.981241370001001</v>
      </c>
      <c r="Q2740">
        <v>3.8975478220400701</v>
      </c>
      <c r="R2740">
        <v>7.58509832286689</v>
      </c>
      <c r="S2740">
        <v>4.1398083414947804</v>
      </c>
      <c r="T2740">
        <v>32.0806830090688</v>
      </c>
      <c r="U2740">
        <v>10.7062837294277</v>
      </c>
      <c r="V2740">
        <v>8.0921898627265296</v>
      </c>
      <c r="W2740">
        <v>25.045808878780999</v>
      </c>
    </row>
    <row r="2741" spans="1:23" x14ac:dyDescent="0.2">
      <c r="A2741" t="s">
        <v>5486</v>
      </c>
      <c r="B2741" s="3" t="str">
        <f>HYPERLINK("http://www.ncbi.nlm.nih.gov/gene/66208","Nenf")</f>
        <v>Nenf</v>
      </c>
      <c r="C2741">
        <v>66208</v>
      </c>
      <c r="D2741" t="s">
        <v>5487</v>
      </c>
      <c r="E2741" s="3" t="str">
        <f>HYPERLINK("http://genome.ucsc.edu/cgi-bin/hgTracks?db=mm10&amp;lastVirtModeType=default&amp;lastVirtModeExtraState=&amp;virtModeType=default&amp;virtMode=0&amp;nonVirtPosition=&amp;position=chr1:191306796-191318118","chr1:191306796-191318118")</f>
        <v>chr1:191306796-191318118</v>
      </c>
      <c r="F2741" t="s">
        <v>25</v>
      </c>
      <c r="G2741">
        <v>-0.55290150966065499</v>
      </c>
      <c r="H2741">
        <v>0.19308856528511401</v>
      </c>
      <c r="I2741">
        <v>-2.8634606551881601</v>
      </c>
      <c r="J2741">
        <v>4.19040852527491E-3</v>
      </c>
      <c r="K2741">
        <v>2.04645370393714E-2</v>
      </c>
      <c r="L2741" t="s">
        <v>26</v>
      </c>
      <c r="M2741" t="s">
        <v>27</v>
      </c>
      <c r="N2741">
        <v>95.756389606457802</v>
      </c>
      <c r="O2741">
        <v>121.35066968147601</v>
      </c>
      <c r="P2741">
        <v>76.560679550194394</v>
      </c>
      <c r="Q2741">
        <v>122.49436012126</v>
      </c>
      <c r="R2741">
        <v>115.29349450757699</v>
      </c>
      <c r="S2741">
        <v>126.26415441559099</v>
      </c>
      <c r="T2741">
        <v>45.829547155812598</v>
      </c>
      <c r="U2741">
        <v>85.650269835421398</v>
      </c>
      <c r="V2741">
        <v>75.772323260075694</v>
      </c>
      <c r="W2741">
        <v>98.990577949467905</v>
      </c>
    </row>
    <row r="2742" spans="1:23" x14ac:dyDescent="0.2">
      <c r="A2742" t="s">
        <v>5488</v>
      </c>
      <c r="B2742" s="3" t="str">
        <f>HYPERLINK("http://www.ncbi.nlm.nih.gov/gene/387524","Znrf2")</f>
        <v>Znrf2</v>
      </c>
      <c r="C2742">
        <v>387524</v>
      </c>
      <c r="D2742" t="s">
        <v>5489</v>
      </c>
      <c r="E2742" s="3" t="str">
        <f>HYPERLINK("http://genome.ucsc.edu/cgi-bin/hgTracks?db=mm10&amp;lastVirtModeType=default&amp;lastVirtModeExtraState=&amp;virtModeType=default&amp;virtMode=0&amp;nonVirtPosition=&amp;position=chr6:54816915-54890224","chr6:54816915-54890224")</f>
        <v>chr6:54816915-54890224</v>
      </c>
      <c r="F2742" t="s">
        <v>30</v>
      </c>
      <c r="G2742">
        <v>0.41915813311259498</v>
      </c>
      <c r="H2742">
        <v>0.146398584644368</v>
      </c>
      <c r="I2742">
        <v>2.8631296820991601</v>
      </c>
      <c r="J2742">
        <v>4.1947883825523297E-3</v>
      </c>
      <c r="K2742">
        <v>2.0465760789414401E-2</v>
      </c>
      <c r="L2742" t="s">
        <v>26</v>
      </c>
      <c r="M2742" t="s">
        <v>27</v>
      </c>
      <c r="N2742">
        <v>193.71866282139601</v>
      </c>
      <c r="O2742">
        <v>159.337505598543</v>
      </c>
      <c r="P2742">
        <v>219.504530738536</v>
      </c>
      <c r="Q2742">
        <v>148.10681723752299</v>
      </c>
      <c r="R2742">
        <v>176.73279092279901</v>
      </c>
      <c r="S2742">
        <v>153.17290863530701</v>
      </c>
      <c r="T2742">
        <v>242.89659992580701</v>
      </c>
      <c r="U2742">
        <v>214.12567458855401</v>
      </c>
      <c r="V2742">
        <v>192.00559583378401</v>
      </c>
      <c r="W2742">
        <v>228.99025260599799</v>
      </c>
    </row>
    <row r="2743" spans="1:23" x14ac:dyDescent="0.2">
      <c r="A2743" t="s">
        <v>5490</v>
      </c>
      <c r="B2743" s="3" t="str">
        <f>HYPERLINK("http://www.ncbi.nlm.nih.gov/gene/66994","Cep19")</f>
        <v>Cep19</v>
      </c>
      <c r="C2743">
        <v>66994</v>
      </c>
      <c r="D2743" t="s">
        <v>5491</v>
      </c>
      <c r="E2743" s="3" t="str">
        <f>HYPERLINK("http://genome.ucsc.edu/cgi-bin/hgTracks?db=mm10&amp;lastVirtModeType=default&amp;lastVirtModeExtraState=&amp;virtModeType=default&amp;virtMode=0&amp;nonVirtPosition=&amp;position=chr16:32099801-32108054","chr16:32099801-32108054")</f>
        <v>chr16:32099801-32108054</v>
      </c>
      <c r="F2743" t="s">
        <v>30</v>
      </c>
      <c r="G2743">
        <v>-0.55702824655482697</v>
      </c>
      <c r="H2743">
        <v>0.19455276151866399</v>
      </c>
      <c r="I2743">
        <v>-2.86312176813481</v>
      </c>
      <c r="J2743">
        <v>4.19489316102161E-3</v>
      </c>
      <c r="K2743">
        <v>2.0465760789414401E-2</v>
      </c>
      <c r="L2743" t="s">
        <v>26</v>
      </c>
      <c r="M2743" t="s">
        <v>27</v>
      </c>
      <c r="N2743">
        <v>71.700133877240106</v>
      </c>
      <c r="O2743">
        <v>89.314138469273601</v>
      </c>
      <c r="P2743">
        <v>58.489630433214899</v>
      </c>
      <c r="Q2743">
        <v>85.746052084881697</v>
      </c>
      <c r="R2743">
        <v>97.847768364982898</v>
      </c>
      <c r="S2743">
        <v>84.348594957956195</v>
      </c>
      <c r="T2743">
        <v>54.995456586975202</v>
      </c>
      <c r="U2743">
        <v>57.8139321389095</v>
      </c>
      <c r="V2743">
        <v>60.3235971585069</v>
      </c>
      <c r="W2743">
        <v>60.825535848468199</v>
      </c>
    </row>
    <row r="2744" spans="1:23" x14ac:dyDescent="0.2">
      <c r="A2744" t="s">
        <v>5492</v>
      </c>
      <c r="B2744" s="3" t="str">
        <f>HYPERLINK("http://www.ncbi.nlm.nih.gov/gene/216395","Tmem5")</f>
        <v>Tmem5</v>
      </c>
      <c r="C2744">
        <v>216395</v>
      </c>
      <c r="D2744" t="s">
        <v>5493</v>
      </c>
      <c r="E2744" s="3" t="str">
        <f>HYPERLINK("http://genome.ucsc.edu/cgi-bin/hgTracks?db=mm10&amp;lastVirtModeType=default&amp;lastVirtModeExtraState=&amp;virtModeType=default&amp;virtMode=0&amp;nonVirtPosition=&amp;position=chr10:122081259-122097102","chr10:122081259-122097102")</f>
        <v>chr10:122081259-122097102</v>
      </c>
      <c r="F2744" t="s">
        <v>25</v>
      </c>
      <c r="G2744">
        <v>-0.54158816736620297</v>
      </c>
      <c r="H2744">
        <v>0.189169800350308</v>
      </c>
      <c r="I2744">
        <v>-2.8629737218270601</v>
      </c>
      <c r="J2744">
        <v>4.1968536865694302E-3</v>
      </c>
      <c r="K2744">
        <v>2.0465760789414401E-2</v>
      </c>
      <c r="L2744" t="s">
        <v>26</v>
      </c>
      <c r="M2744" t="s">
        <v>27</v>
      </c>
      <c r="N2744">
        <v>102.568091498436</v>
      </c>
      <c r="O2744">
        <v>126.22514885950901</v>
      </c>
      <c r="P2744">
        <v>84.825298477631904</v>
      </c>
      <c r="Q2744">
        <v>120.26718993723701</v>
      </c>
      <c r="R2744">
        <v>147.15090746361801</v>
      </c>
      <c r="S2744">
        <v>111.257349177672</v>
      </c>
      <c r="T2744">
        <v>77.910230164881497</v>
      </c>
      <c r="U2744">
        <v>100.63906705661999</v>
      </c>
      <c r="V2744">
        <v>86.807127618339194</v>
      </c>
      <c r="W2744">
        <v>73.944769070686903</v>
      </c>
    </row>
    <row r="2745" spans="1:23" x14ac:dyDescent="0.2">
      <c r="A2745" t="s">
        <v>5494</v>
      </c>
      <c r="B2745" s="3" t="str">
        <f>HYPERLINK("http://www.ncbi.nlm.nih.gov/gene/494448","Cbx6")</f>
        <v>Cbx6</v>
      </c>
      <c r="C2745">
        <v>494448</v>
      </c>
      <c r="D2745" t="s">
        <v>5495</v>
      </c>
      <c r="E2745" s="3" t="str">
        <f>HYPERLINK("http://genome.ucsc.edu/cgi-bin/hgTracks?db=mm10&amp;lastVirtModeType=default&amp;lastVirtModeExtraState=&amp;virtModeType=default&amp;virtMode=0&amp;nonVirtPosition=&amp;position=chr15:79823897-79834333","chr15:79823897-79834333")</f>
        <v>chr15:79823897-79834333</v>
      </c>
      <c r="F2745" t="s">
        <v>25</v>
      </c>
      <c r="G2745">
        <v>0.382156875050571</v>
      </c>
      <c r="H2745">
        <v>0.13348929298265999</v>
      </c>
      <c r="I2745">
        <v>2.8628279205899601</v>
      </c>
      <c r="J2745">
        <v>4.1987852937687802E-3</v>
      </c>
      <c r="K2745">
        <v>2.0465760789414401E-2</v>
      </c>
      <c r="L2745" t="s">
        <v>26</v>
      </c>
      <c r="M2745" t="s">
        <v>27</v>
      </c>
      <c r="N2745">
        <v>676.85383008202996</v>
      </c>
      <c r="O2745">
        <v>576.47041998439101</v>
      </c>
      <c r="P2745">
        <v>752.14138765525797</v>
      </c>
      <c r="Q2745">
        <v>633.62991735451499</v>
      </c>
      <c r="R2745">
        <v>503.27127372221798</v>
      </c>
      <c r="S2745">
        <v>592.51006887644098</v>
      </c>
      <c r="T2745">
        <v>637.03070546579602</v>
      </c>
      <c r="U2745">
        <v>865.06772533775597</v>
      </c>
      <c r="V2745">
        <v>731.23970214092503</v>
      </c>
      <c r="W2745">
        <v>775.227417676556</v>
      </c>
    </row>
    <row r="2746" spans="1:23" x14ac:dyDescent="0.2">
      <c r="A2746" t="s">
        <v>5496</v>
      </c>
      <c r="B2746" s="3" t="str">
        <f>HYPERLINK("http://www.ncbi.nlm.nih.gov/gene/74205","Acsl3")</f>
        <v>Acsl3</v>
      </c>
      <c r="C2746">
        <v>74205</v>
      </c>
      <c r="D2746" t="s">
        <v>5497</v>
      </c>
      <c r="E2746" s="3" t="str">
        <f>HYPERLINK("http://genome.ucsc.edu/cgi-bin/hgTracks?db=mm10&amp;lastVirtModeType=default&amp;lastVirtModeExtraState=&amp;virtModeType=default&amp;virtMode=0&amp;nonVirtPosition=&amp;position=chr1:78657824-78707743","chr1:78657824-78707743")</f>
        <v>chr1:78657824-78707743</v>
      </c>
      <c r="F2746" t="s">
        <v>30</v>
      </c>
      <c r="G2746">
        <v>-0.47219260126843798</v>
      </c>
      <c r="H2746">
        <v>0.16494906871562401</v>
      </c>
      <c r="I2746">
        <v>-2.86265697008881</v>
      </c>
      <c r="J2746">
        <v>4.2010511111070601E-3</v>
      </c>
      <c r="K2746">
        <v>2.0465760789414401E-2</v>
      </c>
      <c r="L2746" t="s">
        <v>26</v>
      </c>
      <c r="M2746" t="s">
        <v>27</v>
      </c>
      <c r="N2746">
        <v>459.57870128680599</v>
      </c>
      <c r="O2746">
        <v>554.483505866266</v>
      </c>
      <c r="P2746">
        <v>388.40009785221099</v>
      </c>
      <c r="Q2746">
        <v>458.24026536271202</v>
      </c>
      <c r="R2746">
        <v>675.83226056744002</v>
      </c>
      <c r="S2746">
        <v>529.377991668645</v>
      </c>
      <c r="T2746">
        <v>302.47501122836297</v>
      </c>
      <c r="U2746">
        <v>404.69752497236601</v>
      </c>
      <c r="V2746">
        <v>397.98861052136903</v>
      </c>
      <c r="W2746">
        <v>448.43924468674601</v>
      </c>
    </row>
    <row r="2747" spans="1:23" x14ac:dyDescent="0.2">
      <c r="A2747" t="s">
        <v>5498</v>
      </c>
      <c r="B2747" s="3" t="str">
        <f>HYPERLINK("http://www.ncbi.nlm.nih.gov/gene/240427","Setbp1")</f>
        <v>Setbp1</v>
      </c>
      <c r="C2747">
        <v>240427</v>
      </c>
      <c r="D2747" t="s">
        <v>5499</v>
      </c>
      <c r="E2747" s="3" t="str">
        <f>HYPERLINK("http://genome.ucsc.edu/cgi-bin/hgTracks?db=mm10&amp;lastVirtModeType=default&amp;lastVirtModeExtraState=&amp;virtModeType=default&amp;virtMode=0&amp;nonVirtPosition=&amp;position=chr18:78750377-79109391","chr18:78750377-79109391")</f>
        <v>chr18:78750377-79109391</v>
      </c>
      <c r="F2747" t="s">
        <v>25</v>
      </c>
      <c r="G2747">
        <v>0.35032816822931401</v>
      </c>
      <c r="H2747">
        <v>0.122382840244476</v>
      </c>
      <c r="I2747">
        <v>2.8625595510733901</v>
      </c>
      <c r="J2747">
        <v>4.2023428212662204E-3</v>
      </c>
      <c r="K2747">
        <v>2.0465760789414401E-2</v>
      </c>
      <c r="L2747" t="s">
        <v>26</v>
      </c>
      <c r="M2747" t="s">
        <v>27</v>
      </c>
      <c r="N2747">
        <v>373.34380096861599</v>
      </c>
      <c r="O2747">
        <v>318.56549637381698</v>
      </c>
      <c r="P2747">
        <v>414.42752941471502</v>
      </c>
      <c r="Q2747">
        <v>323.49646922932601</v>
      </c>
      <c r="R2747">
        <v>317.05710989583599</v>
      </c>
      <c r="S2747">
        <v>315.14290999628997</v>
      </c>
      <c r="T2747">
        <v>449.129562126964</v>
      </c>
      <c r="U2747">
        <v>426.11009243122197</v>
      </c>
      <c r="V2747">
        <v>353.11373946443001</v>
      </c>
      <c r="W2747">
        <v>429.35672363624599</v>
      </c>
    </row>
    <row r="2748" spans="1:23" x14ac:dyDescent="0.2">
      <c r="A2748" t="s">
        <v>5500</v>
      </c>
      <c r="B2748" s="3" t="str">
        <f>HYPERLINK("http://www.ncbi.nlm.nih.gov/gene/26360","Angptl2")</f>
        <v>Angptl2</v>
      </c>
      <c r="C2748">
        <v>26360</v>
      </c>
      <c r="D2748" t="s">
        <v>5501</v>
      </c>
      <c r="E2748" s="3" t="str">
        <f>HYPERLINK("http://genome.ucsc.edu/cgi-bin/hgTracks?db=mm10&amp;lastVirtModeType=default&amp;lastVirtModeExtraState=&amp;virtModeType=default&amp;virtMode=0&amp;nonVirtPosition=&amp;position=chr2:33215960-33247714","chr2:33215960-33247714")</f>
        <v>chr2:33215960-33247714</v>
      </c>
      <c r="F2748" t="s">
        <v>30</v>
      </c>
      <c r="G2748">
        <v>0.56913436231744297</v>
      </c>
      <c r="H2748">
        <v>0.19882250884786701</v>
      </c>
      <c r="I2748">
        <v>2.8625247997093202</v>
      </c>
      <c r="J2748">
        <v>4.2028036879900501E-3</v>
      </c>
      <c r="K2748">
        <v>2.0465760789414401E-2</v>
      </c>
      <c r="L2748" t="s">
        <v>26</v>
      </c>
      <c r="M2748" t="s">
        <v>27</v>
      </c>
      <c r="N2748">
        <v>72.336596044798299</v>
      </c>
      <c r="O2748">
        <v>56.783152390229702</v>
      </c>
      <c r="P2748">
        <v>84.001678785724806</v>
      </c>
      <c r="Q2748">
        <v>59.0200098766068</v>
      </c>
      <c r="R2748">
        <v>52.337178427781602</v>
      </c>
      <c r="S2748">
        <v>58.992268866300599</v>
      </c>
      <c r="T2748">
        <v>77.910230164881497</v>
      </c>
      <c r="U2748">
        <v>68.520215868337104</v>
      </c>
      <c r="V2748">
        <v>94.163663857181504</v>
      </c>
      <c r="W2748">
        <v>95.412605252499205</v>
      </c>
    </row>
    <row r="2749" spans="1:23" x14ac:dyDescent="0.2">
      <c r="A2749" t="s">
        <v>5502</v>
      </c>
      <c r="B2749" s="3" t="str">
        <f>HYPERLINK("http://www.ncbi.nlm.nih.gov/gene/76763","Mospd2")</f>
        <v>Mospd2</v>
      </c>
      <c r="C2749">
        <v>76763</v>
      </c>
      <c r="D2749" t="s">
        <v>5503</v>
      </c>
      <c r="E2749" s="3" t="str">
        <f>HYPERLINK("http://genome.ucsc.edu/cgi-bin/hgTracks?db=mm10&amp;lastVirtModeType=default&amp;lastVirtModeExtraState=&amp;virtModeType=default&amp;virtMode=0&amp;nonVirtPosition=&amp;position=chrX:164936170-164980375","chrX:164936170-164980375")</f>
        <v>chrX:164936170-164980375</v>
      </c>
      <c r="F2749" t="s">
        <v>25</v>
      </c>
      <c r="G2749">
        <v>-0.46893487640294301</v>
      </c>
      <c r="H2749">
        <v>0.16381897869980599</v>
      </c>
      <c r="I2749">
        <v>-2.8625186173468502</v>
      </c>
      <c r="J2749">
        <v>4.2028856822410197E-3</v>
      </c>
      <c r="K2749">
        <v>2.0465760789414401E-2</v>
      </c>
      <c r="L2749" t="s">
        <v>26</v>
      </c>
      <c r="M2749" t="s">
        <v>27</v>
      </c>
      <c r="N2749">
        <v>157.513039790785</v>
      </c>
      <c r="O2749">
        <v>189.31232352087699</v>
      </c>
      <c r="P2749">
        <v>133.663576993216</v>
      </c>
      <c r="Q2749">
        <v>221.603433310279</v>
      </c>
      <c r="R2749">
        <v>165.734398354642</v>
      </c>
      <c r="S2749">
        <v>180.59913889770999</v>
      </c>
      <c r="T2749">
        <v>128.322732036275</v>
      </c>
      <c r="U2749">
        <v>130.61666149901799</v>
      </c>
      <c r="V2749">
        <v>130.210691427509</v>
      </c>
      <c r="W2749">
        <v>145.504223010061</v>
      </c>
    </row>
    <row r="2750" spans="1:23" x14ac:dyDescent="0.2">
      <c r="A2750" t="s">
        <v>5504</v>
      </c>
      <c r="B2750" s="3" t="str">
        <f>HYPERLINK("http://www.ncbi.nlm.nih.gov/gene/353499","Tmc4")</f>
        <v>Tmc4</v>
      </c>
      <c r="C2750">
        <v>353499</v>
      </c>
      <c r="D2750" t="s">
        <v>5505</v>
      </c>
      <c r="E2750" s="3" t="str">
        <f>HYPERLINK("http://genome.ucsc.edu/cgi-bin/hgTracks?db=mm10&amp;lastVirtModeType=default&amp;lastVirtModeExtraState=&amp;virtModeType=default&amp;virtMode=0&amp;nonVirtPosition=&amp;position=chr7:3665753-3677553","chr7:3665753-3677553")</f>
        <v>chr7:3665753-3677553</v>
      </c>
      <c r="F2750" t="s">
        <v>25</v>
      </c>
      <c r="G2750">
        <v>0.96168891477770901</v>
      </c>
      <c r="H2750">
        <v>0.33602555410818002</v>
      </c>
      <c r="I2750">
        <v>2.86195172664786</v>
      </c>
      <c r="J2750">
        <v>4.2104103011660803E-3</v>
      </c>
      <c r="K2750">
        <v>2.0494948870561601E-2</v>
      </c>
      <c r="L2750" t="s">
        <v>26</v>
      </c>
      <c r="M2750" t="s">
        <v>27</v>
      </c>
      <c r="N2750">
        <v>21.7842551887592</v>
      </c>
      <c r="O2750">
        <v>11.2384329813255</v>
      </c>
      <c r="P2750">
        <v>29.693621844334402</v>
      </c>
      <c r="Q2750">
        <v>13.9198136501431</v>
      </c>
      <c r="R2750">
        <v>10.998392568157</v>
      </c>
      <c r="S2750">
        <v>8.7970927256764107</v>
      </c>
      <c r="T2750">
        <v>50.4125018713939</v>
      </c>
      <c r="U2750">
        <v>23.553824204740899</v>
      </c>
      <c r="V2750">
        <v>16.184379725453098</v>
      </c>
      <c r="W2750">
        <v>28.623781575749799</v>
      </c>
    </row>
    <row r="2751" spans="1:23" x14ac:dyDescent="0.2">
      <c r="A2751" t="s">
        <v>5506</v>
      </c>
      <c r="B2751" s="3" t="str">
        <f>HYPERLINK("http://www.ncbi.nlm.nih.gov/gene/106581","Fam234a")</f>
        <v>Fam234a</v>
      </c>
      <c r="C2751">
        <v>106581</v>
      </c>
      <c r="D2751" t="s">
        <v>5507</v>
      </c>
      <c r="E2751" s="3" t="str">
        <f>HYPERLINK("http://genome.ucsc.edu/cgi-bin/hgTracks?db=mm10&amp;lastVirtModeType=default&amp;lastVirtModeExtraState=&amp;virtModeType=default&amp;virtMode=0&amp;nonVirtPosition=&amp;position=chr17:26212691-26244242","chr17:26212691-26244242")</f>
        <v>chr17:26212691-26244242</v>
      </c>
      <c r="F2751" t="s">
        <v>25</v>
      </c>
      <c r="G2751">
        <v>-0.68051125862983697</v>
      </c>
      <c r="H2751">
        <v>0.23780347670958801</v>
      </c>
      <c r="I2751">
        <v>-2.8616539507573902</v>
      </c>
      <c r="J2751">
        <v>4.2143677203370002E-3</v>
      </c>
      <c r="K2751">
        <v>2.0506758046160201E-2</v>
      </c>
      <c r="L2751" t="s">
        <v>26</v>
      </c>
      <c r="M2751" t="s">
        <v>27</v>
      </c>
      <c r="N2751">
        <v>241.016455643543</v>
      </c>
      <c r="O2751">
        <v>316.41097747914603</v>
      </c>
      <c r="P2751">
        <v>184.47056426684199</v>
      </c>
      <c r="Q2751">
        <v>479.39838211092899</v>
      </c>
      <c r="R2751">
        <v>228.69071443443701</v>
      </c>
      <c r="S2751">
        <v>241.143835892071</v>
      </c>
      <c r="T2751">
        <v>137.48864146743799</v>
      </c>
      <c r="U2751">
        <v>201.27813411323999</v>
      </c>
      <c r="V2751">
        <v>211.86824367865799</v>
      </c>
      <c r="W2751">
        <v>187.24723780803001</v>
      </c>
    </row>
    <row r="2752" spans="1:23" x14ac:dyDescent="0.2">
      <c r="A2752" t="s">
        <v>5508</v>
      </c>
      <c r="B2752" s="3" t="str">
        <f>HYPERLINK("http://www.ncbi.nlm.nih.gov/gene/108148","Galnt2")</f>
        <v>Galnt2</v>
      </c>
      <c r="C2752">
        <v>108148</v>
      </c>
      <c r="D2752" t="s">
        <v>5509</v>
      </c>
      <c r="E2752" s="3" t="str">
        <f>HYPERLINK("http://genome.ucsc.edu/cgi-bin/hgTracks?db=mm10&amp;lastVirtModeType=default&amp;lastVirtModeExtraState=&amp;virtModeType=default&amp;virtMode=0&amp;nonVirtPosition=&amp;position=chr8:124231393-124345723","chr8:124231393-124345723")</f>
        <v>chr8:124231393-124345723</v>
      </c>
      <c r="F2752" t="s">
        <v>30</v>
      </c>
      <c r="G2752">
        <v>-0.461661477280434</v>
      </c>
      <c r="H2752">
        <v>0.16134301877669499</v>
      </c>
      <c r="I2752">
        <v>-2.8613663037964501</v>
      </c>
      <c r="J2752">
        <v>4.2181937302653797E-3</v>
      </c>
      <c r="K2752">
        <v>2.0517919448595601E-2</v>
      </c>
      <c r="L2752" t="s">
        <v>26</v>
      </c>
      <c r="M2752" t="s">
        <v>27</v>
      </c>
      <c r="N2752">
        <v>933.24311569354495</v>
      </c>
      <c r="O2752">
        <v>1119.025106004</v>
      </c>
      <c r="P2752">
        <v>793.90662296070002</v>
      </c>
      <c r="Q2752">
        <v>1026.16866228855</v>
      </c>
      <c r="R2752">
        <v>1055.8456865430701</v>
      </c>
      <c r="S2752">
        <v>1275.06096918039</v>
      </c>
      <c r="T2752">
        <v>577.452294163239</v>
      </c>
      <c r="U2752">
        <v>950.717995173178</v>
      </c>
      <c r="V2752">
        <v>880.57738778942303</v>
      </c>
      <c r="W2752">
        <v>766.87881471696198</v>
      </c>
    </row>
    <row r="2753" spans="1:23" x14ac:dyDescent="0.2">
      <c r="A2753" t="s">
        <v>5510</v>
      </c>
      <c r="B2753" s="3" t="str">
        <f>HYPERLINK("http://www.ncbi.nlm.nih.gov/gene/53872","Caprin1")</f>
        <v>Caprin1</v>
      </c>
      <c r="C2753">
        <v>53872</v>
      </c>
      <c r="D2753" t="s">
        <v>5511</v>
      </c>
      <c r="E2753" s="3" t="str">
        <f>HYPERLINK("http://genome.ucsc.edu/cgi-bin/hgTracks?db=mm10&amp;lastVirtModeType=default&amp;lastVirtModeExtraState=&amp;virtModeType=default&amp;virtMode=0&amp;nonVirtPosition=&amp;position=chr2:103762944-103797640","chr2:103762944-103797640")</f>
        <v>chr2:103762944-103797640</v>
      </c>
      <c r="F2753" t="s">
        <v>25</v>
      </c>
      <c r="G2753">
        <v>-0.319739596639808</v>
      </c>
      <c r="H2753">
        <v>0.111757416316315</v>
      </c>
      <c r="I2753">
        <v>-2.8610145722662899</v>
      </c>
      <c r="J2753">
        <v>4.2228764145436802E-3</v>
      </c>
      <c r="K2753">
        <v>2.0533238223367601E-2</v>
      </c>
      <c r="L2753" t="s">
        <v>26</v>
      </c>
      <c r="M2753" t="s">
        <v>27</v>
      </c>
      <c r="N2753">
        <v>2006.9794460533501</v>
      </c>
      <c r="O2753">
        <v>2272.2774999722701</v>
      </c>
      <c r="P2753">
        <v>1808.0059056141599</v>
      </c>
      <c r="Q2753">
        <v>2164.8094188702598</v>
      </c>
      <c r="R2753">
        <v>2387.03044220621</v>
      </c>
      <c r="S2753">
        <v>2264.9926388403301</v>
      </c>
      <c r="T2753">
        <v>1782.76938436111</v>
      </c>
      <c r="U2753">
        <v>1608.08381616004</v>
      </c>
      <c r="V2753">
        <v>2006.8630859561799</v>
      </c>
      <c r="W2753">
        <v>1834.3073359793</v>
      </c>
    </row>
    <row r="2754" spans="1:23" x14ac:dyDescent="0.2">
      <c r="A2754" t="s">
        <v>5512</v>
      </c>
      <c r="B2754" s="3" t="str">
        <f>HYPERLINK("http://www.ncbi.nlm.nih.gov/gene/67865","Rgs10")</f>
        <v>Rgs10</v>
      </c>
      <c r="C2754">
        <v>67865</v>
      </c>
      <c r="D2754" t="s">
        <v>5513</v>
      </c>
      <c r="E2754" s="3" t="str">
        <f>HYPERLINK("http://genome.ucsc.edu/cgi-bin/hgTracks?db=mm10&amp;lastVirtModeType=default&amp;lastVirtModeExtraState=&amp;virtModeType=default&amp;virtMode=0&amp;nonVirtPosition=&amp;position=chr7:128373624-128418172","chr7:128373624-128418172")</f>
        <v>chr7:128373624-128418172</v>
      </c>
      <c r="F2754" t="s">
        <v>25</v>
      </c>
      <c r="G2754">
        <v>0.74141408295700195</v>
      </c>
      <c r="H2754">
        <v>0.25932899577305302</v>
      </c>
      <c r="I2754">
        <v>2.8589710176714598</v>
      </c>
      <c r="J2754">
        <v>4.2501761366253903E-3</v>
      </c>
      <c r="K2754">
        <v>2.0658478637223501E-2</v>
      </c>
      <c r="L2754" t="s">
        <v>26</v>
      </c>
      <c r="M2754" t="s">
        <v>27</v>
      </c>
      <c r="N2754">
        <v>94.508917567406101</v>
      </c>
      <c r="O2754">
        <v>63.461404866649502</v>
      </c>
      <c r="P2754">
        <v>117.794552092974</v>
      </c>
      <c r="Q2754">
        <v>86.302844630887407</v>
      </c>
      <c r="R2754">
        <v>58.026002169931701</v>
      </c>
      <c r="S2754">
        <v>46.055367799129399</v>
      </c>
      <c r="T2754">
        <v>178.735233907669</v>
      </c>
      <c r="U2754">
        <v>77.0852428518793</v>
      </c>
      <c r="V2754">
        <v>94.899317481065694</v>
      </c>
      <c r="W2754">
        <v>120.45841413127999</v>
      </c>
    </row>
    <row r="2755" spans="1:23" x14ac:dyDescent="0.2">
      <c r="A2755" t="s">
        <v>5514</v>
      </c>
      <c r="B2755" s="3" t="str">
        <f>HYPERLINK("http://www.ncbi.nlm.nih.gov/gene/59125","Nek7")</f>
        <v>Nek7</v>
      </c>
      <c r="C2755">
        <v>59125</v>
      </c>
      <c r="D2755" t="s">
        <v>5515</v>
      </c>
      <c r="E2755" s="3" t="str">
        <f>HYPERLINK("http://genome.ucsc.edu/cgi-bin/hgTracks?db=mm10&amp;lastVirtModeType=default&amp;lastVirtModeExtraState=&amp;virtModeType=default&amp;virtMode=0&amp;nonVirtPosition=&amp;position=chr1:138483836-138619757","chr1:138483836-138619757")</f>
        <v>chr1:138483836-138619757</v>
      </c>
      <c r="F2755" t="s">
        <v>25</v>
      </c>
      <c r="G2755">
        <v>-0.44497181121965101</v>
      </c>
      <c r="H2755">
        <v>0.15567031253180699</v>
      </c>
      <c r="I2755">
        <v>-2.8584243455458598</v>
      </c>
      <c r="J2755">
        <v>4.2575061822275702E-3</v>
      </c>
      <c r="K2755">
        <v>2.0686598434763899E-2</v>
      </c>
      <c r="L2755" t="s">
        <v>26</v>
      </c>
      <c r="M2755" t="s">
        <v>27</v>
      </c>
      <c r="N2755">
        <v>415.90483690554998</v>
      </c>
      <c r="O2755">
        <v>491.14653481340503</v>
      </c>
      <c r="P2755">
        <v>359.47356347465802</v>
      </c>
      <c r="Q2755">
        <v>597.43840186414297</v>
      </c>
      <c r="R2755">
        <v>430.45432982269602</v>
      </c>
      <c r="S2755">
        <v>445.54687275337602</v>
      </c>
      <c r="T2755">
        <v>421.63183383347598</v>
      </c>
      <c r="U2755">
        <v>304.05845791574598</v>
      </c>
      <c r="V2755">
        <v>356.79200758385201</v>
      </c>
      <c r="W2755">
        <v>355.41195456555897</v>
      </c>
    </row>
    <row r="2756" spans="1:23" x14ac:dyDescent="0.2">
      <c r="A2756" t="s">
        <v>5516</v>
      </c>
      <c r="B2756" s="3" t="str">
        <f>HYPERLINK("http://www.ncbi.nlm.nih.gov/gene/22218","Sumo1")</f>
        <v>Sumo1</v>
      </c>
      <c r="C2756">
        <v>22218</v>
      </c>
      <c r="D2756" t="s">
        <v>5517</v>
      </c>
      <c r="E2756" s="3" t="str">
        <f>HYPERLINK("http://genome.ucsc.edu/cgi-bin/hgTracks?db=mm10&amp;lastVirtModeType=default&amp;lastVirtModeExtraState=&amp;virtModeType=default&amp;virtMode=0&amp;nonVirtPosition=&amp;position=chr1:59639433-59670834","chr1:59639433-59670834")</f>
        <v>chr1:59639433-59670834</v>
      </c>
      <c r="F2756" t="s">
        <v>25</v>
      </c>
      <c r="G2756">
        <v>-0.714659429682723</v>
      </c>
      <c r="H2756">
        <v>0.250113536623503</v>
      </c>
      <c r="I2756">
        <v>-2.8573400677569198</v>
      </c>
      <c r="J2756">
        <v>4.27207863655757E-3</v>
      </c>
      <c r="K2756">
        <v>2.07498748720139E-2</v>
      </c>
      <c r="L2756" t="s">
        <v>26</v>
      </c>
      <c r="M2756" t="s">
        <v>27</v>
      </c>
      <c r="N2756">
        <v>60.491752935931402</v>
      </c>
      <c r="O2756">
        <v>81.563071984283198</v>
      </c>
      <c r="P2756">
        <v>44.688263649667597</v>
      </c>
      <c r="Q2756">
        <v>81.848504262841601</v>
      </c>
      <c r="R2756">
        <v>101.261062610273</v>
      </c>
      <c r="S2756">
        <v>61.579649079734899</v>
      </c>
      <c r="T2756">
        <v>36.663637724650101</v>
      </c>
      <c r="U2756">
        <v>34.260107934168602</v>
      </c>
      <c r="V2756">
        <v>52.967060919664597</v>
      </c>
      <c r="W2756">
        <v>54.862248020187003</v>
      </c>
    </row>
    <row r="2757" spans="1:23" x14ac:dyDescent="0.2">
      <c r="A2757" t="s">
        <v>5518</v>
      </c>
      <c r="B2757" s="3" t="str">
        <f>HYPERLINK("http://www.ncbi.nlm.nih.gov/gene/238271","Kcnh5")</f>
        <v>Kcnh5</v>
      </c>
      <c r="C2757">
        <v>238271</v>
      </c>
      <c r="D2757" t="s">
        <v>5519</v>
      </c>
      <c r="E2757" s="3" t="str">
        <f>HYPERLINK("http://genome.ucsc.edu/cgi-bin/hgTracks?db=mm10&amp;lastVirtModeType=default&amp;lastVirtModeExtraState=&amp;virtModeType=default&amp;virtMode=0&amp;nonVirtPosition=&amp;position=chr12:74897216-75177332","chr12:74897216-75177332")</f>
        <v>chr12:74897216-75177332</v>
      </c>
      <c r="F2757" t="s">
        <v>25</v>
      </c>
      <c r="G2757">
        <v>0.52951508640207301</v>
      </c>
      <c r="H2757">
        <v>0.185457206326786</v>
      </c>
      <c r="I2757">
        <v>2.8551874412959601</v>
      </c>
      <c r="J2757">
        <v>4.3011435783079097E-3</v>
      </c>
      <c r="K2757">
        <v>2.0882652802608901E-2</v>
      </c>
      <c r="L2757" t="s">
        <v>26</v>
      </c>
      <c r="M2757" t="s">
        <v>27</v>
      </c>
      <c r="N2757">
        <v>180.36696127956799</v>
      </c>
      <c r="O2757">
        <v>144.365183696961</v>
      </c>
      <c r="P2757">
        <v>207.368294466522</v>
      </c>
      <c r="Q2757">
        <v>163.697008525683</v>
      </c>
      <c r="R2757">
        <v>114.15572975914699</v>
      </c>
      <c r="S2757">
        <v>155.24281280605399</v>
      </c>
      <c r="T2757">
        <v>164.98636976092499</v>
      </c>
      <c r="U2757">
        <v>184.14808014615599</v>
      </c>
      <c r="V2757">
        <v>225.110008908574</v>
      </c>
      <c r="W2757">
        <v>255.22871905043499</v>
      </c>
    </row>
    <row r="2758" spans="1:23" x14ac:dyDescent="0.2">
      <c r="A2758" t="s">
        <v>5520</v>
      </c>
      <c r="B2758" s="3" t="str">
        <f>HYPERLINK("http://www.ncbi.nlm.nih.gov/gene/211446","Exoc3")</f>
        <v>Exoc3</v>
      </c>
      <c r="C2758">
        <v>211446</v>
      </c>
      <c r="D2758" t="s">
        <v>5521</v>
      </c>
      <c r="E2758" s="3" t="str">
        <f>HYPERLINK("http://genome.ucsc.edu/cgi-bin/hgTracks?db=mm10&amp;lastVirtModeType=default&amp;lastVirtModeExtraState=&amp;virtModeType=default&amp;virtMode=0&amp;nonVirtPosition=&amp;position=chr13:74169804-74208700","chr13:74169804-74208700")</f>
        <v>chr13:74169804-74208700</v>
      </c>
      <c r="F2758" t="s">
        <v>25</v>
      </c>
      <c r="G2758">
        <v>-0.386646539809885</v>
      </c>
      <c r="H2758">
        <v>0.135423839364436</v>
      </c>
      <c r="I2758">
        <v>-2.8550847592600799</v>
      </c>
      <c r="J2758">
        <v>4.3025344695988297E-3</v>
      </c>
      <c r="K2758">
        <v>2.0882652802608901E-2</v>
      </c>
      <c r="L2758" t="s">
        <v>26</v>
      </c>
      <c r="M2758" t="s">
        <v>27</v>
      </c>
      <c r="N2758">
        <v>389.12874065647799</v>
      </c>
      <c r="O2758">
        <v>451.24003879094602</v>
      </c>
      <c r="P2758">
        <v>342.54526705562699</v>
      </c>
      <c r="Q2758">
        <v>521.71461560736395</v>
      </c>
      <c r="R2758">
        <v>447.520801049147</v>
      </c>
      <c r="S2758">
        <v>384.48469971632801</v>
      </c>
      <c r="T2758">
        <v>348.304558384176</v>
      </c>
      <c r="U2758">
        <v>338.31856584991499</v>
      </c>
      <c r="V2758">
        <v>347.22851047335701</v>
      </c>
      <c r="W2758">
        <v>336.32943351505997</v>
      </c>
    </row>
    <row r="2759" spans="1:23" x14ac:dyDescent="0.2">
      <c r="A2759" t="s">
        <v>5522</v>
      </c>
      <c r="B2759" s="3" t="str">
        <f>HYPERLINK("http://www.ncbi.nlm.nih.gov/gene/225028","Map4k3")</f>
        <v>Map4k3</v>
      </c>
      <c r="C2759">
        <v>225028</v>
      </c>
      <c r="D2759" t="s">
        <v>5523</v>
      </c>
      <c r="E2759" s="3" t="str">
        <f>HYPERLINK("http://genome.ucsc.edu/cgi-bin/hgTracks?db=mm10&amp;lastVirtModeType=default&amp;lastVirtModeExtraState=&amp;virtModeType=default&amp;virtMode=0&amp;nonVirtPosition=&amp;position=chr17:80580512-80728025","chr17:80580512-80728025")</f>
        <v>chr17:80580512-80728025</v>
      </c>
      <c r="F2759" t="s">
        <v>25</v>
      </c>
      <c r="G2759">
        <v>-0.36356133072840102</v>
      </c>
      <c r="H2759">
        <v>0.12734655751204799</v>
      </c>
      <c r="I2759">
        <v>-2.85489720202294</v>
      </c>
      <c r="J2759">
        <v>4.3050761005243099E-3</v>
      </c>
      <c r="K2759">
        <v>2.08874181384496E-2</v>
      </c>
      <c r="L2759" t="s">
        <v>26</v>
      </c>
      <c r="M2759" t="s">
        <v>27</v>
      </c>
      <c r="N2759">
        <v>324.86071610590398</v>
      </c>
      <c r="O2759">
        <v>374.339763481516</v>
      </c>
      <c r="P2759">
        <v>287.75143057419501</v>
      </c>
      <c r="Q2759">
        <v>369.71025054780102</v>
      </c>
      <c r="R2759">
        <v>399.35542669894198</v>
      </c>
      <c r="S2759">
        <v>353.95361319780397</v>
      </c>
      <c r="T2759">
        <v>297.89205651278201</v>
      </c>
      <c r="U2759">
        <v>241.96201228506499</v>
      </c>
      <c r="V2759">
        <v>298.67537129699701</v>
      </c>
      <c r="W2759">
        <v>312.47628220193502</v>
      </c>
    </row>
    <row r="2760" spans="1:23" x14ac:dyDescent="0.2">
      <c r="A2760" t="s">
        <v>5524</v>
      </c>
      <c r="B2760" s="3" t="str">
        <f>HYPERLINK("http://www.ncbi.nlm.nih.gov/gene/29806","Limd1")</f>
        <v>Limd1</v>
      </c>
      <c r="C2760">
        <v>29806</v>
      </c>
      <c r="D2760" t="s">
        <v>5525</v>
      </c>
      <c r="E2760" s="3" t="str">
        <f>HYPERLINK("http://genome.ucsc.edu/cgi-bin/hgTracks?db=mm10&amp;lastVirtModeType=default&amp;lastVirtModeExtraState=&amp;virtModeType=default&amp;virtMode=0&amp;nonVirtPosition=&amp;position=chr9:123478700-123521552","chr9:123478700-123521552")</f>
        <v>chr9:123478700-123521552</v>
      </c>
      <c r="F2760" t="s">
        <v>30</v>
      </c>
      <c r="G2760">
        <v>0.51133754096315198</v>
      </c>
      <c r="H2760">
        <v>0.17922730588240901</v>
      </c>
      <c r="I2760">
        <v>2.8530113670214901</v>
      </c>
      <c r="J2760">
        <v>4.3307072439058803E-3</v>
      </c>
      <c r="K2760">
        <v>2.1004165412221502E-2</v>
      </c>
      <c r="L2760" t="s">
        <v>26</v>
      </c>
      <c r="M2760" t="s">
        <v>27</v>
      </c>
      <c r="N2760">
        <v>1063.7219592429101</v>
      </c>
      <c r="O2760">
        <v>847.01696000889001</v>
      </c>
      <c r="P2760">
        <v>1226.25070866843</v>
      </c>
      <c r="Q2760">
        <v>744.43163400965398</v>
      </c>
      <c r="R2760">
        <v>728.54869391136504</v>
      </c>
      <c r="S2760">
        <v>1068.07055210565</v>
      </c>
      <c r="T2760">
        <v>989.91821856555305</v>
      </c>
      <c r="U2760">
        <v>1376.8280876044</v>
      </c>
      <c r="V2760">
        <v>1462.4794042818501</v>
      </c>
      <c r="W2760">
        <v>1075.7771242219301</v>
      </c>
    </row>
    <row r="2761" spans="1:23" x14ac:dyDescent="0.2">
      <c r="A2761" t="s">
        <v>5526</v>
      </c>
      <c r="B2761" s="3" t="str">
        <f>HYPERLINK("http://www.ncbi.nlm.nih.gov/gene/30959","Ddx25")</f>
        <v>Ddx25</v>
      </c>
      <c r="C2761">
        <v>30959</v>
      </c>
      <c r="D2761" t="s">
        <v>5527</v>
      </c>
      <c r="E2761" s="3" t="str">
        <f>HYPERLINK("http://genome.ucsc.edu/cgi-bin/hgTracks?db=mm10&amp;lastVirtModeType=default&amp;lastVirtModeExtraState=&amp;virtModeType=default&amp;virtMode=0&amp;nonVirtPosition=&amp;position=chr9:35541847-35558470","chr9:35541847-35558470")</f>
        <v>chr9:35541847-35558470</v>
      </c>
      <c r="F2761" t="s">
        <v>25</v>
      </c>
      <c r="G2761">
        <v>-0.48739357311003001</v>
      </c>
      <c r="H2761">
        <v>0.17098711539330599</v>
      </c>
      <c r="I2761">
        <v>-2.8504695923369598</v>
      </c>
      <c r="J2761">
        <v>4.3654724303446701E-3</v>
      </c>
      <c r="K2761">
        <v>2.1161171087476401E-2</v>
      </c>
      <c r="L2761" t="s">
        <v>26</v>
      </c>
      <c r="M2761" t="s">
        <v>27</v>
      </c>
      <c r="N2761">
        <v>174.74211892859199</v>
      </c>
      <c r="O2761">
        <v>210.680553120479</v>
      </c>
      <c r="P2761">
        <v>147.788293284677</v>
      </c>
      <c r="Q2761">
        <v>172.60568926177501</v>
      </c>
      <c r="R2761">
        <v>252.96302906761099</v>
      </c>
      <c r="S2761">
        <v>206.47294103205201</v>
      </c>
      <c r="T2761">
        <v>142.07159618301901</v>
      </c>
      <c r="U2761">
        <v>158.45299919553</v>
      </c>
      <c r="V2761">
        <v>152.280300144036</v>
      </c>
      <c r="W2761">
        <v>138.34827761612399</v>
      </c>
    </row>
    <row r="2762" spans="1:23" x14ac:dyDescent="0.2">
      <c r="A2762" t="s">
        <v>5528</v>
      </c>
      <c r="B2762" s="3" t="str">
        <f>HYPERLINK("http://www.ncbi.nlm.nih.gov/gene/72580","Zufsp")</f>
        <v>Zufsp</v>
      </c>
      <c r="C2762">
        <v>72580</v>
      </c>
      <c r="D2762" t="s">
        <v>5529</v>
      </c>
      <c r="E2762" s="3" t="str">
        <f>HYPERLINK("http://genome.ucsc.edu/cgi-bin/hgTracks?db=mm10&amp;lastVirtModeType=default&amp;lastVirtModeExtraState=&amp;virtModeType=default&amp;virtMode=0&amp;nonVirtPosition=&amp;position=chr10:33926935-33951212","chr10:33926935-33951212")</f>
        <v>chr10:33926935-33951212</v>
      </c>
      <c r="F2762" t="s">
        <v>25</v>
      </c>
      <c r="G2762">
        <v>0.448656647842821</v>
      </c>
      <c r="H2762">
        <v>0.157400537108811</v>
      </c>
      <c r="I2762">
        <v>2.8504137030527801</v>
      </c>
      <c r="J2762">
        <v>4.3662396919346702E-3</v>
      </c>
      <c r="K2762">
        <v>2.1161171087476401E-2</v>
      </c>
      <c r="L2762" t="s">
        <v>26</v>
      </c>
      <c r="M2762" t="s">
        <v>27</v>
      </c>
      <c r="N2762">
        <v>118.60194355847101</v>
      </c>
      <c r="O2762">
        <v>97.553531674987894</v>
      </c>
      <c r="P2762">
        <v>134.38825247108301</v>
      </c>
      <c r="Q2762">
        <v>103.563413557065</v>
      </c>
      <c r="R2762">
        <v>95.951493784266205</v>
      </c>
      <c r="S2762">
        <v>93.145687683632602</v>
      </c>
      <c r="T2762">
        <v>132.90568675185699</v>
      </c>
      <c r="U2762">
        <v>128.47540475313201</v>
      </c>
      <c r="V2762">
        <v>129.47503780362501</v>
      </c>
      <c r="W2762">
        <v>146.69688057571801</v>
      </c>
    </row>
    <row r="2763" spans="1:23" x14ac:dyDescent="0.2">
      <c r="A2763" t="s">
        <v>5530</v>
      </c>
      <c r="B2763" s="3" t="str">
        <f>HYPERLINK("http://www.ncbi.nlm.nih.gov/gene/11933","Atp1b3")</f>
        <v>Atp1b3</v>
      </c>
      <c r="C2763">
        <v>11933</v>
      </c>
      <c r="D2763" t="s">
        <v>5531</v>
      </c>
      <c r="E2763" s="3" t="str">
        <f>HYPERLINK("http://genome.ucsc.edu/cgi-bin/hgTracks?db=mm10&amp;lastVirtModeType=default&amp;lastVirtModeExtraState=&amp;virtModeType=default&amp;virtMode=0&amp;nonVirtPosition=&amp;position=chr9:96332674-96364299","chr9:96332674-96364299")</f>
        <v>chr9:96332674-96364299</v>
      </c>
      <c r="F2763" t="s">
        <v>25</v>
      </c>
      <c r="G2763">
        <v>-0.367529271004021</v>
      </c>
      <c r="H2763">
        <v>0.12898706487599301</v>
      </c>
      <c r="I2763">
        <v>-2.8493498271114102</v>
      </c>
      <c r="J2763">
        <v>4.3808681675294101E-3</v>
      </c>
      <c r="K2763">
        <v>2.1218161808546299E-2</v>
      </c>
      <c r="L2763" t="s">
        <v>26</v>
      </c>
      <c r="M2763" t="s">
        <v>27</v>
      </c>
      <c r="N2763">
        <v>391.69959917933602</v>
      </c>
      <c r="O2763">
        <v>452.71221147652699</v>
      </c>
      <c r="P2763">
        <v>345.94013995644201</v>
      </c>
      <c r="Q2763">
        <v>510.02197214124402</v>
      </c>
      <c r="R2763">
        <v>450.17558546215002</v>
      </c>
      <c r="S2763">
        <v>397.93907682618601</v>
      </c>
      <c r="T2763">
        <v>334.55569423743202</v>
      </c>
      <c r="U2763">
        <v>334.03605235814302</v>
      </c>
      <c r="V2763">
        <v>369.29811918988401</v>
      </c>
      <c r="W2763">
        <v>345.87069404031001</v>
      </c>
    </row>
    <row r="2764" spans="1:23" x14ac:dyDescent="0.2">
      <c r="A2764" t="s">
        <v>5532</v>
      </c>
      <c r="B2764" s="3" t="str">
        <f>HYPERLINK("http://www.ncbi.nlm.nih.gov/gene/20116","Rps8")</f>
        <v>Rps8</v>
      </c>
      <c r="C2764">
        <v>20116</v>
      </c>
      <c r="D2764" t="s">
        <v>5533</v>
      </c>
      <c r="E2764" s="3" t="str">
        <f>HYPERLINK("http://genome.ucsc.edu/cgi-bin/hgTracks?db=mm10&amp;lastVirtModeType=default&amp;lastVirtModeExtraState=&amp;virtModeType=default&amp;virtMode=0&amp;nonVirtPosition=&amp;position=chr4:117153835-117156132","chr4:117153835-117156132")</f>
        <v>chr4:117153835-117156132</v>
      </c>
      <c r="F2764" t="s">
        <v>25</v>
      </c>
      <c r="G2764">
        <v>-0.54244618354488505</v>
      </c>
      <c r="H2764">
        <v>0.190456654941669</v>
      </c>
      <c r="I2764">
        <v>-2.8481345727248</v>
      </c>
      <c r="J2764">
        <v>4.3976324692823997E-3</v>
      </c>
      <c r="K2764">
        <v>2.1290201155517201E-2</v>
      </c>
      <c r="L2764" t="s">
        <v>26</v>
      </c>
      <c r="M2764" t="s">
        <v>27</v>
      </c>
      <c r="N2764">
        <v>170.326055394457</v>
      </c>
      <c r="O2764">
        <v>210.14808718184099</v>
      </c>
      <c r="P2764">
        <v>140.459531553918</v>
      </c>
      <c r="Q2764">
        <v>164.253801071689</v>
      </c>
      <c r="R2764">
        <v>207.45243913041</v>
      </c>
      <c r="S2764">
        <v>258.73802134342401</v>
      </c>
      <c r="T2764">
        <v>146.65455089860001</v>
      </c>
      <c r="U2764">
        <v>113.486607531933</v>
      </c>
      <c r="V2764">
        <v>138.30288129023501</v>
      </c>
      <c r="W2764">
        <v>163.394086494905</v>
      </c>
    </row>
    <row r="2765" spans="1:23" x14ac:dyDescent="0.2">
      <c r="A2765" t="s">
        <v>5534</v>
      </c>
      <c r="B2765" s="3" t="str">
        <f>HYPERLINK("http://www.ncbi.nlm.nih.gov/gene/333433","Gpd1l")</f>
        <v>Gpd1l</v>
      </c>
      <c r="C2765">
        <v>333433</v>
      </c>
      <c r="D2765" t="s">
        <v>5535</v>
      </c>
      <c r="E2765" s="3" t="str">
        <f>HYPERLINK("http://genome.ucsc.edu/cgi-bin/hgTracks?db=mm10&amp;lastVirtModeType=default&amp;lastVirtModeExtraState=&amp;virtModeType=default&amp;virtMode=0&amp;nonVirtPosition=&amp;position=chr9:114899338-114933987","chr9:114899338-114933987")</f>
        <v>chr9:114899338-114933987</v>
      </c>
      <c r="F2765" t="s">
        <v>25</v>
      </c>
      <c r="G2765">
        <v>-0.39300340304247899</v>
      </c>
      <c r="H2765">
        <v>0.13800255417559301</v>
      </c>
      <c r="I2765">
        <v>-2.8477980381611401</v>
      </c>
      <c r="J2765">
        <v>4.4022851962922998E-3</v>
      </c>
      <c r="K2765">
        <v>2.1305023875515E-2</v>
      </c>
      <c r="L2765" t="s">
        <v>26</v>
      </c>
      <c r="M2765" t="s">
        <v>27</v>
      </c>
      <c r="N2765">
        <v>410.69978820525199</v>
      </c>
      <c r="O2765">
        <v>477.07111169456499</v>
      </c>
      <c r="P2765">
        <v>360.92129558826798</v>
      </c>
      <c r="Q2765">
        <v>520.04423796934702</v>
      </c>
      <c r="R2765">
        <v>464.587272275597</v>
      </c>
      <c r="S2765">
        <v>446.58182483874998</v>
      </c>
      <c r="T2765">
        <v>329.972739521851</v>
      </c>
      <c r="U2765">
        <v>443.24014639830602</v>
      </c>
      <c r="V2765">
        <v>322.21628726129302</v>
      </c>
      <c r="W2765">
        <v>348.256009171622</v>
      </c>
    </row>
    <row r="2766" spans="1:23" x14ac:dyDescent="0.2">
      <c r="A2766" t="s">
        <v>5536</v>
      </c>
      <c r="B2766" s="3" t="str">
        <f>HYPERLINK("http://www.ncbi.nlm.nih.gov/gene/67826","Snap47")</f>
        <v>Snap47</v>
      </c>
      <c r="C2766">
        <v>67826</v>
      </c>
      <c r="D2766" t="s">
        <v>5537</v>
      </c>
      <c r="E2766" s="3" t="str">
        <f>HYPERLINK("http://genome.ucsc.edu/cgi-bin/hgTracks?db=mm10&amp;lastVirtModeType=default&amp;lastVirtModeExtraState=&amp;virtModeType=default&amp;virtMode=0&amp;nonVirtPosition=&amp;position=chr11:59407149-59449956","chr11:59407149-59449956")</f>
        <v>chr11:59407149-59449956</v>
      </c>
      <c r="F2766" t="s">
        <v>25</v>
      </c>
      <c r="G2766">
        <v>-0.43177006474235202</v>
      </c>
      <c r="H2766">
        <v>0.15162294067023299</v>
      </c>
      <c r="I2766">
        <v>-2.84765658042088</v>
      </c>
      <c r="J2766">
        <v>4.4042422385011104E-3</v>
      </c>
      <c r="K2766">
        <v>2.1306794731130198E-2</v>
      </c>
      <c r="L2766" t="s">
        <v>26</v>
      </c>
      <c r="M2766" t="s">
        <v>27</v>
      </c>
      <c r="N2766">
        <v>364.29242419068999</v>
      </c>
      <c r="O2766">
        <v>433.735731108842</v>
      </c>
      <c r="P2766">
        <v>312.20994400207502</v>
      </c>
      <c r="Q2766">
        <v>487.19347775500898</v>
      </c>
      <c r="R2766">
        <v>420.214447086826</v>
      </c>
      <c r="S2766">
        <v>393.79926848469103</v>
      </c>
      <c r="T2766">
        <v>256.64546407255102</v>
      </c>
      <c r="U2766">
        <v>297.63468767808899</v>
      </c>
      <c r="V2766">
        <v>304.56060028807099</v>
      </c>
      <c r="W2766">
        <v>389.99902396958998</v>
      </c>
    </row>
    <row r="2767" spans="1:23" x14ac:dyDescent="0.2">
      <c r="A2767" t="s">
        <v>5538</v>
      </c>
      <c r="B2767" s="3" t="str">
        <f>HYPERLINK("http://www.ncbi.nlm.nih.gov/gene/16772","Lama1")</f>
        <v>Lama1</v>
      </c>
      <c r="C2767">
        <v>16772</v>
      </c>
      <c r="D2767" t="s">
        <v>5539</v>
      </c>
      <c r="E2767" s="3" t="str">
        <f>HYPERLINK("http://genome.ucsc.edu/cgi-bin/hgTracks?db=mm10&amp;lastVirtModeType=default&amp;lastVirtModeExtraState=&amp;virtModeType=default&amp;virtMode=0&amp;nonVirtPosition=&amp;position=chr17:67697264-67822645","chr17:67697264-67822645")</f>
        <v>chr17:67697264-67822645</v>
      </c>
      <c r="F2767" t="s">
        <v>30</v>
      </c>
      <c r="G2767">
        <v>-0.56556572068175504</v>
      </c>
      <c r="H2767">
        <v>0.198628285252271</v>
      </c>
      <c r="I2767">
        <v>-2.8473574141942999</v>
      </c>
      <c r="J2767">
        <v>4.4083837465505402E-3</v>
      </c>
      <c r="K2767">
        <v>2.1315577420767399E-2</v>
      </c>
      <c r="L2767" t="s">
        <v>26</v>
      </c>
      <c r="M2767" t="s">
        <v>27</v>
      </c>
      <c r="N2767">
        <v>85.136582352416994</v>
      </c>
      <c r="O2767">
        <v>103.973251960829</v>
      </c>
      <c r="P2767">
        <v>71.009080146107806</v>
      </c>
      <c r="Q2767">
        <v>120.26718993723701</v>
      </c>
      <c r="R2767">
        <v>91.779689706689396</v>
      </c>
      <c r="S2767">
        <v>99.872876238561602</v>
      </c>
      <c r="T2767">
        <v>87.076139596044001</v>
      </c>
      <c r="U2767">
        <v>70.661472614222703</v>
      </c>
      <c r="V2767">
        <v>65.473172525696498</v>
      </c>
      <c r="W2767">
        <v>60.825535848468199</v>
      </c>
    </row>
    <row r="2768" spans="1:23" x14ac:dyDescent="0.2">
      <c r="A2768" t="s">
        <v>5540</v>
      </c>
      <c r="B2768" s="3" t="str">
        <f>HYPERLINK("http://www.ncbi.nlm.nih.gov/gene/71934","Car13")</f>
        <v>Car13</v>
      </c>
      <c r="C2768">
        <v>71934</v>
      </c>
      <c r="D2768" t="s">
        <v>5541</v>
      </c>
      <c r="E2768" s="3" t="str">
        <f>HYPERLINK("http://genome.ucsc.edu/cgi-bin/hgTracks?db=mm10&amp;lastVirtModeType=default&amp;lastVirtModeExtraState=&amp;virtModeType=default&amp;virtMode=0&amp;nonVirtPosition=&amp;position=chr3:14641726-14663002","chr3:14641726-14663002")</f>
        <v>chr3:14641726-14663002</v>
      </c>
      <c r="F2768" t="s">
        <v>30</v>
      </c>
      <c r="G2768">
        <v>-0.88888458466207698</v>
      </c>
      <c r="H2768">
        <v>0.31218557519124601</v>
      </c>
      <c r="I2768">
        <v>-2.8472955040204599</v>
      </c>
      <c r="J2768">
        <v>4.4092412407979696E-3</v>
      </c>
      <c r="K2768">
        <v>2.1315577420767399E-2</v>
      </c>
      <c r="L2768" t="s">
        <v>26</v>
      </c>
      <c r="M2768" t="s">
        <v>27</v>
      </c>
      <c r="N2768">
        <v>27.0786475415116</v>
      </c>
      <c r="O2768">
        <v>38.911135603371001</v>
      </c>
      <c r="P2768">
        <v>18.204281495117002</v>
      </c>
      <c r="Q2768">
        <v>52.8952918705439</v>
      </c>
      <c r="R2768">
        <v>30.719648207610899</v>
      </c>
      <c r="S2768">
        <v>33.1184667319583</v>
      </c>
      <c r="T2768">
        <v>13.7488641467438</v>
      </c>
      <c r="U2768">
        <v>27.836337696512</v>
      </c>
      <c r="V2768">
        <v>16.920033349337299</v>
      </c>
      <c r="W2768">
        <v>14.3118907878749</v>
      </c>
    </row>
    <row r="2769" spans="1:23" x14ac:dyDescent="0.2">
      <c r="A2769" t="s">
        <v>5542</v>
      </c>
      <c r="B2769" s="3" t="str">
        <f>HYPERLINK("http://www.ncbi.nlm.nih.gov/gene/74164","Nfx1")</f>
        <v>Nfx1</v>
      </c>
      <c r="C2769">
        <v>74164</v>
      </c>
      <c r="D2769" t="s">
        <v>5543</v>
      </c>
      <c r="E2769" s="3" t="str">
        <f>HYPERLINK("http://genome.ucsc.edu/cgi-bin/hgTracks?db=mm10&amp;lastVirtModeType=default&amp;lastVirtModeExtraState=&amp;virtModeType=default&amp;virtMode=0&amp;nonVirtPosition=&amp;position=chr4:40970905-41013873","chr4:40970905-41013873")</f>
        <v>chr4:40970905-41013873</v>
      </c>
      <c r="F2769" t="s">
        <v>30</v>
      </c>
      <c r="G2769">
        <v>0.35767751329970199</v>
      </c>
      <c r="H2769">
        <v>0.125626804091482</v>
      </c>
      <c r="I2769">
        <v>2.8471432978525901</v>
      </c>
      <c r="J2769">
        <v>4.4113500332058101E-3</v>
      </c>
      <c r="K2769">
        <v>2.1318075891251901E-2</v>
      </c>
      <c r="L2769" t="s">
        <v>26</v>
      </c>
      <c r="M2769" t="s">
        <v>27</v>
      </c>
      <c r="N2769">
        <v>427.01064242661602</v>
      </c>
      <c r="O2769">
        <v>364.36179427466197</v>
      </c>
      <c r="P2769">
        <v>473.99727854058102</v>
      </c>
      <c r="Q2769">
        <v>324.05326177533198</v>
      </c>
      <c r="R2769">
        <v>413.008603680102</v>
      </c>
      <c r="S2769">
        <v>356.02351736855098</v>
      </c>
      <c r="T2769">
        <v>499.542063998358</v>
      </c>
      <c r="U2769">
        <v>479.64151107836</v>
      </c>
      <c r="V2769">
        <v>442.127827954422</v>
      </c>
      <c r="W2769">
        <v>474.677711131183</v>
      </c>
    </row>
    <row r="2770" spans="1:23" x14ac:dyDescent="0.2">
      <c r="A2770" t="s">
        <v>5544</v>
      </c>
      <c r="B2770" s="3" t="str">
        <f>HYPERLINK("http://www.ncbi.nlm.nih.gov/gene/217737","Ahsa1")</f>
        <v>Ahsa1</v>
      </c>
      <c r="C2770">
        <v>217737</v>
      </c>
      <c r="D2770" t="s">
        <v>5545</v>
      </c>
      <c r="E2770" s="3" t="str">
        <f>HYPERLINK("http://genome.ucsc.edu/cgi-bin/hgTracks?db=mm10&amp;lastVirtModeType=default&amp;lastVirtModeExtraState=&amp;virtModeType=default&amp;virtMode=0&amp;nonVirtPosition=&amp;position=chr12:87266727-87273952","chr12:87266727-87273952")</f>
        <v>chr12:87266727-87273952</v>
      </c>
      <c r="F2770" t="s">
        <v>30</v>
      </c>
      <c r="G2770">
        <v>-0.40238021290878001</v>
      </c>
      <c r="H2770">
        <v>0.14141408586735901</v>
      </c>
      <c r="I2770">
        <v>-2.8454040518014398</v>
      </c>
      <c r="J2770">
        <v>4.4355119962299697E-3</v>
      </c>
      <c r="K2770">
        <v>2.14271071939089E-2</v>
      </c>
      <c r="L2770" t="s">
        <v>26</v>
      </c>
      <c r="M2770" t="s">
        <v>27</v>
      </c>
      <c r="N2770">
        <v>279.88417763989497</v>
      </c>
      <c r="O2770">
        <v>331.21379575052703</v>
      </c>
      <c r="P2770">
        <v>241.38696405692099</v>
      </c>
      <c r="Q2770">
        <v>370.26704309380699</v>
      </c>
      <c r="R2770">
        <v>307.19648207610902</v>
      </c>
      <c r="S2770">
        <v>316.17786208166399</v>
      </c>
      <c r="T2770">
        <v>187.90114333883199</v>
      </c>
      <c r="U2770">
        <v>250.52703926860801</v>
      </c>
      <c r="V2770">
        <v>261.157036478902</v>
      </c>
      <c r="W2770">
        <v>265.96263714134102</v>
      </c>
    </row>
    <row r="2771" spans="1:23" x14ac:dyDescent="0.2">
      <c r="A2771" t="s">
        <v>5546</v>
      </c>
      <c r="B2771" s="3" t="str">
        <f>HYPERLINK("http://www.ncbi.nlm.nih.gov/gene/68477","Rmnd5a")</f>
        <v>Rmnd5a</v>
      </c>
      <c r="C2771">
        <v>68477</v>
      </c>
      <c r="D2771" t="s">
        <v>5547</v>
      </c>
      <c r="E2771" s="3" t="str">
        <f>HYPERLINK("http://genome.ucsc.edu/cgi-bin/hgTracks?db=mm10&amp;lastVirtModeType=default&amp;lastVirtModeExtraState=&amp;virtModeType=default&amp;virtMode=0&amp;nonVirtPosition=&amp;position=chr6:71388633-71440637","chr6:71388633-71440637")</f>
        <v>chr6:71388633-71440637</v>
      </c>
      <c r="F2771" t="s">
        <v>25</v>
      </c>
      <c r="G2771">
        <v>-0.359548701444249</v>
      </c>
      <c r="H2771">
        <v>0.12638715618582899</v>
      </c>
      <c r="I2771">
        <v>-2.8448199349908498</v>
      </c>
      <c r="J2771">
        <v>4.4436535301269403E-3</v>
      </c>
      <c r="K2771">
        <v>2.1458696149271501E-2</v>
      </c>
      <c r="L2771" t="s">
        <v>26</v>
      </c>
      <c r="M2771" t="s">
        <v>27</v>
      </c>
      <c r="N2771">
        <v>600.18578389388597</v>
      </c>
      <c r="O2771">
        <v>688.54307188602195</v>
      </c>
      <c r="P2771">
        <v>533.91781789978302</v>
      </c>
      <c r="Q2771">
        <v>783.96390477606099</v>
      </c>
      <c r="R2771">
        <v>664.83386799928303</v>
      </c>
      <c r="S2771">
        <v>616.83144288272194</v>
      </c>
      <c r="T2771">
        <v>563.70343001649496</v>
      </c>
      <c r="U2771">
        <v>479.64151107836</v>
      </c>
      <c r="V2771">
        <v>528.19930194887695</v>
      </c>
      <c r="W2771">
        <v>564.12702855540101</v>
      </c>
    </row>
    <row r="2772" spans="1:23" x14ac:dyDescent="0.2">
      <c r="A2772" t="s">
        <v>5548</v>
      </c>
      <c r="B2772" s="3" t="str">
        <f>HYPERLINK("http://www.ncbi.nlm.nih.gov/gene/12530","Cdc25a")</f>
        <v>Cdc25a</v>
      </c>
      <c r="C2772">
        <v>12530</v>
      </c>
      <c r="D2772" t="s">
        <v>5549</v>
      </c>
      <c r="E2772" s="3" t="str">
        <f>HYPERLINK("http://genome.ucsc.edu/cgi-bin/hgTracks?db=mm10&amp;lastVirtModeType=default&amp;lastVirtModeExtraState=&amp;virtModeType=default&amp;virtMode=0&amp;nonVirtPosition=&amp;position=chr9:109875578-109893890","chr9:109875578-109893890")</f>
        <v>chr9:109875578-109893890</v>
      </c>
      <c r="F2772" t="s">
        <v>30</v>
      </c>
      <c r="G2772">
        <v>0.52577196382451397</v>
      </c>
      <c r="H2772">
        <v>0.18498474273891699</v>
      </c>
      <c r="I2772">
        <v>2.8422450199937601</v>
      </c>
      <c r="J2772">
        <v>4.4797048664362397E-3</v>
      </c>
      <c r="K2772">
        <v>2.1624992021069801E-2</v>
      </c>
      <c r="L2772" t="s">
        <v>26</v>
      </c>
      <c r="M2772" t="s">
        <v>27</v>
      </c>
      <c r="N2772">
        <v>134.449477666456</v>
      </c>
      <c r="O2772">
        <v>105.199688653425</v>
      </c>
      <c r="P2772">
        <v>156.38681942623001</v>
      </c>
      <c r="Q2772">
        <v>84.075674446864497</v>
      </c>
      <c r="R2772">
        <v>107.329141268567</v>
      </c>
      <c r="S2772">
        <v>124.194250244843</v>
      </c>
      <c r="T2772">
        <v>151.237505614182</v>
      </c>
      <c r="U2772">
        <v>186.289336892042</v>
      </c>
      <c r="V2772">
        <v>135.36026679469799</v>
      </c>
      <c r="W2772">
        <v>152.66016840399899</v>
      </c>
    </row>
    <row r="2773" spans="1:23" x14ac:dyDescent="0.2">
      <c r="A2773" t="s">
        <v>5550</v>
      </c>
      <c r="B2773" s="3" t="str">
        <f>HYPERLINK("http://www.ncbi.nlm.nih.gov/gene/226610","Fam78b")</f>
        <v>Fam78b</v>
      </c>
      <c r="C2773">
        <v>226610</v>
      </c>
      <c r="D2773" t="s">
        <v>5551</v>
      </c>
      <c r="E2773" s="3" t="str">
        <f>HYPERLINK("http://genome.ucsc.edu/cgi-bin/hgTracks?db=mm10&amp;lastVirtModeType=default&amp;lastVirtModeExtraState=&amp;virtModeType=default&amp;virtMode=0&amp;nonVirtPosition=&amp;position=chr1:167001416-167091302","chr1:167001416-167091302")</f>
        <v>chr1:167001416-167091302</v>
      </c>
      <c r="F2773" t="s">
        <v>30</v>
      </c>
      <c r="G2773">
        <v>0.74903513697604696</v>
      </c>
      <c r="H2773">
        <v>0.263585796340917</v>
      </c>
      <c r="I2773">
        <v>2.8417128213056699</v>
      </c>
      <c r="J2773">
        <v>4.4871891367874199E-3</v>
      </c>
      <c r="K2773">
        <v>2.16533152182776E-2</v>
      </c>
      <c r="L2773" t="s">
        <v>26</v>
      </c>
      <c r="M2773" t="s">
        <v>27</v>
      </c>
      <c r="N2773">
        <v>53.179753336147797</v>
      </c>
      <c r="O2773">
        <v>35.715369111794999</v>
      </c>
      <c r="P2773">
        <v>66.2780415044124</v>
      </c>
      <c r="Q2773">
        <v>34.521137852354897</v>
      </c>
      <c r="R2773">
        <v>47.786119434061398</v>
      </c>
      <c r="S2773">
        <v>24.838850048968698</v>
      </c>
      <c r="T2773">
        <v>73.327275449300203</v>
      </c>
      <c r="U2773">
        <v>64.237702376566105</v>
      </c>
      <c r="V2773">
        <v>50.024446424127703</v>
      </c>
      <c r="W2773">
        <v>77.522741767655603</v>
      </c>
    </row>
    <row r="2774" spans="1:23" x14ac:dyDescent="0.2">
      <c r="A2774" t="s">
        <v>5552</v>
      </c>
      <c r="B2774" s="3" t="str">
        <f>HYPERLINK("http://www.ncbi.nlm.nih.gov/gene/17183","Matn4")</f>
        <v>Matn4</v>
      </c>
      <c r="C2774">
        <v>17183</v>
      </c>
      <c r="D2774" t="s">
        <v>5553</v>
      </c>
      <c r="E2774" s="3" t="str">
        <f>HYPERLINK("http://genome.ucsc.edu/cgi-bin/hgTracks?db=mm10&amp;lastVirtModeType=default&amp;lastVirtModeExtraState=&amp;virtModeType=default&amp;virtMode=0&amp;nonVirtPosition=&amp;position=chr2:164389392-164404818","chr2:164389392-164404818")</f>
        <v>chr2:164389392-164404818</v>
      </c>
      <c r="F2774" t="s">
        <v>25</v>
      </c>
      <c r="G2774">
        <v>0.76367119364034797</v>
      </c>
      <c r="H2774">
        <v>0.26874929739686199</v>
      </c>
      <c r="I2774">
        <v>2.8415746609846302</v>
      </c>
      <c r="J2774">
        <v>4.4891339264618102E-3</v>
      </c>
      <c r="K2774">
        <v>2.1654896401026701E-2</v>
      </c>
      <c r="L2774" t="s">
        <v>26</v>
      </c>
      <c r="M2774" t="s">
        <v>27</v>
      </c>
      <c r="N2774">
        <v>1269.67965942769</v>
      </c>
      <c r="O2774">
        <v>859.47416403240197</v>
      </c>
      <c r="P2774">
        <v>1577.3337809741499</v>
      </c>
      <c r="Q2774">
        <v>1388.0838171922701</v>
      </c>
      <c r="R2774">
        <v>392.908093124505</v>
      </c>
      <c r="S2774">
        <v>797.43058178043202</v>
      </c>
      <c r="T2774">
        <v>1342.8057316653101</v>
      </c>
      <c r="U2774">
        <v>1687.3103157578</v>
      </c>
      <c r="V2774">
        <v>1640.50758126183</v>
      </c>
      <c r="W2774">
        <v>1638.7114952116699</v>
      </c>
    </row>
    <row r="2775" spans="1:23" x14ac:dyDescent="0.2">
      <c r="A2775" t="s">
        <v>5554</v>
      </c>
      <c r="B2775" s="3" t="str">
        <f>HYPERLINK("http://www.ncbi.nlm.nih.gov/gene/320482","Nron")</f>
        <v>Nron</v>
      </c>
      <c r="C2775">
        <v>320482</v>
      </c>
      <c r="D2775" t="s">
        <v>5555</v>
      </c>
      <c r="E2775" s="3" t="str">
        <f>HYPERLINK("http://genome.ucsc.edu/cgi-bin/hgTracks?db=mm10&amp;lastVirtModeType=default&amp;lastVirtModeExtraState=&amp;virtModeType=default&amp;virtMode=0&amp;nonVirtPosition=&amp;position=chr2:33805815-33813591","chr2:33805815-33813591")</f>
        <v>chr2:33805815-33813591</v>
      </c>
      <c r="F2775" t="s">
        <v>30</v>
      </c>
      <c r="G2775">
        <v>0.94911932922882503</v>
      </c>
      <c r="H2775">
        <v>0.33407174782754601</v>
      </c>
      <c r="I2775">
        <v>2.84106433842702</v>
      </c>
      <c r="J2775">
        <v>4.4963240148588497E-3</v>
      </c>
      <c r="K2775">
        <v>2.16817698534299E-2</v>
      </c>
      <c r="L2775" t="s">
        <v>26</v>
      </c>
      <c r="M2775" t="s">
        <v>27</v>
      </c>
      <c r="N2775">
        <v>18.0812999463312</v>
      </c>
      <c r="O2775">
        <v>10.355216433553201</v>
      </c>
      <c r="P2775">
        <v>23.875862580914699</v>
      </c>
      <c r="Q2775">
        <v>10.579058374108801</v>
      </c>
      <c r="R2775">
        <v>9.1021179874402698</v>
      </c>
      <c r="S2775">
        <v>11.3844729391106</v>
      </c>
      <c r="T2775">
        <v>22.914773577906299</v>
      </c>
      <c r="U2775">
        <v>27.836337696512</v>
      </c>
      <c r="V2775">
        <v>31.6331058270219</v>
      </c>
      <c r="W2775">
        <v>13.1192332222186</v>
      </c>
    </row>
    <row r="2776" spans="1:23" x14ac:dyDescent="0.2">
      <c r="A2776" t="s">
        <v>5556</v>
      </c>
      <c r="B2776" s="3" t="str">
        <f>HYPERLINK("http://www.ncbi.nlm.nih.gov/gene/70152","Mettl7a1")</f>
        <v>Mettl7a1</v>
      </c>
      <c r="C2776">
        <v>70152</v>
      </c>
      <c r="D2776" t="s">
        <v>5557</v>
      </c>
      <c r="E2776" s="3" t="str">
        <f>HYPERLINK("http://genome.ucsc.edu/cgi-bin/hgTracks?db=mm10&amp;lastVirtModeType=default&amp;lastVirtModeExtraState=&amp;virtModeType=default&amp;virtMode=0&amp;nonVirtPosition=&amp;position=chr15:100304816-100314348","chr15:100304816-100314348")</f>
        <v>chr15:100304816-100314348</v>
      </c>
      <c r="F2776" t="s">
        <v>30</v>
      </c>
      <c r="G2776">
        <v>-0.81617052445230998</v>
      </c>
      <c r="H2776">
        <v>0.28736143693247002</v>
      </c>
      <c r="I2776">
        <v>-2.84022286763589</v>
      </c>
      <c r="J2776">
        <v>4.5082025395116101E-3</v>
      </c>
      <c r="K2776">
        <v>2.1731223976457902E-2</v>
      </c>
      <c r="L2776" t="s">
        <v>26</v>
      </c>
      <c r="M2776" t="s">
        <v>27</v>
      </c>
      <c r="N2776">
        <v>29.396900116405799</v>
      </c>
      <c r="O2776">
        <v>40.8540579070294</v>
      </c>
      <c r="P2776">
        <v>20.804031773438101</v>
      </c>
      <c r="Q2776">
        <v>49.5545365945095</v>
      </c>
      <c r="R2776">
        <v>42.476550608054602</v>
      </c>
      <c r="S2776">
        <v>30.531086518523999</v>
      </c>
      <c r="T2776">
        <v>18.3318188623251</v>
      </c>
      <c r="U2776">
        <v>23.553824204740899</v>
      </c>
      <c r="V2776">
        <v>19.8626478448742</v>
      </c>
      <c r="W2776">
        <v>21.467836181812299</v>
      </c>
    </row>
    <row r="2777" spans="1:23" x14ac:dyDescent="0.2">
      <c r="A2777" t="s">
        <v>5558</v>
      </c>
      <c r="B2777" s="3" t="str">
        <f>HYPERLINK("http://www.ncbi.nlm.nih.gov/gene/73729","Zfp383")</f>
        <v>Zfp383</v>
      </c>
      <c r="C2777">
        <v>73729</v>
      </c>
      <c r="D2777" t="s">
        <v>5559</v>
      </c>
      <c r="E2777" s="3" t="str">
        <f>HYPERLINK("http://genome.ucsc.edu/cgi-bin/hgTracks?db=mm10&amp;lastVirtModeType=default&amp;lastVirtModeExtraState=&amp;virtModeType=default&amp;virtMode=0&amp;nonVirtPosition=&amp;position=chr7:29908516-29916813","chr7:29908516-29916813")</f>
        <v>chr7:29908516-29916813</v>
      </c>
      <c r="F2777" t="s">
        <v>30</v>
      </c>
      <c r="G2777">
        <v>0.60744747014155198</v>
      </c>
      <c r="H2777">
        <v>0.213897988268232</v>
      </c>
      <c r="I2777">
        <v>2.8398933298045002</v>
      </c>
      <c r="J2777">
        <v>4.5128621638890597E-3</v>
      </c>
      <c r="K2777">
        <v>2.1745857228009501E-2</v>
      </c>
      <c r="L2777" t="s">
        <v>26</v>
      </c>
      <c r="M2777" t="s">
        <v>27</v>
      </c>
      <c r="N2777">
        <v>74.479784275302293</v>
      </c>
      <c r="O2777">
        <v>55.334354745128699</v>
      </c>
      <c r="P2777">
        <v>88.838856422932494</v>
      </c>
      <c r="Q2777">
        <v>51.2249142325267</v>
      </c>
      <c r="R2777">
        <v>54.233453008498302</v>
      </c>
      <c r="S2777">
        <v>60.544696994361203</v>
      </c>
      <c r="T2777">
        <v>105.407958458369</v>
      </c>
      <c r="U2777">
        <v>66.378959122451604</v>
      </c>
      <c r="V2777">
        <v>75.036669636191505</v>
      </c>
      <c r="W2777">
        <v>108.531838474718</v>
      </c>
    </row>
    <row r="2778" spans="1:23" x14ac:dyDescent="0.2">
      <c r="A2778" t="s">
        <v>5560</v>
      </c>
      <c r="B2778" s="3" t="str">
        <f>HYPERLINK("http://www.ncbi.nlm.nih.gov/gene/71807","Tars2")</f>
        <v>Tars2</v>
      </c>
      <c r="C2778">
        <v>71807</v>
      </c>
      <c r="D2778" t="s">
        <v>5561</v>
      </c>
      <c r="E2778" s="3" t="str">
        <f>HYPERLINK("http://genome.ucsc.edu/cgi-bin/hgTracks?db=mm10&amp;lastVirtModeType=default&amp;lastVirtModeExtraState=&amp;virtModeType=default&amp;virtMode=0&amp;nonVirtPosition=&amp;position=chr3:95739973-95754977","chr3:95739973-95754977")</f>
        <v>chr3:95739973-95754977</v>
      </c>
      <c r="F2778" t="s">
        <v>25</v>
      </c>
      <c r="G2778">
        <v>0.48938408641820302</v>
      </c>
      <c r="H2778">
        <v>0.17237640275772401</v>
      </c>
      <c r="I2778">
        <v>2.8390433875455399</v>
      </c>
      <c r="J2778">
        <v>4.5249003888018398E-3</v>
      </c>
      <c r="K2778">
        <v>2.17960219807357E-2</v>
      </c>
      <c r="L2778" t="s">
        <v>26</v>
      </c>
      <c r="M2778" t="s">
        <v>27</v>
      </c>
      <c r="N2778">
        <v>162.99395485322901</v>
      </c>
      <c r="O2778">
        <v>132.581784647143</v>
      </c>
      <c r="P2778">
        <v>185.80308250779399</v>
      </c>
      <c r="Q2778">
        <v>117.483227207208</v>
      </c>
      <c r="R2778">
        <v>119.844553501297</v>
      </c>
      <c r="S2778">
        <v>160.41757323292299</v>
      </c>
      <c r="T2778">
        <v>151.237505614182</v>
      </c>
      <c r="U2778">
        <v>194.854363875584</v>
      </c>
      <c r="V2778">
        <v>182.44209872328901</v>
      </c>
      <c r="W2778">
        <v>214.67836181812299</v>
      </c>
    </row>
    <row r="2779" spans="1:23" x14ac:dyDescent="0.2">
      <c r="A2779" t="s">
        <v>5562</v>
      </c>
      <c r="B2779" s="3" t="str">
        <f>HYPERLINK("http://www.ncbi.nlm.nih.gov/gene/107746","Rapgef1")</f>
        <v>Rapgef1</v>
      </c>
      <c r="C2779">
        <v>107746</v>
      </c>
      <c r="D2779" t="s">
        <v>5563</v>
      </c>
      <c r="E2779" s="3" t="str">
        <f>HYPERLINK("http://genome.ucsc.edu/cgi-bin/hgTracks?db=mm10&amp;lastVirtModeType=default&amp;lastVirtModeExtraState=&amp;virtModeType=default&amp;virtMode=0&amp;nonVirtPosition=&amp;position=chr2:29619719-29740363","chr2:29619719-29740363")</f>
        <v>chr2:29619719-29740363</v>
      </c>
      <c r="F2779" t="s">
        <v>30</v>
      </c>
      <c r="G2779">
        <v>0.38241458428253</v>
      </c>
      <c r="H2779">
        <v>0.13473029580906201</v>
      </c>
      <c r="I2779">
        <v>2.8383711472324098</v>
      </c>
      <c r="J2779">
        <v>4.5344423132640402E-3</v>
      </c>
      <c r="K2779">
        <v>2.1834130534670499E-2</v>
      </c>
      <c r="L2779" t="s">
        <v>26</v>
      </c>
      <c r="M2779" t="s">
        <v>27</v>
      </c>
      <c r="N2779">
        <v>946.66145259038694</v>
      </c>
      <c r="O2779">
        <v>800.89975259460198</v>
      </c>
      <c r="P2779">
        <v>1055.9827275872301</v>
      </c>
      <c r="Q2779">
        <v>717.148799255374</v>
      </c>
      <c r="R2779">
        <v>759.26834211897597</v>
      </c>
      <c r="S2779">
        <v>926.28211640945699</v>
      </c>
      <c r="T2779">
        <v>1159.48754304206</v>
      </c>
      <c r="U2779">
        <v>1027.80323802506</v>
      </c>
      <c r="V2779">
        <v>1121.87177642345</v>
      </c>
      <c r="W2779">
        <v>914.76835285833602</v>
      </c>
    </row>
    <row r="2780" spans="1:23" x14ac:dyDescent="0.2">
      <c r="A2780" t="s">
        <v>5564</v>
      </c>
      <c r="B2780" s="3" t="str">
        <f>HYPERLINK("http://www.ncbi.nlm.nih.gov/gene/72140","Cep89")</f>
        <v>Cep89</v>
      </c>
      <c r="C2780">
        <v>72140</v>
      </c>
      <c r="D2780" t="s">
        <v>5565</v>
      </c>
      <c r="E2780" s="3" t="str">
        <f>HYPERLINK("http://genome.ucsc.edu/cgi-bin/hgTracks?db=mm10&amp;lastVirtModeType=default&amp;lastVirtModeExtraState=&amp;virtModeType=default&amp;virtMode=0&amp;nonVirtPosition=&amp;position=chr7:35397092-35438684","chr7:35397092-35438684")</f>
        <v>chr7:35397092-35438684</v>
      </c>
      <c r="F2780" t="s">
        <v>30</v>
      </c>
      <c r="G2780">
        <v>0.63247117262003005</v>
      </c>
      <c r="H2780">
        <v>0.222904696476032</v>
      </c>
      <c r="I2780">
        <v>2.8374062216676399</v>
      </c>
      <c r="J2780">
        <v>4.5481705363321504E-3</v>
      </c>
      <c r="K2780">
        <v>2.1885193119566802E-2</v>
      </c>
      <c r="L2780" t="s">
        <v>26</v>
      </c>
      <c r="M2780" t="s">
        <v>27</v>
      </c>
      <c r="N2780">
        <v>93.703713587270101</v>
      </c>
      <c r="O2780">
        <v>69.785271659419706</v>
      </c>
      <c r="P2780">
        <v>111.642545033158</v>
      </c>
      <c r="Q2780">
        <v>47.327366410486597</v>
      </c>
      <c r="R2780">
        <v>75.092473396382204</v>
      </c>
      <c r="S2780">
        <v>86.935975171390396</v>
      </c>
      <c r="T2780">
        <v>109.99091317395001</v>
      </c>
      <c r="U2780">
        <v>92.074040073077995</v>
      </c>
      <c r="V2780">
        <v>122.854155188666</v>
      </c>
      <c r="W2780">
        <v>121.651071696936</v>
      </c>
    </row>
    <row r="2781" spans="1:23" x14ac:dyDescent="0.2">
      <c r="A2781" t="s">
        <v>5566</v>
      </c>
      <c r="B2781" s="3" t="str">
        <f>HYPERLINK("http://www.ncbi.nlm.nih.gov/gene/21787","Tfg")</f>
        <v>Tfg</v>
      </c>
      <c r="C2781">
        <v>21787</v>
      </c>
      <c r="D2781" t="s">
        <v>5567</v>
      </c>
      <c r="E2781" s="3" t="str">
        <f>HYPERLINK("http://genome.ucsc.edu/cgi-bin/hgTracks?db=mm10&amp;lastVirtModeType=default&amp;lastVirtModeExtraState=&amp;virtModeType=default&amp;virtMode=0&amp;nonVirtPosition=&amp;position=chr16:56690328-56717450","chr16:56690328-56717450")</f>
        <v>chr16:56690328-56717450</v>
      </c>
      <c r="F2781" t="s">
        <v>25</v>
      </c>
      <c r="G2781">
        <v>-0.37765890286015402</v>
      </c>
      <c r="H2781">
        <v>0.13310052469745301</v>
      </c>
      <c r="I2781">
        <v>-2.83739604872784</v>
      </c>
      <c r="J2781">
        <v>4.5483154694760898E-3</v>
      </c>
      <c r="K2781">
        <v>2.1885193119566802E-2</v>
      </c>
      <c r="L2781" t="s">
        <v>26</v>
      </c>
      <c r="M2781" t="s">
        <v>27</v>
      </c>
      <c r="N2781">
        <v>297.185196396587</v>
      </c>
      <c r="O2781">
        <v>346.39450298986498</v>
      </c>
      <c r="P2781">
        <v>260.278216451628</v>
      </c>
      <c r="Q2781">
        <v>363.02873999573302</v>
      </c>
      <c r="R2781">
        <v>368.256523575188</v>
      </c>
      <c r="S2781">
        <v>307.89824539867402</v>
      </c>
      <c r="T2781">
        <v>238.31364521022601</v>
      </c>
      <c r="U2781">
        <v>241.96201228506499</v>
      </c>
      <c r="V2781">
        <v>281.75533794766</v>
      </c>
      <c r="W2781">
        <v>279.08187036355997</v>
      </c>
    </row>
    <row r="2782" spans="1:23" x14ac:dyDescent="0.2">
      <c r="A2782" t="s">
        <v>5568</v>
      </c>
      <c r="B2782" s="3" t="str">
        <f>HYPERLINK("http://www.ncbi.nlm.nih.gov/gene/26429","Orc5")</f>
        <v>Orc5</v>
      </c>
      <c r="C2782">
        <v>26429</v>
      </c>
      <c r="D2782" t="s">
        <v>5569</v>
      </c>
      <c r="E2782" s="3" t="str">
        <f>HYPERLINK("http://genome.ucsc.edu/cgi-bin/hgTracks?db=mm10&amp;lastVirtModeType=default&amp;lastVirtModeExtraState=&amp;virtModeType=default&amp;virtMode=0&amp;nonVirtPosition=&amp;position=chr5:22486488-22550331","chr5:22486488-22550331")</f>
        <v>chr5:22486488-22550331</v>
      </c>
      <c r="F2782" t="s">
        <v>25</v>
      </c>
      <c r="G2782">
        <v>-0.52866001085979597</v>
      </c>
      <c r="H2782">
        <v>0.18634602845912801</v>
      </c>
      <c r="I2782">
        <v>-2.83698029537425</v>
      </c>
      <c r="J2782">
        <v>4.5542422581106301E-3</v>
      </c>
      <c r="K2782">
        <v>2.1905839826996901E-2</v>
      </c>
      <c r="L2782" t="s">
        <v>26</v>
      </c>
      <c r="M2782" t="s">
        <v>27</v>
      </c>
      <c r="N2782">
        <v>107.355529015626</v>
      </c>
      <c r="O2782">
        <v>133.146977739291</v>
      </c>
      <c r="P2782">
        <v>88.011942472877294</v>
      </c>
      <c r="Q2782">
        <v>112.472094293156</v>
      </c>
      <c r="R2782">
        <v>153.97749595419799</v>
      </c>
      <c r="S2782">
        <v>132.99134297052001</v>
      </c>
      <c r="T2782">
        <v>68.744320733718993</v>
      </c>
      <c r="U2782">
        <v>98.497810310734593</v>
      </c>
      <c r="V2782">
        <v>94.163663857181504</v>
      </c>
      <c r="W2782">
        <v>90.6419749898742</v>
      </c>
    </row>
    <row r="2783" spans="1:23" x14ac:dyDescent="0.2">
      <c r="A2783" t="s">
        <v>5570</v>
      </c>
      <c r="B2783" s="3" t="str">
        <f>HYPERLINK("http://www.ncbi.nlm.nih.gov/gene/20868","Stk10")</f>
        <v>Stk10</v>
      </c>
      <c r="C2783">
        <v>20868</v>
      </c>
      <c r="D2783" t="s">
        <v>5571</v>
      </c>
      <c r="E2783" s="3" t="str">
        <f>HYPERLINK("http://genome.ucsc.edu/cgi-bin/hgTracks?db=mm10&amp;lastVirtModeType=default&amp;lastVirtModeExtraState=&amp;virtModeType=default&amp;virtMode=0&amp;nonVirtPosition=&amp;position=chr11:32533265-32624595","chr11:32533265-32624595")</f>
        <v>chr11:32533265-32624595</v>
      </c>
      <c r="F2783" t="s">
        <v>30</v>
      </c>
      <c r="G2783">
        <v>0.511588705565442</v>
      </c>
      <c r="H2783">
        <v>0.180342454366264</v>
      </c>
      <c r="I2783">
        <v>2.8367624659606698</v>
      </c>
      <c r="J2783">
        <v>4.5573503260632198E-3</v>
      </c>
      <c r="K2783">
        <v>2.19129185695916E-2</v>
      </c>
      <c r="L2783" t="s">
        <v>26</v>
      </c>
      <c r="M2783" t="s">
        <v>27</v>
      </c>
      <c r="N2783">
        <v>160.90548799394699</v>
      </c>
      <c r="O2783">
        <v>127.961465664587</v>
      </c>
      <c r="P2783">
        <v>185.61350474096599</v>
      </c>
      <c r="Q2783">
        <v>106.90416883309901</v>
      </c>
      <c r="R2783">
        <v>127.429651824164</v>
      </c>
      <c r="S2783">
        <v>149.55057633649901</v>
      </c>
      <c r="T2783">
        <v>201.650007485576</v>
      </c>
      <c r="U2783">
        <v>137.04043173667401</v>
      </c>
      <c r="V2783">
        <v>198.62647844874201</v>
      </c>
      <c r="W2783">
        <v>205.13710129287301</v>
      </c>
    </row>
    <row r="2784" spans="1:23" x14ac:dyDescent="0.2">
      <c r="A2784" t="s">
        <v>5572</v>
      </c>
      <c r="B2784" s="3" t="str">
        <f>HYPERLINK("http://www.ncbi.nlm.nih.gov/gene/108897","Aif1l")</f>
        <v>Aif1l</v>
      </c>
      <c r="C2784">
        <v>108897</v>
      </c>
      <c r="D2784" t="s">
        <v>5573</v>
      </c>
      <c r="E2784" s="3" t="str">
        <f>HYPERLINK("http://genome.ucsc.edu/cgi-bin/hgTracks?db=mm10&amp;lastVirtModeType=default&amp;lastVirtModeExtraState=&amp;virtModeType=default&amp;virtMode=0&amp;nonVirtPosition=&amp;position=chr2:31950302-31973442","chr2:31950302-31973442")</f>
        <v>chr2:31950302-31973442</v>
      </c>
      <c r="F2784" t="s">
        <v>30</v>
      </c>
      <c r="G2784">
        <v>0.43504689774203198</v>
      </c>
      <c r="H2784">
        <v>0.153379817810924</v>
      </c>
      <c r="I2784">
        <v>2.83640249382958</v>
      </c>
      <c r="J2784">
        <v>4.5624907482705104E-3</v>
      </c>
      <c r="K2784">
        <v>2.19266246090211E-2</v>
      </c>
      <c r="L2784" t="s">
        <v>26</v>
      </c>
      <c r="M2784" t="s">
        <v>27</v>
      </c>
      <c r="N2784">
        <v>202.85487941289301</v>
      </c>
      <c r="O2784">
        <v>165.52125091438199</v>
      </c>
      <c r="P2784">
        <v>230.855100786777</v>
      </c>
      <c r="Q2784">
        <v>142.53889177746601</v>
      </c>
      <c r="R2784">
        <v>168.76843768378799</v>
      </c>
      <c r="S2784">
        <v>185.25642328189099</v>
      </c>
      <c r="T2784">
        <v>252.062509356969</v>
      </c>
      <c r="U2784">
        <v>254.80955276037901</v>
      </c>
      <c r="V2784">
        <v>212.603897302543</v>
      </c>
      <c r="W2784">
        <v>203.94444372721699</v>
      </c>
    </row>
    <row r="2785" spans="1:23" x14ac:dyDescent="0.2">
      <c r="A2785" t="s">
        <v>5574</v>
      </c>
      <c r="B2785" s="3" t="str">
        <f>HYPERLINK("http://www.ncbi.nlm.nih.gov/gene/13544","Dvl3")</f>
        <v>Dvl3</v>
      </c>
      <c r="C2785">
        <v>13544</v>
      </c>
      <c r="D2785" t="s">
        <v>5575</v>
      </c>
      <c r="E2785" s="3" t="str">
        <f>HYPERLINK("http://genome.ucsc.edu/cgi-bin/hgTracks?db=mm10&amp;lastVirtModeType=default&amp;lastVirtModeExtraState=&amp;virtModeType=default&amp;virtMode=0&amp;nonVirtPosition=&amp;position=chr16:20517063-20532187","chr16:20517063-20532187")</f>
        <v>chr16:20517063-20532187</v>
      </c>
      <c r="F2785" t="s">
        <v>30</v>
      </c>
      <c r="G2785">
        <v>0.48663744353380001</v>
      </c>
      <c r="H2785">
        <v>0.171572712674463</v>
      </c>
      <c r="I2785">
        <v>2.83633356346781</v>
      </c>
      <c r="J2785">
        <v>4.5634756765993399E-3</v>
      </c>
      <c r="K2785">
        <v>2.19266246090211E-2</v>
      </c>
      <c r="L2785" t="s">
        <v>26</v>
      </c>
      <c r="M2785" t="s">
        <v>27</v>
      </c>
      <c r="N2785">
        <v>332.215838203369</v>
      </c>
      <c r="O2785">
        <v>268.95048837360503</v>
      </c>
      <c r="P2785">
        <v>379.66485057569201</v>
      </c>
      <c r="Q2785">
        <v>243.31834260450199</v>
      </c>
      <c r="R2785">
        <v>227.173694769863</v>
      </c>
      <c r="S2785">
        <v>336.35942774645099</v>
      </c>
      <c r="T2785">
        <v>316.22387537510701</v>
      </c>
      <c r="U2785">
        <v>441.09888965241998</v>
      </c>
      <c r="V2785">
        <v>417.85125836624297</v>
      </c>
      <c r="W2785">
        <v>343.48537890899701</v>
      </c>
    </row>
    <row r="2786" spans="1:23" x14ac:dyDescent="0.2">
      <c r="A2786" t="s">
        <v>5576</v>
      </c>
      <c r="B2786" s="3" t="str">
        <f>HYPERLINK("http://www.ncbi.nlm.nih.gov/gene/21789","Tfpi2")</f>
        <v>Tfpi2</v>
      </c>
      <c r="C2786">
        <v>21789</v>
      </c>
      <c r="D2786" t="s">
        <v>5577</v>
      </c>
      <c r="E2786" s="3" t="str">
        <f>HYPERLINK("http://genome.ucsc.edu/cgi-bin/hgTracks?db=mm10&amp;lastVirtModeType=default&amp;lastVirtModeExtraState=&amp;virtModeType=default&amp;virtMode=0&amp;nonVirtPosition=&amp;position=chr6:3962588-3968375","chr6:3962588-3968375")</f>
        <v>chr6:3962588-3968375</v>
      </c>
      <c r="F2786" t="s">
        <v>25</v>
      </c>
      <c r="G2786">
        <v>-1.0002037729047</v>
      </c>
      <c r="H2786">
        <v>0.35267402189466801</v>
      </c>
      <c r="I2786">
        <v>-2.83605740942108</v>
      </c>
      <c r="J2786">
        <v>4.5674235028116197E-3</v>
      </c>
      <c r="K2786">
        <v>2.19377217095231E-2</v>
      </c>
      <c r="L2786" t="s">
        <v>26</v>
      </c>
      <c r="M2786" t="s">
        <v>27</v>
      </c>
      <c r="N2786">
        <v>22.228398552442201</v>
      </c>
      <c r="O2786">
        <v>34.213795597634501</v>
      </c>
      <c r="P2786">
        <v>13.239350768547901</v>
      </c>
      <c r="Q2786">
        <v>54.008876962555298</v>
      </c>
      <c r="R2786">
        <v>17.066471226450499</v>
      </c>
      <c r="S2786">
        <v>31.566038603897699</v>
      </c>
      <c r="T2786">
        <v>13.7488641467438</v>
      </c>
      <c r="U2786">
        <v>12.847540475313201</v>
      </c>
      <c r="V2786">
        <v>13.241765229916099</v>
      </c>
      <c r="W2786">
        <v>13.1192332222186</v>
      </c>
    </row>
    <row r="2787" spans="1:23" x14ac:dyDescent="0.2">
      <c r="A2787" t="s">
        <v>5578</v>
      </c>
      <c r="B2787" s="3" t="str">
        <f>HYPERLINK("http://www.ncbi.nlm.nih.gov/gene/14809","Grik5")</f>
        <v>Grik5</v>
      </c>
      <c r="C2787">
        <v>14809</v>
      </c>
      <c r="D2787" t="s">
        <v>5579</v>
      </c>
      <c r="E2787" s="3" t="str">
        <f>HYPERLINK("http://genome.ucsc.edu/cgi-bin/hgTracks?db=mm10&amp;lastVirtModeType=default&amp;lastVirtModeExtraState=&amp;virtModeType=default&amp;virtMode=0&amp;nonVirtPosition=&amp;position=chr7:25009850-25072369","chr7:25009850-25072369")</f>
        <v>chr7:25009850-25072369</v>
      </c>
      <c r="F2787" t="s">
        <v>25</v>
      </c>
      <c r="G2787">
        <v>0.498046814337544</v>
      </c>
      <c r="H2787">
        <v>0.17568042130797701</v>
      </c>
      <c r="I2787">
        <v>2.8349591299331101</v>
      </c>
      <c r="J2787">
        <v>4.5831548531778798E-3</v>
      </c>
      <c r="K2787">
        <v>2.2001340940000499E-2</v>
      </c>
      <c r="L2787" t="s">
        <v>26</v>
      </c>
      <c r="M2787" t="s">
        <v>27</v>
      </c>
      <c r="N2787">
        <v>701.00495578615403</v>
      </c>
      <c r="O2787">
        <v>560.47114863994102</v>
      </c>
      <c r="P2787">
        <v>806.40531114581302</v>
      </c>
      <c r="Q2787">
        <v>577.39387020793697</v>
      </c>
      <c r="R2787">
        <v>399.73468161508498</v>
      </c>
      <c r="S2787">
        <v>704.28489409680003</v>
      </c>
      <c r="T2787">
        <v>792.85116579555904</v>
      </c>
      <c r="U2787">
        <v>901.46909001781</v>
      </c>
      <c r="V2787">
        <v>758.45888622464099</v>
      </c>
      <c r="W2787">
        <v>772.84210254524305</v>
      </c>
    </row>
    <row r="2788" spans="1:23" x14ac:dyDescent="0.2">
      <c r="A2788" t="s">
        <v>5580</v>
      </c>
      <c r="B2788" s="3" t="str">
        <f>HYPERLINK("http://www.ncbi.nlm.nih.gov/gene/66055","Sf3b6")</f>
        <v>Sf3b6</v>
      </c>
      <c r="C2788">
        <v>66055</v>
      </c>
      <c r="D2788" t="s">
        <v>5581</v>
      </c>
      <c r="E2788" s="3" t="str">
        <f>HYPERLINK("http://genome.ucsc.edu/cgi-bin/hgTracks?db=mm10&amp;lastVirtModeType=default&amp;lastVirtModeExtraState=&amp;virtModeType=default&amp;virtMode=0&amp;nonVirtPosition=&amp;position=chr12:4817607-4827659","chr12:4817607-4827659")</f>
        <v>chr12:4817607-4827659</v>
      </c>
      <c r="F2788" t="s">
        <v>30</v>
      </c>
      <c r="G2788">
        <v>-0.450775257875554</v>
      </c>
      <c r="H2788">
        <v>0.15900903861808</v>
      </c>
      <c r="I2788">
        <v>-2.8349033601684801</v>
      </c>
      <c r="J2788">
        <v>4.5839549863790196E-3</v>
      </c>
      <c r="K2788">
        <v>2.2001340940000499E-2</v>
      </c>
      <c r="L2788" t="s">
        <v>26</v>
      </c>
      <c r="M2788" t="s">
        <v>27</v>
      </c>
      <c r="N2788">
        <v>221.95921748281501</v>
      </c>
      <c r="O2788">
        <v>263.91179168130998</v>
      </c>
      <c r="P2788">
        <v>190.494786833944</v>
      </c>
      <c r="Q2788">
        <v>228.841736408353</v>
      </c>
      <c r="R2788">
        <v>315.54009023126298</v>
      </c>
      <c r="S2788">
        <v>247.35354840431299</v>
      </c>
      <c r="T2788">
        <v>187.90114333883199</v>
      </c>
      <c r="U2788">
        <v>182.00682340027001</v>
      </c>
      <c r="V2788">
        <v>180.970791475521</v>
      </c>
      <c r="W2788">
        <v>211.100389121154</v>
      </c>
    </row>
    <row r="2789" spans="1:23" x14ac:dyDescent="0.2">
      <c r="A2789" t="s">
        <v>5582</v>
      </c>
      <c r="B2789" s="3" t="str">
        <f>HYPERLINK("http://www.ncbi.nlm.nih.gov/gene/213006","Mfsd4a")</f>
        <v>Mfsd4a</v>
      </c>
      <c r="C2789">
        <v>213006</v>
      </c>
      <c r="D2789" t="s">
        <v>5583</v>
      </c>
      <c r="E2789" s="3" t="str">
        <f>HYPERLINK("http://genome.ucsc.edu/cgi-bin/hgTracks?db=mm10&amp;lastVirtModeType=default&amp;lastVirtModeExtraState=&amp;virtModeType=default&amp;virtMode=0&amp;nonVirtPosition=&amp;position=chr1:132026620-132068062","chr1:132026620-132068062")</f>
        <v>chr1:132026620-132068062</v>
      </c>
      <c r="F2789" t="s">
        <v>25</v>
      </c>
      <c r="G2789">
        <v>0.57442325412504103</v>
      </c>
      <c r="H2789">
        <v>0.202714561132701</v>
      </c>
      <c r="I2789">
        <v>2.8336556136636402</v>
      </c>
      <c r="J2789">
        <v>4.60188961503517E-3</v>
      </c>
      <c r="K2789">
        <v>2.2072374124179801E-2</v>
      </c>
      <c r="L2789" t="s">
        <v>26</v>
      </c>
      <c r="M2789" t="s">
        <v>27</v>
      </c>
      <c r="N2789">
        <v>374.86708016852202</v>
      </c>
      <c r="O2789">
        <v>287.37612108406603</v>
      </c>
      <c r="P2789">
        <v>440.48529948186302</v>
      </c>
      <c r="Q2789">
        <v>236.080039506427</v>
      </c>
      <c r="R2789">
        <v>220.347106279283</v>
      </c>
      <c r="S2789">
        <v>405.70121746648903</v>
      </c>
      <c r="T2789">
        <v>435.38069798022002</v>
      </c>
      <c r="U2789">
        <v>481.78276782424501</v>
      </c>
      <c r="V2789">
        <v>477.43920190086499</v>
      </c>
      <c r="W2789">
        <v>367.33853022212202</v>
      </c>
    </row>
    <row r="2790" spans="1:23" x14ac:dyDescent="0.2">
      <c r="A2790" t="s">
        <v>5584</v>
      </c>
      <c r="B2790" s="3" t="str">
        <f>HYPERLINK("http://www.ncbi.nlm.nih.gov/gene/18220","Nucb1")</f>
        <v>Nucb1</v>
      </c>
      <c r="C2790">
        <v>18220</v>
      </c>
      <c r="D2790" t="s">
        <v>5585</v>
      </c>
      <c r="E2790" s="3" t="str">
        <f>HYPERLINK("http://genome.ucsc.edu/cgi-bin/hgTracks?db=mm10&amp;lastVirtModeType=default&amp;lastVirtModeExtraState=&amp;virtModeType=default&amp;virtMode=0&amp;nonVirtPosition=&amp;position=chr7:45492673-45510408","chr7:45492673-45510408")</f>
        <v>chr7:45492673-45510408</v>
      </c>
      <c r="F2790" t="s">
        <v>25</v>
      </c>
      <c r="G2790">
        <v>-0.412439958770073</v>
      </c>
      <c r="H2790">
        <v>0.14555106514154401</v>
      </c>
      <c r="I2790">
        <v>-2.8336443870677801</v>
      </c>
      <c r="J2790">
        <v>4.6020512698610998E-3</v>
      </c>
      <c r="K2790">
        <v>2.2072374124179801E-2</v>
      </c>
      <c r="L2790" t="s">
        <v>26</v>
      </c>
      <c r="M2790" t="s">
        <v>27</v>
      </c>
      <c r="N2790">
        <v>479.44307683945499</v>
      </c>
      <c r="O2790">
        <v>564.756249012323</v>
      </c>
      <c r="P2790">
        <v>415.45819770980398</v>
      </c>
      <c r="Q2790">
        <v>680.40049121899597</v>
      </c>
      <c r="R2790">
        <v>526.40582360696203</v>
      </c>
      <c r="S2790">
        <v>487.46243221101003</v>
      </c>
      <c r="T2790">
        <v>362.05342253091999</v>
      </c>
      <c r="U2790">
        <v>426.11009243122197</v>
      </c>
      <c r="V2790">
        <v>434.77129171557999</v>
      </c>
      <c r="W2790">
        <v>438.89798416149603</v>
      </c>
    </row>
    <row r="2791" spans="1:23" x14ac:dyDescent="0.2">
      <c r="A2791" t="s">
        <v>5586</v>
      </c>
      <c r="B2791" s="3" t="str">
        <f>HYPERLINK("http://www.ncbi.nlm.nih.gov/gene/18969","Pola2")</f>
        <v>Pola2</v>
      </c>
      <c r="C2791">
        <v>18969</v>
      </c>
      <c r="D2791" t="s">
        <v>5587</v>
      </c>
      <c r="E2791" s="3" t="str">
        <f>HYPERLINK("http://genome.ucsc.edu/cgi-bin/hgTracks?db=mm10&amp;lastVirtModeType=default&amp;lastVirtModeExtraState=&amp;virtModeType=default&amp;virtMode=0&amp;nonVirtPosition=&amp;position=chr19:5940542-5964206","chr19:5940542-5964206")</f>
        <v>chr19:5940542-5964206</v>
      </c>
      <c r="F2791" t="s">
        <v>25</v>
      </c>
      <c r="G2791">
        <v>0.672972036351417</v>
      </c>
      <c r="H2791">
        <v>0.23751241950949001</v>
      </c>
      <c r="I2791">
        <v>2.8334183018354899</v>
      </c>
      <c r="J2791">
        <v>4.6053078277802301E-3</v>
      </c>
      <c r="K2791">
        <v>2.2076325710587898E-2</v>
      </c>
      <c r="L2791" t="s">
        <v>26</v>
      </c>
      <c r="M2791" t="s">
        <v>27</v>
      </c>
      <c r="N2791">
        <v>132.15838237372699</v>
      </c>
      <c r="O2791">
        <v>94.968384771804097</v>
      </c>
      <c r="P2791">
        <v>160.050880575169</v>
      </c>
      <c r="Q2791">
        <v>54.008876962555298</v>
      </c>
      <c r="R2791">
        <v>117.569024004437</v>
      </c>
      <c r="S2791">
        <v>113.32725334842</v>
      </c>
      <c r="T2791">
        <v>151.237505614182</v>
      </c>
      <c r="U2791">
        <v>184.14808014615599</v>
      </c>
      <c r="V2791">
        <v>139.03853491411999</v>
      </c>
      <c r="W2791">
        <v>165.77940162621701</v>
      </c>
    </row>
    <row r="2792" spans="1:23" x14ac:dyDescent="0.2">
      <c r="A2792" t="s">
        <v>5588</v>
      </c>
      <c r="B2792" s="3" t="str">
        <f>HYPERLINK("http://www.ncbi.nlm.nih.gov/gene/69295","Far1os")</f>
        <v>Far1os</v>
      </c>
      <c r="C2792">
        <v>69295</v>
      </c>
      <c r="D2792" t="s">
        <v>5589</v>
      </c>
      <c r="E2792" s="3" t="str">
        <f>HYPERLINK("http://genome.ucsc.edu/cgi-bin/hgTracks?db=mm10&amp;lastVirtModeType=default&amp;lastVirtModeExtraState=&amp;virtModeType=default&amp;virtMode=0&amp;nonVirtPosition=&amp;position=chr7:113538025-113564987","chr7:113538025-113564987")</f>
        <v>chr7:113538025-113564987</v>
      </c>
      <c r="F2792" t="s">
        <v>25</v>
      </c>
      <c r="G2792">
        <v>1.0378852972025701</v>
      </c>
      <c r="H2792">
        <v>0.36630922915922898</v>
      </c>
      <c r="I2792">
        <v>2.8333583065454699</v>
      </c>
      <c r="J2792">
        <v>4.6061723572087604E-3</v>
      </c>
      <c r="K2792">
        <v>2.2076325710587898E-2</v>
      </c>
      <c r="L2792" t="s">
        <v>26</v>
      </c>
      <c r="M2792" t="s">
        <v>27</v>
      </c>
      <c r="N2792">
        <v>13.682210377993201</v>
      </c>
      <c r="O2792">
        <v>6.2525281454411399</v>
      </c>
      <c r="P2792">
        <v>19.254472052407198</v>
      </c>
      <c r="Q2792">
        <v>7.2383030980744296</v>
      </c>
      <c r="R2792">
        <v>5.3095688260068199</v>
      </c>
      <c r="S2792">
        <v>6.2097125122421701</v>
      </c>
      <c r="T2792">
        <v>36.663637724650101</v>
      </c>
      <c r="U2792">
        <v>8.5650269835421398</v>
      </c>
      <c r="V2792">
        <v>19.8626478448742</v>
      </c>
      <c r="W2792">
        <v>11.926575656562401</v>
      </c>
    </row>
    <row r="2793" spans="1:23" x14ac:dyDescent="0.2">
      <c r="A2793" t="s">
        <v>5590</v>
      </c>
      <c r="B2793" s="3" t="str">
        <f>HYPERLINK("http://www.ncbi.nlm.nih.gov/gene/18799","Plcd1")</f>
        <v>Plcd1</v>
      </c>
      <c r="C2793">
        <v>18799</v>
      </c>
      <c r="D2793" t="s">
        <v>5591</v>
      </c>
      <c r="E2793" s="3" t="str">
        <f>HYPERLINK("http://genome.ucsc.edu/cgi-bin/hgTracks?db=mm10&amp;lastVirtModeType=default&amp;lastVirtModeExtraState=&amp;virtModeType=default&amp;virtMode=0&amp;nonVirtPosition=&amp;position=chr9:119071527-119093502","chr9:119071527-119093502")</f>
        <v>chr9:119071527-119093502</v>
      </c>
      <c r="F2793" t="s">
        <v>25</v>
      </c>
      <c r="G2793">
        <v>0.64313450453318499</v>
      </c>
      <c r="H2793">
        <v>0.22700296981983001</v>
      </c>
      <c r="I2793">
        <v>2.8331545840287302</v>
      </c>
      <c r="J2793">
        <v>4.6091090864908797E-3</v>
      </c>
      <c r="K2793">
        <v>2.20824972369228E-2</v>
      </c>
      <c r="L2793" t="s">
        <v>26</v>
      </c>
      <c r="M2793" t="s">
        <v>27</v>
      </c>
      <c r="N2793">
        <v>108.876415705002</v>
      </c>
      <c r="O2793">
        <v>79.610150354989401</v>
      </c>
      <c r="P2793">
        <v>130.82611471751201</v>
      </c>
      <c r="Q2793">
        <v>52.8952918705439</v>
      </c>
      <c r="R2793">
        <v>76.230238144812304</v>
      </c>
      <c r="S2793">
        <v>109.704921049612</v>
      </c>
      <c r="T2793">
        <v>137.48864146743799</v>
      </c>
      <c r="U2793">
        <v>139.18168848255999</v>
      </c>
      <c r="V2793">
        <v>130.946345051393</v>
      </c>
      <c r="W2793">
        <v>115.687783868655</v>
      </c>
    </row>
    <row r="2794" spans="1:23" x14ac:dyDescent="0.2">
      <c r="A2794" t="s">
        <v>5592</v>
      </c>
      <c r="B2794" s="3" t="str">
        <f>HYPERLINK("http://www.ncbi.nlm.nih.gov/gene/73332","Ccdc30")</f>
        <v>Ccdc30</v>
      </c>
      <c r="C2794">
        <v>73332</v>
      </c>
      <c r="D2794" t="s">
        <v>5593</v>
      </c>
      <c r="E2794" s="3" t="str">
        <f>HYPERLINK("http://genome.ucsc.edu/cgi-bin/hgTracks?db=mm10&amp;lastVirtModeType=default&amp;lastVirtModeExtraState=&amp;virtModeType=default&amp;virtMode=0&amp;nonVirtPosition=&amp;position=chr4:119367639-119383834","chr4:119367639-119383834")</f>
        <v>chr4:119367639-119383834</v>
      </c>
      <c r="F2794" t="s">
        <v>25</v>
      </c>
      <c r="G2794">
        <v>0.96795757365229496</v>
      </c>
      <c r="H2794">
        <v>0.34167917436720402</v>
      </c>
      <c r="I2794">
        <v>2.8329428489312298</v>
      </c>
      <c r="J2794">
        <v>4.6121631167011E-3</v>
      </c>
      <c r="K2794">
        <v>2.2083474822686001E-2</v>
      </c>
      <c r="L2794" t="s">
        <v>26</v>
      </c>
      <c r="M2794" t="s">
        <v>27</v>
      </c>
      <c r="N2794">
        <v>18.6537043366354</v>
      </c>
      <c r="O2794">
        <v>9.7324874720644399</v>
      </c>
      <c r="P2794">
        <v>25.344616985063599</v>
      </c>
      <c r="Q2794">
        <v>10.0222658281031</v>
      </c>
      <c r="R2794">
        <v>9.8606278197269592</v>
      </c>
      <c r="S2794">
        <v>9.3145687683632605</v>
      </c>
      <c r="T2794">
        <v>36.663637724650101</v>
      </c>
      <c r="U2794">
        <v>19.2713107129698</v>
      </c>
      <c r="V2794">
        <v>13.241765229916099</v>
      </c>
      <c r="W2794">
        <v>32.201754272718503</v>
      </c>
    </row>
    <row r="2795" spans="1:23" x14ac:dyDescent="0.2">
      <c r="A2795" t="s">
        <v>5594</v>
      </c>
      <c r="B2795" s="3" t="str">
        <f>HYPERLINK("http://www.ncbi.nlm.nih.gov/gene/53970","Rfx5")</f>
        <v>Rfx5</v>
      </c>
      <c r="C2795">
        <v>53970</v>
      </c>
      <c r="D2795" t="s">
        <v>5595</v>
      </c>
      <c r="E2795" s="3" t="str">
        <f>HYPERLINK("http://genome.ucsc.edu/cgi-bin/hgTracks?db=mm10&amp;lastVirtModeType=default&amp;lastVirtModeExtraState=&amp;virtModeType=default&amp;virtMode=0&amp;nonVirtPosition=&amp;position=chr3:94955014-94961561","chr3:94955014-94961561")</f>
        <v>chr3:94955014-94961561</v>
      </c>
      <c r="F2795" t="s">
        <v>30</v>
      </c>
      <c r="G2795">
        <v>0.47768477761016698</v>
      </c>
      <c r="H2795">
        <v>0.16861971515795199</v>
      </c>
      <c r="I2795">
        <v>2.8329117811799298</v>
      </c>
      <c r="J2795">
        <v>4.6126113866815496E-3</v>
      </c>
      <c r="K2795">
        <v>2.2083474822686001E-2</v>
      </c>
      <c r="L2795" t="s">
        <v>26</v>
      </c>
      <c r="M2795" t="s">
        <v>27</v>
      </c>
      <c r="N2795">
        <v>206.89045353660899</v>
      </c>
      <c r="O2795">
        <v>165.95369834215401</v>
      </c>
      <c r="P2795">
        <v>237.59301993245001</v>
      </c>
      <c r="Q2795">
        <v>198.218146378038</v>
      </c>
      <c r="R2795">
        <v>131.98071081788399</v>
      </c>
      <c r="S2795">
        <v>167.662237830539</v>
      </c>
      <c r="T2795">
        <v>279.560237650457</v>
      </c>
      <c r="U2795">
        <v>214.12567458855401</v>
      </c>
      <c r="V2795">
        <v>232.46654514741701</v>
      </c>
      <c r="W2795">
        <v>224.219622343373</v>
      </c>
    </row>
    <row r="2796" spans="1:23" x14ac:dyDescent="0.2">
      <c r="A2796" t="s">
        <v>5596</v>
      </c>
      <c r="B2796" s="3" t="str">
        <f>HYPERLINK("http://www.ncbi.nlm.nih.gov/gene/210297","Lrch2")</f>
        <v>Lrch2</v>
      </c>
      <c r="C2796">
        <v>210297</v>
      </c>
      <c r="D2796" t="s">
        <v>5597</v>
      </c>
      <c r="E2796" s="3" t="str">
        <f>HYPERLINK("http://genome.ucsc.edu/cgi-bin/hgTracks?db=mm10&amp;lastVirtModeType=default&amp;lastVirtModeExtraState=&amp;virtModeType=default&amp;virtMode=0&amp;nonVirtPosition=&amp;position=chrX:147471693-147554081","chrX:147471693-147554081")</f>
        <v>chrX:147471693-147554081</v>
      </c>
      <c r="F2796" t="s">
        <v>25</v>
      </c>
      <c r="G2796">
        <v>-0.35751801005848699</v>
      </c>
      <c r="H2796">
        <v>0.126239187740012</v>
      </c>
      <c r="I2796">
        <v>-2.8320683652907501</v>
      </c>
      <c r="J2796">
        <v>4.6247959400061798E-3</v>
      </c>
      <c r="K2796">
        <v>2.2133896509157501E-2</v>
      </c>
      <c r="L2796" t="s">
        <v>26</v>
      </c>
      <c r="M2796" t="s">
        <v>27</v>
      </c>
      <c r="N2796">
        <v>301.94528445561002</v>
      </c>
      <c r="O2796">
        <v>346.53164433750197</v>
      </c>
      <c r="P2796">
        <v>268.50551454419099</v>
      </c>
      <c r="Q2796">
        <v>371.38062818581898</v>
      </c>
      <c r="R2796">
        <v>320.47040414112598</v>
      </c>
      <c r="S2796">
        <v>347.74390068556198</v>
      </c>
      <c r="T2796">
        <v>256.64546407255102</v>
      </c>
      <c r="U2796">
        <v>299.77594442397498</v>
      </c>
      <c r="V2796">
        <v>270.72053358939701</v>
      </c>
      <c r="W2796">
        <v>246.88011609084199</v>
      </c>
    </row>
    <row r="2797" spans="1:23" x14ac:dyDescent="0.2">
      <c r="A2797" t="s">
        <v>5598</v>
      </c>
      <c r="B2797" s="3" t="str">
        <f>HYPERLINK("http://www.ncbi.nlm.nih.gov/gene/214663","Slc25a29")</f>
        <v>Slc25a29</v>
      </c>
      <c r="C2797">
        <v>214663</v>
      </c>
      <c r="D2797" t="s">
        <v>5599</v>
      </c>
      <c r="E2797" s="3" t="str">
        <f>HYPERLINK("http://genome.ucsc.edu/cgi-bin/hgTracks?db=mm10&amp;lastVirtModeType=default&amp;lastVirtModeExtraState=&amp;virtModeType=default&amp;virtMode=0&amp;nonVirtPosition=&amp;position=chr12:108825877-108835876","chr12:108825877-108835876")</f>
        <v>chr12:108825877-108835876</v>
      </c>
      <c r="F2797" t="s">
        <v>25</v>
      </c>
      <c r="G2797">
        <v>-0.70070750683022898</v>
      </c>
      <c r="H2797">
        <v>0.247437475819798</v>
      </c>
      <c r="I2797">
        <v>-2.8318568337665102</v>
      </c>
      <c r="J2797">
        <v>4.6278564348484303E-3</v>
      </c>
      <c r="K2797">
        <v>2.2140630767794E-2</v>
      </c>
      <c r="L2797" t="s">
        <v>26</v>
      </c>
      <c r="M2797" t="s">
        <v>27</v>
      </c>
      <c r="N2797">
        <v>62.563621038332201</v>
      </c>
      <c r="O2797">
        <v>82.566605099246999</v>
      </c>
      <c r="P2797">
        <v>47.561382992646202</v>
      </c>
      <c r="Q2797">
        <v>61.247180060629802</v>
      </c>
      <c r="R2797">
        <v>76.230238144812304</v>
      </c>
      <c r="S2797">
        <v>110.222397092299</v>
      </c>
      <c r="T2797">
        <v>45.829547155812598</v>
      </c>
      <c r="U2797">
        <v>49.248905155367297</v>
      </c>
      <c r="V2797">
        <v>52.231407295780301</v>
      </c>
      <c r="W2797">
        <v>42.935672363624597</v>
      </c>
    </row>
    <row r="2798" spans="1:23" x14ac:dyDescent="0.2">
      <c r="A2798" t="s">
        <v>5600</v>
      </c>
      <c r="B2798" s="3" t="str">
        <f>HYPERLINK("http://www.ncbi.nlm.nih.gov/gene/27999","Fam3c")</f>
        <v>Fam3c</v>
      </c>
      <c r="C2798">
        <v>27999</v>
      </c>
      <c r="D2798" t="s">
        <v>5601</v>
      </c>
      <c r="E2798" s="3" t="str">
        <f>HYPERLINK("http://genome.ucsc.edu/cgi-bin/hgTracks?db=mm10&amp;lastVirtModeType=default&amp;lastVirtModeExtraState=&amp;virtModeType=default&amp;virtMode=0&amp;nonVirtPosition=&amp;position=chr6:22306521-22356081","chr6:22306521-22356081")</f>
        <v>chr6:22306521-22356081</v>
      </c>
      <c r="F2798" t="s">
        <v>25</v>
      </c>
      <c r="G2798">
        <v>-0.49636182464449902</v>
      </c>
      <c r="H2798">
        <v>0.17534494205203399</v>
      </c>
      <c r="I2798">
        <v>-2.83077355317841</v>
      </c>
      <c r="J2798">
        <v>4.6435583929682498E-3</v>
      </c>
      <c r="K2798">
        <v>2.22078180143707E-2</v>
      </c>
      <c r="L2798" t="s">
        <v>26</v>
      </c>
      <c r="M2798" t="s">
        <v>27</v>
      </c>
      <c r="N2798">
        <v>450.29091454226199</v>
      </c>
      <c r="O2798">
        <v>547.43473922201701</v>
      </c>
      <c r="P2798">
        <v>377.43304603244599</v>
      </c>
      <c r="Q2798">
        <v>709.91049615729901</v>
      </c>
      <c r="R2798">
        <v>508.58084254822501</v>
      </c>
      <c r="S2798">
        <v>423.812878960528</v>
      </c>
      <c r="T2798">
        <v>320.80683009068798</v>
      </c>
      <c r="U2798">
        <v>398.27375473471</v>
      </c>
      <c r="V2798">
        <v>399.45991776913701</v>
      </c>
      <c r="W2798">
        <v>391.19168153524703</v>
      </c>
    </row>
    <row r="2799" spans="1:23" x14ac:dyDescent="0.2">
      <c r="A2799" t="s">
        <v>5602</v>
      </c>
      <c r="B2799" s="3" t="str">
        <f>HYPERLINK("http://www.ncbi.nlm.nih.gov/gene/668661","2410002F23Rik")</f>
        <v>2410002F23Rik</v>
      </c>
      <c r="C2799">
        <v>668661</v>
      </c>
      <c r="D2799" t="s">
        <v>5603</v>
      </c>
      <c r="E2799" s="3" t="str">
        <f>HYPERLINK("http://genome.ucsc.edu/cgi-bin/hgTracks?db=mm10&amp;lastVirtModeType=default&amp;lastVirtModeExtraState=&amp;virtModeType=default&amp;virtMode=0&amp;nonVirtPosition=&amp;position=chr7:44246721-44252319","chr7:44246721-44252319")</f>
        <v>chr7:44246721-44252319</v>
      </c>
      <c r="F2799" t="s">
        <v>30</v>
      </c>
      <c r="G2799">
        <v>0.516903274221853</v>
      </c>
      <c r="H2799">
        <v>0.18261227178872</v>
      </c>
      <c r="I2799">
        <v>2.8306053539485201</v>
      </c>
      <c r="J2799">
        <v>4.6460007325707002E-3</v>
      </c>
      <c r="K2799">
        <v>2.2211565801447401E-2</v>
      </c>
      <c r="L2799" t="s">
        <v>26</v>
      </c>
      <c r="M2799" t="s">
        <v>27</v>
      </c>
      <c r="N2799">
        <v>218.09508643038001</v>
      </c>
      <c r="O2799">
        <v>172.58000869315001</v>
      </c>
      <c r="P2799">
        <v>252.23139473330301</v>
      </c>
      <c r="Q2799">
        <v>127.50549303531101</v>
      </c>
      <c r="R2799">
        <v>191.52373265238899</v>
      </c>
      <c r="S2799">
        <v>198.71080039175001</v>
      </c>
      <c r="T2799">
        <v>238.31364521022601</v>
      </c>
      <c r="U2799">
        <v>289.069660694547</v>
      </c>
      <c r="V2799">
        <v>269.249226341628</v>
      </c>
      <c r="W2799">
        <v>212.29304668681101</v>
      </c>
    </row>
    <row r="2800" spans="1:23" x14ac:dyDescent="0.2">
      <c r="A2800" t="s">
        <v>5604</v>
      </c>
      <c r="B2800" s="3" t="str">
        <f>HYPERLINK("http://www.ncbi.nlm.nih.gov/gene/26572","Cops3")</f>
        <v>Cops3</v>
      </c>
      <c r="C2800">
        <v>26572</v>
      </c>
      <c r="D2800" t="s">
        <v>5605</v>
      </c>
      <c r="E2800" s="3" t="str">
        <f>HYPERLINK("http://genome.ucsc.edu/cgi-bin/hgTracks?db=mm10&amp;lastVirtModeType=default&amp;lastVirtModeExtraState=&amp;virtModeType=default&amp;virtMode=0&amp;nonVirtPosition=&amp;position=chr11:59817803-59839767","chr11:59817803-59839767")</f>
        <v>chr11:59817803-59839767</v>
      </c>
      <c r="F2800" t="s">
        <v>25</v>
      </c>
      <c r="G2800">
        <v>-0.47047360269532901</v>
      </c>
      <c r="H2800">
        <v>0.16621763062943201</v>
      </c>
      <c r="I2800">
        <v>-2.8304675076509098</v>
      </c>
      <c r="J2800">
        <v>4.6480031991070897E-3</v>
      </c>
      <c r="K2800">
        <v>2.2213208722070998E-2</v>
      </c>
      <c r="L2800" t="s">
        <v>26</v>
      </c>
      <c r="M2800" t="s">
        <v>27</v>
      </c>
      <c r="N2800">
        <v>221.84592313972101</v>
      </c>
      <c r="O2800">
        <v>268.29190514655397</v>
      </c>
      <c r="P2800">
        <v>187.011436634597</v>
      </c>
      <c r="Q2800">
        <v>224.944188586313</v>
      </c>
      <c r="R2800">
        <v>322.74593363798601</v>
      </c>
      <c r="S2800">
        <v>257.18559321536299</v>
      </c>
      <c r="T2800">
        <v>155.82046032976299</v>
      </c>
      <c r="U2800">
        <v>184.14808014615599</v>
      </c>
      <c r="V2800">
        <v>199.362132072626</v>
      </c>
      <c r="W2800">
        <v>208.71507398984201</v>
      </c>
    </row>
    <row r="2801" spans="1:23" x14ac:dyDescent="0.2">
      <c r="A2801" t="s">
        <v>5606</v>
      </c>
      <c r="B2801" s="3" t="str">
        <f>HYPERLINK("http://www.ncbi.nlm.nih.gov/gene/19275","Ptprn")</f>
        <v>Ptprn</v>
      </c>
      <c r="C2801">
        <v>19275</v>
      </c>
      <c r="D2801" t="s">
        <v>5607</v>
      </c>
      <c r="E2801" s="3" t="str">
        <f>HYPERLINK("http://genome.ucsc.edu/cgi-bin/hgTracks?db=mm10&amp;lastVirtModeType=default&amp;lastVirtModeExtraState=&amp;virtModeType=default&amp;virtMode=0&amp;nonVirtPosition=&amp;position=chr1:75247040-75264208","chr1:75247040-75264208")</f>
        <v>chr1:75247040-75264208</v>
      </c>
      <c r="F2801" t="s">
        <v>25</v>
      </c>
      <c r="G2801">
        <v>-0.56513718421288195</v>
      </c>
      <c r="H2801">
        <v>0.19969029148145501</v>
      </c>
      <c r="I2801">
        <v>-2.8300684025260501</v>
      </c>
      <c r="J2801">
        <v>4.6538053297254696E-3</v>
      </c>
      <c r="K2801">
        <v>2.2233002914860401E-2</v>
      </c>
      <c r="L2801" t="s">
        <v>26</v>
      </c>
      <c r="M2801" t="s">
        <v>27</v>
      </c>
      <c r="N2801">
        <v>915.30975779440303</v>
      </c>
      <c r="O2801">
        <v>1142.6181388258301</v>
      </c>
      <c r="P2801">
        <v>744.82847202083701</v>
      </c>
      <c r="Q2801">
        <v>1241.64737759277</v>
      </c>
      <c r="R2801">
        <v>848.01399249651899</v>
      </c>
      <c r="S2801">
        <v>1338.1930463881899</v>
      </c>
      <c r="T2801">
        <v>494.95910928277601</v>
      </c>
      <c r="U2801">
        <v>901.46909001781</v>
      </c>
      <c r="V2801">
        <v>848.20862833851697</v>
      </c>
      <c r="W2801">
        <v>734.67706044424403</v>
      </c>
    </row>
    <row r="2802" spans="1:23" x14ac:dyDescent="0.2">
      <c r="A2802" t="s">
        <v>5608</v>
      </c>
      <c r="B2802" s="3" t="str">
        <f>HYPERLINK("http://www.ncbi.nlm.nih.gov/gene/21877","Tk1")</f>
        <v>Tk1</v>
      </c>
      <c r="C2802">
        <v>21877</v>
      </c>
      <c r="D2802" t="s">
        <v>5609</v>
      </c>
      <c r="E2802" s="3" t="str">
        <f>HYPERLINK("http://genome.ucsc.edu/cgi-bin/hgTracks?db=mm10&amp;lastVirtModeType=default&amp;lastVirtModeExtraState=&amp;virtModeType=default&amp;virtMode=0&amp;nonVirtPosition=&amp;position=chr11:117815518-117826014","chr11:117815518-117826014")</f>
        <v>chr11:117815518-117826014</v>
      </c>
      <c r="F2802" t="s">
        <v>25</v>
      </c>
      <c r="G2802">
        <v>0.79339882741940604</v>
      </c>
      <c r="H2802">
        <v>0.28040121833069698</v>
      </c>
      <c r="I2802">
        <v>2.8295127679641401</v>
      </c>
      <c r="J2802">
        <v>4.661893982397E-3</v>
      </c>
      <c r="K2802">
        <v>2.2263702681268999E-2</v>
      </c>
      <c r="L2802" t="s">
        <v>26</v>
      </c>
      <c r="M2802" t="s">
        <v>27</v>
      </c>
      <c r="N2802">
        <v>120.688182780725</v>
      </c>
      <c r="O2802">
        <v>79.422047086205396</v>
      </c>
      <c r="P2802">
        <v>151.637784551615</v>
      </c>
      <c r="Q2802">
        <v>32.850760214337797</v>
      </c>
      <c r="R2802">
        <v>95.1929839519795</v>
      </c>
      <c r="S2802">
        <v>110.222397092299</v>
      </c>
      <c r="T2802">
        <v>151.237505614182</v>
      </c>
      <c r="U2802">
        <v>160.59425594141501</v>
      </c>
      <c r="V2802">
        <v>136.09592041858301</v>
      </c>
      <c r="W2802">
        <v>158.62345623228001</v>
      </c>
    </row>
    <row r="2803" spans="1:23" x14ac:dyDescent="0.2">
      <c r="A2803" t="s">
        <v>5610</v>
      </c>
      <c r="B2803" s="3" t="str">
        <f>HYPERLINK("http://www.ncbi.nlm.nih.gov/gene/545085","Wdr70")</f>
        <v>Wdr70</v>
      </c>
      <c r="C2803">
        <v>545085</v>
      </c>
      <c r="D2803" t="s">
        <v>5611</v>
      </c>
      <c r="E2803" s="3" t="str">
        <f>HYPERLINK("http://genome.ucsc.edu/cgi-bin/hgTracks?db=mm10&amp;lastVirtModeType=default&amp;lastVirtModeExtraState=&amp;virtModeType=default&amp;virtMode=0&amp;nonVirtPosition=&amp;position=chr15:7873054-8099209","chr15:7873054-8099209")</f>
        <v>chr15:7873054-8099209</v>
      </c>
      <c r="F2803" t="s">
        <v>25</v>
      </c>
      <c r="G2803">
        <v>0.58603231553355195</v>
      </c>
      <c r="H2803">
        <v>0.20712638811745099</v>
      </c>
      <c r="I2803">
        <v>2.8293464722671802</v>
      </c>
      <c r="J2803">
        <v>4.6643173064626299E-3</v>
      </c>
      <c r="K2803">
        <v>2.2267334420977201E-2</v>
      </c>
      <c r="L2803" t="s">
        <v>26</v>
      </c>
      <c r="M2803" t="s">
        <v>27</v>
      </c>
      <c r="N2803">
        <v>96.178857805670006</v>
      </c>
      <c r="O2803">
        <v>73.986046750853205</v>
      </c>
      <c r="P2803">
        <v>112.82346609678299</v>
      </c>
      <c r="Q2803">
        <v>56.792839692583897</v>
      </c>
      <c r="R2803">
        <v>79.264277473958998</v>
      </c>
      <c r="S2803">
        <v>85.901023086016707</v>
      </c>
      <c r="T2803">
        <v>109.99091317395001</v>
      </c>
      <c r="U2803">
        <v>87.791526581306996</v>
      </c>
      <c r="V2803">
        <v>129.47503780362501</v>
      </c>
      <c r="W2803">
        <v>124.03638682824899</v>
      </c>
    </row>
    <row r="2804" spans="1:23" x14ac:dyDescent="0.2">
      <c r="A2804" t="s">
        <v>5612</v>
      </c>
      <c r="B2804" s="3" t="str">
        <f>HYPERLINK("http://www.ncbi.nlm.nih.gov/gene/380608","Tagap1")</f>
        <v>Tagap1</v>
      </c>
      <c r="C2804">
        <v>380608</v>
      </c>
      <c r="D2804" t="s">
        <v>5613</v>
      </c>
      <c r="E2804" s="3" t="str">
        <f>HYPERLINK("http://genome.ucsc.edu/cgi-bin/hgTracks?db=mm10&amp;lastVirtModeType=default&amp;lastVirtModeExtraState=&amp;virtModeType=default&amp;virtMode=0&amp;nonVirtPosition=&amp;position=chr17:6954964-6961156","chr17:6954964-6961156")</f>
        <v>chr17:6954964-6961156</v>
      </c>
      <c r="F2804" t="s">
        <v>25</v>
      </c>
      <c r="G2804">
        <v>0.94207991638631805</v>
      </c>
      <c r="H2804">
        <v>0.33300988668238901</v>
      </c>
      <c r="I2804">
        <v>2.8289848261617299</v>
      </c>
      <c r="J2804">
        <v>4.6695912884605704E-3</v>
      </c>
      <c r="K2804">
        <v>2.22845676920084E-2</v>
      </c>
      <c r="L2804" t="s">
        <v>26</v>
      </c>
      <c r="M2804" t="s">
        <v>27</v>
      </c>
      <c r="N2804">
        <v>17.056511465048299</v>
      </c>
      <c r="O2804">
        <v>10.102379822791001</v>
      </c>
      <c r="P2804">
        <v>22.272110196741298</v>
      </c>
      <c r="Q2804">
        <v>10.579058374108801</v>
      </c>
      <c r="R2804">
        <v>8.3436081551535803</v>
      </c>
      <c r="S2804">
        <v>11.3844729391106</v>
      </c>
      <c r="T2804">
        <v>13.7488641467438</v>
      </c>
      <c r="U2804">
        <v>23.553824204740899</v>
      </c>
      <c r="V2804">
        <v>18.391340597105799</v>
      </c>
      <c r="W2804">
        <v>33.394411838374701</v>
      </c>
    </row>
    <row r="2805" spans="1:23" x14ac:dyDescent="0.2">
      <c r="A2805" t="s">
        <v>5614</v>
      </c>
      <c r="B2805" s="3" t="str">
        <f>HYPERLINK("http://www.ncbi.nlm.nih.gov/gene/30057","Timm8b")</f>
        <v>Timm8b</v>
      </c>
      <c r="C2805">
        <v>30057</v>
      </c>
      <c r="D2805" t="s">
        <v>5615</v>
      </c>
      <c r="E2805" s="3" t="str">
        <f>HYPERLINK("http://genome.ucsc.edu/cgi-bin/hgTracks?db=mm10&amp;lastVirtModeType=default&amp;lastVirtModeExtraState=&amp;virtModeType=default&amp;virtMode=0&amp;nonVirtPosition=&amp;position=chr9:50603900-50605320","chr9:50603900-50605320")</f>
        <v>chr9:50603900-50605320</v>
      </c>
      <c r="F2805" t="s">
        <v>30</v>
      </c>
      <c r="G2805">
        <v>-0.57837207500658006</v>
      </c>
      <c r="H2805">
        <v>0.20448324853285099</v>
      </c>
      <c r="I2805">
        <v>-2.8284569966310098</v>
      </c>
      <c r="J2805">
        <v>4.6772984587690599E-3</v>
      </c>
      <c r="K2805">
        <v>2.23133963880928E-2</v>
      </c>
      <c r="L2805" t="s">
        <v>26</v>
      </c>
      <c r="M2805" t="s">
        <v>27</v>
      </c>
      <c r="N2805">
        <v>87.157839909383497</v>
      </c>
      <c r="O2805">
        <v>108.22518048548</v>
      </c>
      <c r="P2805">
        <v>71.357334477311198</v>
      </c>
      <c r="Q2805">
        <v>94.097940274967499</v>
      </c>
      <c r="R2805">
        <v>131.222200985597</v>
      </c>
      <c r="S2805">
        <v>99.355400195874793</v>
      </c>
      <c r="T2805">
        <v>68.744320733718993</v>
      </c>
      <c r="U2805">
        <v>83.509013089535898</v>
      </c>
      <c r="V2805">
        <v>64.001865277928005</v>
      </c>
      <c r="W2805">
        <v>69.174138808061898</v>
      </c>
    </row>
    <row r="2806" spans="1:23" x14ac:dyDescent="0.2">
      <c r="A2806" t="s">
        <v>5616</v>
      </c>
      <c r="B2806" s="3" t="str">
        <f>HYPERLINK("http://www.ncbi.nlm.nih.gov/gene/19739","Rgs9")</f>
        <v>Rgs9</v>
      </c>
      <c r="C2806">
        <v>19739</v>
      </c>
      <c r="D2806" t="s">
        <v>5617</v>
      </c>
      <c r="E2806" s="3" t="str">
        <f>HYPERLINK("http://genome.ucsc.edu/cgi-bin/hgTracks?db=mm10&amp;lastVirtModeType=default&amp;lastVirtModeExtraState=&amp;virtModeType=default&amp;virtMode=0&amp;nonVirtPosition=&amp;position=chr11:109225354-109298181","chr11:109225354-109298181")</f>
        <v>chr11:109225354-109298181</v>
      </c>
      <c r="F2806" t="s">
        <v>25</v>
      </c>
      <c r="G2806">
        <v>0.54582580037383599</v>
      </c>
      <c r="H2806">
        <v>0.19301539946045801</v>
      </c>
      <c r="I2806">
        <v>2.8278873183155402</v>
      </c>
      <c r="J2806">
        <v>4.6856296104907397E-3</v>
      </c>
      <c r="K2806">
        <v>2.2345180240057501E-2</v>
      </c>
      <c r="L2806" t="s">
        <v>26</v>
      </c>
      <c r="M2806" t="s">
        <v>27</v>
      </c>
      <c r="N2806">
        <v>98.233673407691299</v>
      </c>
      <c r="O2806">
        <v>76.133013786134995</v>
      </c>
      <c r="P2806">
        <v>114.809168123858</v>
      </c>
      <c r="Q2806">
        <v>94.654732820973294</v>
      </c>
      <c r="R2806">
        <v>67.507375073515306</v>
      </c>
      <c r="S2806">
        <v>66.2369334639165</v>
      </c>
      <c r="T2806">
        <v>128.322732036275</v>
      </c>
      <c r="U2806">
        <v>107.062837294277</v>
      </c>
      <c r="V2806">
        <v>117.704579821477</v>
      </c>
      <c r="W2806">
        <v>106.14652334340499</v>
      </c>
    </row>
    <row r="2807" spans="1:23" x14ac:dyDescent="0.2">
      <c r="A2807" t="s">
        <v>5618</v>
      </c>
      <c r="B2807" s="3" t="str">
        <f>HYPERLINK("http://www.ncbi.nlm.nih.gov/gene/93891","Pcdhb20")</f>
        <v>Pcdhb20</v>
      </c>
      <c r="C2807">
        <v>93891</v>
      </c>
      <c r="D2807" t="s">
        <v>5619</v>
      </c>
      <c r="E2807" s="3" t="str">
        <f>HYPERLINK("http://genome.ucsc.edu/cgi-bin/hgTracks?db=mm10&amp;lastVirtModeType=default&amp;lastVirtModeExtraState=&amp;virtModeType=default&amp;virtMode=0&amp;nonVirtPosition=&amp;position=chr18:37504263-37507661","chr18:37504263-37507661")</f>
        <v>chr18:37504263-37507661</v>
      </c>
      <c r="F2807" t="s">
        <v>30</v>
      </c>
      <c r="G2807">
        <v>-0.63869129806384695</v>
      </c>
      <c r="H2807">
        <v>0.22587991834354401</v>
      </c>
      <c r="I2807">
        <v>-2.8275700768248599</v>
      </c>
      <c r="J2807">
        <v>4.6902748696658501E-3</v>
      </c>
      <c r="K2807">
        <v>2.2359370160090899E-2</v>
      </c>
      <c r="L2807" t="s">
        <v>26</v>
      </c>
      <c r="M2807" t="s">
        <v>27</v>
      </c>
      <c r="N2807">
        <v>63.336555858679098</v>
      </c>
      <c r="O2807">
        <v>83.320475474273493</v>
      </c>
      <c r="P2807">
        <v>48.348616146983296</v>
      </c>
      <c r="Q2807">
        <v>72.939823526750004</v>
      </c>
      <c r="R2807">
        <v>97.847768364982898</v>
      </c>
      <c r="S2807">
        <v>79.173834531087707</v>
      </c>
      <c r="T2807">
        <v>32.0806830090688</v>
      </c>
      <c r="U2807">
        <v>49.248905155367297</v>
      </c>
      <c r="V2807">
        <v>59.587943534622603</v>
      </c>
      <c r="W2807">
        <v>52.4769328888746</v>
      </c>
    </row>
    <row r="2808" spans="1:23" x14ac:dyDescent="0.2">
      <c r="A2808" t="s">
        <v>5620</v>
      </c>
      <c r="B2808" s="3" t="str">
        <f>HYPERLINK("http://www.ncbi.nlm.nih.gov/gene/108934","Smim13")</f>
        <v>Smim13</v>
      </c>
      <c r="C2808">
        <v>108934</v>
      </c>
      <c r="D2808" t="s">
        <v>5621</v>
      </c>
      <c r="E2808" s="3" t="str">
        <f>HYPERLINK("http://genome.ucsc.edu/cgi-bin/hgTracks?db=mm10&amp;lastVirtModeType=default&amp;lastVirtModeExtraState=&amp;virtModeType=default&amp;virtMode=0&amp;nonVirtPosition=&amp;position=chr13:41249843-41276577","chr13:41249843-41276577")</f>
        <v>chr13:41249843-41276577</v>
      </c>
      <c r="F2808" t="s">
        <v>30</v>
      </c>
      <c r="G2808">
        <v>-0.46464658783922203</v>
      </c>
      <c r="H2808">
        <v>0.16436449365785499</v>
      </c>
      <c r="I2808">
        <v>-2.826927990947</v>
      </c>
      <c r="J2808">
        <v>4.6996894753404198E-3</v>
      </c>
      <c r="K2808">
        <v>2.2396278207930099E-2</v>
      </c>
      <c r="L2808" t="s">
        <v>26</v>
      </c>
      <c r="M2808" t="s">
        <v>27</v>
      </c>
      <c r="N2808">
        <v>320.99990910920502</v>
      </c>
      <c r="O2808">
        <v>389.11721173663</v>
      </c>
      <c r="P2808">
        <v>269.91193213863602</v>
      </c>
      <c r="Q2808">
        <v>435.96856352248301</v>
      </c>
      <c r="R2808">
        <v>374.32460223348102</v>
      </c>
      <c r="S2808">
        <v>357.058469453925</v>
      </c>
      <c r="T2808">
        <v>178.735233907669</v>
      </c>
      <c r="U2808">
        <v>289.069660694547</v>
      </c>
      <c r="V2808">
        <v>280.28403069989201</v>
      </c>
      <c r="W2808">
        <v>331.55880325243498</v>
      </c>
    </row>
    <row r="2809" spans="1:23" x14ac:dyDescent="0.2">
      <c r="A2809" t="s">
        <v>5622</v>
      </c>
      <c r="B2809" s="3" t="str">
        <f>HYPERLINK("http://www.ncbi.nlm.nih.gov/gene/103199","Fig4")</f>
        <v>Fig4</v>
      </c>
      <c r="C2809">
        <v>103199</v>
      </c>
      <c r="D2809" t="s">
        <v>5623</v>
      </c>
      <c r="E2809" s="3" t="str">
        <f>HYPERLINK("http://genome.ucsc.edu/cgi-bin/hgTracks?db=mm10&amp;lastVirtModeType=default&amp;lastVirtModeExtraState=&amp;virtModeType=default&amp;virtMode=0&amp;nonVirtPosition=&amp;position=chr10:41188171-41303241","chr10:41188171-41303241")</f>
        <v>chr10:41188171-41303241</v>
      </c>
      <c r="F2809" t="s">
        <v>25</v>
      </c>
      <c r="G2809">
        <v>-0.426010188228234</v>
      </c>
      <c r="H2809">
        <v>0.150736637190482</v>
      </c>
      <c r="I2809">
        <v>-2.8261887499181602</v>
      </c>
      <c r="J2809">
        <v>4.7105498055377403E-3</v>
      </c>
      <c r="K2809">
        <v>2.2440047117024499E-2</v>
      </c>
      <c r="L2809" t="s">
        <v>26</v>
      </c>
      <c r="M2809" t="s">
        <v>27</v>
      </c>
      <c r="N2809">
        <v>182.107097020276</v>
      </c>
      <c r="O2809">
        <v>215.792509193146</v>
      </c>
      <c r="P2809">
        <v>156.84303789062301</v>
      </c>
      <c r="Q2809">
        <v>232.739284230393</v>
      </c>
      <c r="R2809">
        <v>226.79443985372001</v>
      </c>
      <c r="S2809">
        <v>187.843803495326</v>
      </c>
      <c r="T2809">
        <v>142.07159618301901</v>
      </c>
      <c r="U2809">
        <v>167.018026179072</v>
      </c>
      <c r="V2809">
        <v>169.20033349337299</v>
      </c>
      <c r="W2809">
        <v>149.08219570703</v>
      </c>
    </row>
    <row r="2810" spans="1:23" x14ac:dyDescent="0.2">
      <c r="A2810" t="s">
        <v>5624</v>
      </c>
      <c r="B2810" s="3" t="str">
        <f>HYPERLINK("http://www.ncbi.nlm.nih.gov/gene/23837","Cfdp1")</f>
        <v>Cfdp1</v>
      </c>
      <c r="C2810">
        <v>23837</v>
      </c>
      <c r="D2810" t="s">
        <v>5625</v>
      </c>
      <c r="E2810" s="3" t="str">
        <f>HYPERLINK("http://genome.ucsc.edu/cgi-bin/hgTracks?db=mm10&amp;lastVirtModeType=default&amp;lastVirtModeExtraState=&amp;virtModeType=default&amp;virtMode=0&amp;nonVirtPosition=&amp;position=chr8:111768472-111854310","chr8:111768472-111854310")</f>
        <v>chr8:111768472-111854310</v>
      </c>
      <c r="F2810" t="s">
        <v>25</v>
      </c>
      <c r="G2810">
        <v>-0.476317225696612</v>
      </c>
      <c r="H2810">
        <v>0.16855062255266101</v>
      </c>
      <c r="I2810">
        <v>-2.8259594564700801</v>
      </c>
      <c r="J2810">
        <v>4.7139230123227696E-3</v>
      </c>
      <c r="K2810">
        <v>2.2448130532721999E-2</v>
      </c>
      <c r="L2810" t="s">
        <v>26</v>
      </c>
      <c r="M2810" t="s">
        <v>27</v>
      </c>
      <c r="N2810">
        <v>280.18478706428999</v>
      </c>
      <c r="O2810">
        <v>337.63249622019902</v>
      </c>
      <c r="P2810">
        <v>237.09900519735899</v>
      </c>
      <c r="Q2810">
        <v>372.49421327783</v>
      </c>
      <c r="R2810">
        <v>386.84001446621198</v>
      </c>
      <c r="S2810">
        <v>253.56326091655501</v>
      </c>
      <c r="T2810">
        <v>219.98182634790101</v>
      </c>
      <c r="U2810">
        <v>231.255728555638</v>
      </c>
      <c r="V2810">
        <v>238.35177413849101</v>
      </c>
      <c r="W2810">
        <v>258.80669174740399</v>
      </c>
    </row>
    <row r="2811" spans="1:23" x14ac:dyDescent="0.2">
      <c r="A2811" t="s">
        <v>5626</v>
      </c>
      <c r="B2811" s="3" t="str">
        <f>HYPERLINK("http://www.ncbi.nlm.nih.gov/gene/74396","4933407K13Rik")</f>
        <v>4933407K13Rik</v>
      </c>
      <c r="C2811">
        <v>74396</v>
      </c>
      <c r="D2811" t="s">
        <v>5627</v>
      </c>
      <c r="E2811" s="3" t="str">
        <f>HYPERLINK("http://genome.ucsc.edu/cgi-bin/hgTracks?db=mm10&amp;lastVirtModeType=default&amp;lastVirtModeExtraState=&amp;virtModeType=default&amp;virtMode=0&amp;nonVirtPosition=&amp;position=chrX:75725457-75764699","chrX:75725457-75764699")</f>
        <v>chrX:75725457-75764699</v>
      </c>
      <c r="F2811" t="s">
        <v>25</v>
      </c>
      <c r="G2811">
        <v>0.81809441377612302</v>
      </c>
      <c r="H2811">
        <v>0.28953177741727898</v>
      </c>
      <c r="I2811">
        <v>2.8255772857604802</v>
      </c>
      <c r="J2811">
        <v>4.7195501034716404E-3</v>
      </c>
      <c r="K2811">
        <v>2.2459253015463899E-2</v>
      </c>
      <c r="L2811" t="s">
        <v>26</v>
      </c>
      <c r="M2811" t="s">
        <v>27</v>
      </c>
      <c r="N2811">
        <v>25.217425689502701</v>
      </c>
      <c r="O2811">
        <v>16.4568268612962</v>
      </c>
      <c r="P2811">
        <v>31.787874810657499</v>
      </c>
      <c r="Q2811">
        <v>13.363021104137401</v>
      </c>
      <c r="R2811">
        <v>14.790941729590401</v>
      </c>
      <c r="S2811">
        <v>21.216517750160801</v>
      </c>
      <c r="T2811">
        <v>32.0806830090688</v>
      </c>
      <c r="U2811">
        <v>27.836337696512</v>
      </c>
      <c r="V2811">
        <v>33.840066698674597</v>
      </c>
      <c r="W2811">
        <v>33.394411838374701</v>
      </c>
    </row>
    <row r="2812" spans="1:23" x14ac:dyDescent="0.2">
      <c r="A2812" t="s">
        <v>5628</v>
      </c>
      <c r="B2812" s="3" t="str">
        <f>HYPERLINK("http://www.ncbi.nlm.nih.gov/gene/79233","Zfp319")</f>
        <v>Zfp319</v>
      </c>
      <c r="C2812">
        <v>79233</v>
      </c>
      <c r="D2812" t="s">
        <v>5629</v>
      </c>
      <c r="E2812" s="3" t="str">
        <f>HYPERLINK("http://genome.ucsc.edu/cgi-bin/hgTracks?db=mm10&amp;lastVirtModeType=default&amp;lastVirtModeExtraState=&amp;virtModeType=default&amp;virtMode=0&amp;nonVirtPosition=&amp;position=chr8:95326135-95331950","chr8:95326135-95331950")</f>
        <v>chr8:95326135-95331950</v>
      </c>
      <c r="F2812" t="s">
        <v>25</v>
      </c>
      <c r="G2812">
        <v>0.50194254180537101</v>
      </c>
      <c r="H2812">
        <v>0.177642743317829</v>
      </c>
      <c r="I2812">
        <v>2.8255730148645699</v>
      </c>
      <c r="J2812">
        <v>4.7196130225909396E-3</v>
      </c>
      <c r="K2812">
        <v>2.2459253015463899E-2</v>
      </c>
      <c r="L2812" t="s">
        <v>26</v>
      </c>
      <c r="M2812" t="s">
        <v>27</v>
      </c>
      <c r="N2812">
        <v>214.47267521439301</v>
      </c>
      <c r="O2812">
        <v>171.27677112683199</v>
      </c>
      <c r="P2812">
        <v>246.86960328006401</v>
      </c>
      <c r="Q2812">
        <v>201.558901654072</v>
      </c>
      <c r="R2812">
        <v>128.567416572594</v>
      </c>
      <c r="S2812">
        <v>183.70399515383099</v>
      </c>
      <c r="T2812">
        <v>233.73069049464399</v>
      </c>
      <c r="U2812">
        <v>289.069660694547</v>
      </c>
      <c r="V2812">
        <v>236.880466890722</v>
      </c>
      <c r="W2812">
        <v>227.797595040342</v>
      </c>
    </row>
    <row r="2813" spans="1:23" x14ac:dyDescent="0.2">
      <c r="A2813" t="s">
        <v>5630</v>
      </c>
      <c r="B2813" s="3" t="str">
        <f>HYPERLINK("http://www.ncbi.nlm.nih.gov/gene/18709","Pik3r2")</f>
        <v>Pik3r2</v>
      </c>
      <c r="C2813">
        <v>18709</v>
      </c>
      <c r="D2813" t="s">
        <v>5631</v>
      </c>
      <c r="E2813" s="3" t="str">
        <f>HYPERLINK("http://genome.ucsc.edu/cgi-bin/hgTracks?db=mm10&amp;lastVirtModeType=default&amp;lastVirtModeExtraState=&amp;virtModeType=default&amp;virtMode=0&amp;nonVirtPosition=&amp;position=chr8:70768175-70776712","chr8:70768175-70776712")</f>
        <v>chr8:70768175-70776712</v>
      </c>
      <c r="F2813" t="s">
        <v>25</v>
      </c>
      <c r="G2813">
        <v>-0.33880148142448702</v>
      </c>
      <c r="H2813">
        <v>0.119920819049849</v>
      </c>
      <c r="I2813">
        <v>-2.8252098685521201</v>
      </c>
      <c r="J2813">
        <v>4.7249656958138599E-3</v>
      </c>
      <c r="K2813">
        <v>2.2471388861624399E-2</v>
      </c>
      <c r="L2813" t="s">
        <v>26</v>
      </c>
      <c r="M2813" t="s">
        <v>27</v>
      </c>
      <c r="N2813">
        <v>682.83702979930899</v>
      </c>
      <c r="O2813">
        <v>777.23005988835496</v>
      </c>
      <c r="P2813">
        <v>612.042257232525</v>
      </c>
      <c r="Q2813">
        <v>861.91486121686205</v>
      </c>
      <c r="R2813">
        <v>681.14182939344698</v>
      </c>
      <c r="S2813">
        <v>788.63348905475596</v>
      </c>
      <c r="T2813">
        <v>609.53297717230805</v>
      </c>
      <c r="U2813">
        <v>650.94205074920296</v>
      </c>
      <c r="V2813">
        <v>587.78724548349999</v>
      </c>
      <c r="W2813">
        <v>599.90675552508901</v>
      </c>
    </row>
    <row r="2814" spans="1:23" x14ac:dyDescent="0.2">
      <c r="A2814" t="s">
        <v>5632</v>
      </c>
      <c r="B2814" s="3" t="str">
        <f>HYPERLINK("http://www.ncbi.nlm.nih.gov/gene/105439","Slain1")</f>
        <v>Slain1</v>
      </c>
      <c r="C2814">
        <v>105439</v>
      </c>
      <c r="D2814" t="s">
        <v>5633</v>
      </c>
      <c r="E2814" s="3" t="str">
        <f>HYPERLINK("http://genome.ucsc.edu/cgi-bin/hgTracks?db=mm10&amp;lastVirtModeType=default&amp;lastVirtModeExtraState=&amp;virtModeType=default&amp;virtMode=0&amp;nonVirtPosition=&amp;position=chr14:103650242-103704799","chr14:103650242-103704799")</f>
        <v>chr14:103650242-103704799</v>
      </c>
      <c r="F2814" t="s">
        <v>30</v>
      </c>
      <c r="G2814">
        <v>-0.48210792091266202</v>
      </c>
      <c r="H2814">
        <v>0.170647261905015</v>
      </c>
      <c r="I2814">
        <v>-2.8251723205556698</v>
      </c>
      <c r="J2814">
        <v>4.7255194559281703E-3</v>
      </c>
      <c r="K2814">
        <v>2.2471388861624399E-2</v>
      </c>
      <c r="L2814" t="s">
        <v>26</v>
      </c>
      <c r="M2814" t="s">
        <v>27</v>
      </c>
      <c r="N2814">
        <v>219.07631603545499</v>
      </c>
      <c r="O2814">
        <v>266.32768098956302</v>
      </c>
      <c r="P2814">
        <v>183.63779231987399</v>
      </c>
      <c r="Q2814">
        <v>301.78155993510302</v>
      </c>
      <c r="R2814">
        <v>270.02950029406099</v>
      </c>
      <c r="S2814">
        <v>227.17198273952599</v>
      </c>
      <c r="T2814">
        <v>169.56932447650701</v>
      </c>
      <c r="U2814">
        <v>160.59425594141501</v>
      </c>
      <c r="V2814">
        <v>230.25958427576401</v>
      </c>
      <c r="W2814">
        <v>174.128004585811</v>
      </c>
    </row>
    <row r="2815" spans="1:23" x14ac:dyDescent="0.2">
      <c r="A2815" t="s">
        <v>5634</v>
      </c>
      <c r="B2815" s="3" t="str">
        <f>HYPERLINK("http://www.ncbi.nlm.nih.gov/gene/23947","Mid2")</f>
        <v>Mid2</v>
      </c>
      <c r="C2815">
        <v>23947</v>
      </c>
      <c r="D2815" t="s">
        <v>5635</v>
      </c>
      <c r="E2815" s="3" t="str">
        <f>HYPERLINK("http://genome.ucsc.edu/cgi-bin/hgTracks?db=mm10&amp;lastVirtModeType=default&amp;lastVirtModeExtraState=&amp;virtModeType=default&amp;virtMode=0&amp;nonVirtPosition=&amp;position=chrX:140678027-140767715","chrX:140678027-140767715")</f>
        <v>chrX:140678027-140767715</v>
      </c>
      <c r="F2815" t="s">
        <v>30</v>
      </c>
      <c r="G2815">
        <v>0.84877786667407695</v>
      </c>
      <c r="H2815">
        <v>0.300489788804433</v>
      </c>
      <c r="I2815">
        <v>2.8246479524350301</v>
      </c>
      <c r="J2815">
        <v>4.7332590097923797E-3</v>
      </c>
      <c r="K2815">
        <v>2.2500202839946699E-2</v>
      </c>
      <c r="L2815" t="s">
        <v>26</v>
      </c>
      <c r="M2815" t="s">
        <v>27</v>
      </c>
      <c r="N2815">
        <v>55.577060716643203</v>
      </c>
      <c r="O2815">
        <v>36.389306551818201</v>
      </c>
      <c r="P2815">
        <v>69.967876340261896</v>
      </c>
      <c r="Q2815">
        <v>25.055664570257601</v>
      </c>
      <c r="R2815">
        <v>48.923884182491499</v>
      </c>
      <c r="S2815">
        <v>35.1883709027056</v>
      </c>
      <c r="T2815">
        <v>27.497728293487601</v>
      </c>
      <c r="U2815">
        <v>59.955188884795</v>
      </c>
      <c r="V2815">
        <v>93.428010233297201</v>
      </c>
      <c r="W2815">
        <v>98.990577949467905</v>
      </c>
    </row>
    <row r="2816" spans="1:23" x14ac:dyDescent="0.2">
      <c r="A2816" t="s">
        <v>5636</v>
      </c>
      <c r="B2816" s="3" t="str">
        <f>HYPERLINK("http://www.ncbi.nlm.nih.gov/gene/238505","Mtr")</f>
        <v>Mtr</v>
      </c>
      <c r="C2816">
        <v>238505</v>
      </c>
      <c r="D2816" t="s">
        <v>5637</v>
      </c>
      <c r="E2816" s="3" t="str">
        <f>HYPERLINK("http://genome.ucsc.edu/cgi-bin/hgTracks?db=mm10&amp;lastVirtModeType=default&amp;lastVirtModeExtraState=&amp;virtModeType=default&amp;virtMode=0&amp;nonVirtPosition=&amp;position=chr13:12186539-12258113","chr13:12186539-12258113")</f>
        <v>chr13:12186539-12258113</v>
      </c>
      <c r="F2816" t="s">
        <v>25</v>
      </c>
      <c r="G2816">
        <v>0.35183749417627802</v>
      </c>
      <c r="H2816">
        <v>0.124569922829028</v>
      </c>
      <c r="I2816">
        <v>2.8244176939819798</v>
      </c>
      <c r="J2816">
        <v>4.7366611959585503E-3</v>
      </c>
      <c r="K2816">
        <v>2.2508385406345199E-2</v>
      </c>
      <c r="L2816" t="s">
        <v>26</v>
      </c>
      <c r="M2816" t="s">
        <v>27</v>
      </c>
      <c r="N2816">
        <v>211.69157478976101</v>
      </c>
      <c r="O2816">
        <v>181.76225886028101</v>
      </c>
      <c r="P2816">
        <v>234.13856173687199</v>
      </c>
      <c r="Q2816">
        <v>188.195880549935</v>
      </c>
      <c r="R2816">
        <v>175.97428109051199</v>
      </c>
      <c r="S2816">
        <v>181.116614940397</v>
      </c>
      <c r="T2816">
        <v>242.89659992580701</v>
      </c>
      <c r="U2816">
        <v>226.973215063867</v>
      </c>
      <c r="V2816">
        <v>231.73089152353299</v>
      </c>
      <c r="W2816">
        <v>234.95354043427901</v>
      </c>
    </row>
    <row r="2817" spans="1:23" x14ac:dyDescent="0.2">
      <c r="A2817" t="s">
        <v>5638</v>
      </c>
      <c r="B2817" s="3" t="str">
        <f>HYPERLINK("http://www.ncbi.nlm.nih.gov/gene/67184","Ndufa13")</f>
        <v>Ndufa13</v>
      </c>
      <c r="C2817">
        <v>67184</v>
      </c>
      <c r="D2817" t="s">
        <v>5639</v>
      </c>
      <c r="E2817" s="3" t="str">
        <f>HYPERLINK("http://genome.ucsc.edu/cgi-bin/hgTracks?db=mm10&amp;lastVirtModeType=default&amp;lastVirtModeExtraState=&amp;virtModeType=default&amp;virtMode=0&amp;nonVirtPosition=&amp;position=chr8:69894181-69902558","chr8:69894181-69902558")</f>
        <v>chr8:69894181-69902558</v>
      </c>
      <c r="F2817" t="s">
        <v>25</v>
      </c>
      <c r="G2817">
        <v>-0.407736673989052</v>
      </c>
      <c r="H2817">
        <v>0.14437088051297001</v>
      </c>
      <c r="I2817">
        <v>-2.8242307073303499</v>
      </c>
      <c r="J2817">
        <v>4.7394256476027503E-3</v>
      </c>
      <c r="K2817">
        <v>2.25135327587969E-2</v>
      </c>
      <c r="L2817" t="s">
        <v>26</v>
      </c>
      <c r="M2817" t="s">
        <v>27</v>
      </c>
      <c r="N2817">
        <v>290.16501009779898</v>
      </c>
      <c r="O2817">
        <v>337.74005069853303</v>
      </c>
      <c r="P2817">
        <v>254.48372964724899</v>
      </c>
      <c r="Q2817">
        <v>325.166846867343</v>
      </c>
      <c r="R2817">
        <v>373.94534731733802</v>
      </c>
      <c r="S2817">
        <v>314.10795791091698</v>
      </c>
      <c r="T2817">
        <v>247.47955464138801</v>
      </c>
      <c r="U2817">
        <v>308.34097140751697</v>
      </c>
      <c r="V2817">
        <v>239.087427762375</v>
      </c>
      <c r="W2817">
        <v>223.02696477771701</v>
      </c>
    </row>
    <row r="2818" spans="1:23" x14ac:dyDescent="0.2">
      <c r="A2818" t="s">
        <v>5640</v>
      </c>
      <c r="B2818" s="3" t="str">
        <f>HYPERLINK("http://www.ncbi.nlm.nih.gov/gene/76795","Tbc1d9b")</f>
        <v>Tbc1d9b</v>
      </c>
      <c r="C2818">
        <v>76795</v>
      </c>
      <c r="D2818" t="s">
        <v>5641</v>
      </c>
      <c r="E2818" s="3" t="str">
        <f>HYPERLINK("http://genome.ucsc.edu/cgi-bin/hgTracks?db=mm10&amp;lastVirtModeType=default&amp;lastVirtModeExtraState=&amp;virtModeType=default&amp;virtMode=0&amp;nonVirtPosition=&amp;position=chr11:50131359-50172785","chr11:50131359-50172785")</f>
        <v>chr11:50131359-50172785</v>
      </c>
      <c r="F2818" t="s">
        <v>30</v>
      </c>
      <c r="G2818">
        <v>-0.42191187574289502</v>
      </c>
      <c r="H2818">
        <v>0.14945937663116701</v>
      </c>
      <c r="I2818">
        <v>-2.8229200820506501</v>
      </c>
      <c r="J2818">
        <v>4.7588432453779302E-3</v>
      </c>
      <c r="K2818">
        <v>2.25977552832822E-2</v>
      </c>
      <c r="L2818" t="s">
        <v>26</v>
      </c>
      <c r="M2818" t="s">
        <v>27</v>
      </c>
      <c r="N2818">
        <v>578.40438675437895</v>
      </c>
      <c r="O2818">
        <v>679.22933417333604</v>
      </c>
      <c r="P2818">
        <v>502.78567619016098</v>
      </c>
      <c r="Q2818">
        <v>828.50730845651901</v>
      </c>
      <c r="R2818">
        <v>555.60845214999995</v>
      </c>
      <c r="S2818">
        <v>653.57224191348905</v>
      </c>
      <c r="T2818">
        <v>513.29092814510102</v>
      </c>
      <c r="U2818">
        <v>533.17292972549797</v>
      </c>
      <c r="V2818">
        <v>474.496587405328</v>
      </c>
      <c r="W2818">
        <v>490.18225948471502</v>
      </c>
    </row>
    <row r="2819" spans="1:23" x14ac:dyDescent="0.2">
      <c r="A2819" t="s">
        <v>5642</v>
      </c>
      <c r="B2819" s="3" t="str">
        <f>HYPERLINK("http://www.ncbi.nlm.nih.gov/gene/72584","Cul4b")</f>
        <v>Cul4b</v>
      </c>
      <c r="C2819">
        <v>72584</v>
      </c>
      <c r="D2819" t="s">
        <v>5643</v>
      </c>
      <c r="E2819" s="3" t="str">
        <f>HYPERLINK("http://genome.ucsc.edu/cgi-bin/hgTracks?db=mm10&amp;lastVirtModeType=default&amp;lastVirtModeExtraState=&amp;virtModeType=default&amp;virtMode=0&amp;nonVirtPosition=&amp;position=chrX:38531620-38576196","chrX:38531620-38576196")</f>
        <v>chrX:38531620-38576196</v>
      </c>
      <c r="F2819" t="s">
        <v>25</v>
      </c>
      <c r="G2819">
        <v>-0.40095210075224702</v>
      </c>
      <c r="H2819">
        <v>0.14211373609539801</v>
      </c>
      <c r="I2819">
        <v>-2.82134656204589</v>
      </c>
      <c r="J2819">
        <v>4.7822508640137998E-3</v>
      </c>
      <c r="K2819">
        <v>2.2700858319747899E-2</v>
      </c>
      <c r="L2819" t="s">
        <v>26</v>
      </c>
      <c r="M2819" t="s">
        <v>27</v>
      </c>
      <c r="N2819">
        <v>292.66045454954701</v>
      </c>
      <c r="O2819">
        <v>342.52677040951301</v>
      </c>
      <c r="P2819">
        <v>255.260717654573</v>
      </c>
      <c r="Q2819">
        <v>305.12231521113699</v>
      </c>
      <c r="R2819">
        <v>357.63738592317401</v>
      </c>
      <c r="S2819">
        <v>364.82061009422802</v>
      </c>
      <c r="T2819">
        <v>242.89659992580701</v>
      </c>
      <c r="U2819">
        <v>267.657093235692</v>
      </c>
      <c r="V2819">
        <v>289.84752781038702</v>
      </c>
      <c r="W2819">
        <v>220.64164964640401</v>
      </c>
    </row>
    <row r="2820" spans="1:23" x14ac:dyDescent="0.2">
      <c r="A2820" t="s">
        <v>5644</v>
      </c>
      <c r="B2820" s="3" t="str">
        <f>HYPERLINK("http://www.ncbi.nlm.nih.gov/gene/574428","Zmynd15")</f>
        <v>Zmynd15</v>
      </c>
      <c r="C2820">
        <v>574428</v>
      </c>
      <c r="D2820" t="s">
        <v>5645</v>
      </c>
      <c r="E2820" s="3" t="str">
        <f>HYPERLINK("http://genome.ucsc.edu/cgi-bin/hgTracks?db=mm10&amp;lastVirtModeType=default&amp;lastVirtModeExtraState=&amp;virtModeType=default&amp;virtMode=0&amp;nonVirtPosition=&amp;position=chr11:70459621-70466199","chr11:70459621-70466199")</f>
        <v>chr11:70459621-70466199</v>
      </c>
      <c r="F2820" t="s">
        <v>30</v>
      </c>
      <c r="G2820">
        <v>1.0590798504668899</v>
      </c>
      <c r="H2820">
        <v>0.37548151075413899</v>
      </c>
      <c r="I2820">
        <v>2.8205912145707899</v>
      </c>
      <c r="J2820">
        <v>4.7935243540347099E-3</v>
      </c>
      <c r="K2820">
        <v>2.27463092221399E-2</v>
      </c>
      <c r="L2820" t="s">
        <v>26</v>
      </c>
      <c r="M2820" t="s">
        <v>27</v>
      </c>
      <c r="N2820">
        <v>17.9668745009484</v>
      </c>
      <c r="O2820">
        <v>7.6121926426858497</v>
      </c>
      <c r="P2820">
        <v>25.732885894645399</v>
      </c>
      <c r="Q2820">
        <v>12.2494360121259</v>
      </c>
      <c r="R2820">
        <v>6.4473335744368603</v>
      </c>
      <c r="S2820">
        <v>4.1398083414947804</v>
      </c>
      <c r="T2820">
        <v>54.995456586975202</v>
      </c>
      <c r="U2820">
        <v>12.847540475313201</v>
      </c>
      <c r="V2820">
        <v>18.391340597105799</v>
      </c>
      <c r="W2820">
        <v>16.6972059191874</v>
      </c>
    </row>
    <row r="2821" spans="1:23" x14ac:dyDescent="0.2">
      <c r="A2821" t="s">
        <v>5646</v>
      </c>
      <c r="B2821" s="3" t="str">
        <f>HYPERLINK("http://www.ncbi.nlm.nih.gov/gene/228359","Arhgap1")</f>
        <v>Arhgap1</v>
      </c>
      <c r="C2821">
        <v>228359</v>
      </c>
      <c r="D2821" t="s">
        <v>5647</v>
      </c>
      <c r="E2821" s="3" t="str">
        <f>HYPERLINK("http://genome.ucsc.edu/cgi-bin/hgTracks?db=mm10&amp;lastVirtModeType=default&amp;lastVirtModeExtraState=&amp;virtModeType=default&amp;virtMode=0&amp;nonVirtPosition=&amp;position=chr2:91650117-91672320","chr2:91650117-91672320")</f>
        <v>chr2:91650117-91672320</v>
      </c>
      <c r="F2821" t="s">
        <v>30</v>
      </c>
      <c r="G2821">
        <v>-0.37783426566428002</v>
      </c>
      <c r="H2821">
        <v>0.13404635633534101</v>
      </c>
      <c r="I2821">
        <v>-2.8186835956887899</v>
      </c>
      <c r="J2821">
        <v>4.8221025268358796E-3</v>
      </c>
      <c r="K2821">
        <v>2.28657135045536E-2</v>
      </c>
      <c r="L2821" t="s">
        <v>26</v>
      </c>
      <c r="M2821" t="s">
        <v>27</v>
      </c>
      <c r="N2821">
        <v>304.77209068430398</v>
      </c>
      <c r="O2821">
        <v>354.46992802209201</v>
      </c>
      <c r="P2821">
        <v>267.49871268096302</v>
      </c>
      <c r="Q2821">
        <v>401.44742567012798</v>
      </c>
      <c r="R2821">
        <v>333.36507129</v>
      </c>
      <c r="S2821">
        <v>328.59728710614797</v>
      </c>
      <c r="T2821">
        <v>256.64546407255102</v>
      </c>
      <c r="U2821">
        <v>252.668296014493</v>
      </c>
      <c r="V2821">
        <v>293.525795929808</v>
      </c>
      <c r="W2821">
        <v>267.15529470699801</v>
      </c>
    </row>
    <row r="2822" spans="1:23" x14ac:dyDescent="0.2">
      <c r="A2822" t="s">
        <v>5648</v>
      </c>
      <c r="B2822" s="3" t="str">
        <f>HYPERLINK("http://www.ncbi.nlm.nih.gov/gene/74136","Sec14l1")</f>
        <v>Sec14l1</v>
      </c>
      <c r="C2822">
        <v>74136</v>
      </c>
      <c r="D2822" t="s">
        <v>5649</v>
      </c>
      <c r="E2822" s="3" t="str">
        <f>HYPERLINK("http://genome.ucsc.edu/cgi-bin/hgTracks?db=mm10&amp;lastVirtModeType=default&amp;lastVirtModeExtraState=&amp;virtModeType=default&amp;virtMode=0&amp;nonVirtPosition=&amp;position=chr11:117115171-117159268","chr11:117115171-117159268")</f>
        <v>chr11:117115171-117159268</v>
      </c>
      <c r="F2822" t="s">
        <v>30</v>
      </c>
      <c r="G2822">
        <v>-0.31551167457928397</v>
      </c>
      <c r="H2822">
        <v>0.112004477425658</v>
      </c>
      <c r="I2822">
        <v>-2.81695590954123</v>
      </c>
      <c r="J2822">
        <v>4.8481180586384702E-3</v>
      </c>
      <c r="K2822">
        <v>2.2980937671939001E-2</v>
      </c>
      <c r="L2822" t="s">
        <v>26</v>
      </c>
      <c r="M2822" t="s">
        <v>27</v>
      </c>
      <c r="N2822">
        <v>634.70304023116103</v>
      </c>
      <c r="O2822">
        <v>720.49325912151801</v>
      </c>
      <c r="P2822">
        <v>570.36037606339198</v>
      </c>
      <c r="Q2822">
        <v>761.13541038982601</v>
      </c>
      <c r="R2822">
        <v>657.24876967641603</v>
      </c>
      <c r="S2822">
        <v>743.09559729831301</v>
      </c>
      <c r="T2822">
        <v>522.45683757626398</v>
      </c>
      <c r="U2822">
        <v>569.574294405552</v>
      </c>
      <c r="V2822">
        <v>615.74208319110096</v>
      </c>
      <c r="W2822">
        <v>573.66828908065099</v>
      </c>
    </row>
    <row r="2823" spans="1:23" x14ac:dyDescent="0.2">
      <c r="A2823" t="s">
        <v>5650</v>
      </c>
      <c r="B2823" s="3" t="str">
        <f>HYPERLINK("http://www.ncbi.nlm.nih.gov/gene/12366","Casp2")</f>
        <v>Casp2</v>
      </c>
      <c r="C2823">
        <v>12366</v>
      </c>
      <c r="D2823" t="s">
        <v>5651</v>
      </c>
      <c r="E2823" s="3" t="str">
        <f>HYPERLINK("http://genome.ucsc.edu/cgi-bin/hgTracks?db=mm10&amp;lastVirtModeType=default&amp;lastVirtModeExtraState=&amp;virtModeType=default&amp;virtMode=0&amp;nonVirtPosition=&amp;position=chr6:42264984-42282508","chr6:42264984-42282508")</f>
        <v>chr6:42264984-42282508</v>
      </c>
      <c r="F2823" t="s">
        <v>30</v>
      </c>
      <c r="G2823">
        <v>0.423176439158719</v>
      </c>
      <c r="H2823">
        <v>0.15032618318756799</v>
      </c>
      <c r="I2823">
        <v>2.8150547708026701</v>
      </c>
      <c r="J2823">
        <v>4.8768921384326298E-3</v>
      </c>
      <c r="K2823">
        <v>2.31023453833165E-2</v>
      </c>
      <c r="L2823" t="s">
        <v>26</v>
      </c>
      <c r="M2823" t="s">
        <v>27</v>
      </c>
      <c r="N2823">
        <v>196.01575234392601</v>
      </c>
      <c r="O2823">
        <v>162.23681523021801</v>
      </c>
      <c r="P2823">
        <v>221.349955179207</v>
      </c>
      <c r="Q2823">
        <v>143.095684323471</v>
      </c>
      <c r="R2823">
        <v>154.73600578648501</v>
      </c>
      <c r="S2823">
        <v>188.87875558069899</v>
      </c>
      <c r="T2823">
        <v>242.89659992580701</v>
      </c>
      <c r="U2823">
        <v>199.136877367355</v>
      </c>
      <c r="V2823">
        <v>225.110008908574</v>
      </c>
      <c r="W2823">
        <v>218.25633451509199</v>
      </c>
    </row>
    <row r="2824" spans="1:23" x14ac:dyDescent="0.2">
      <c r="A2824" t="s">
        <v>5652</v>
      </c>
      <c r="B2824" s="3" t="str">
        <f>HYPERLINK("http://www.ncbi.nlm.nih.gov/gene/75420","Secisbp2")</f>
        <v>Secisbp2</v>
      </c>
      <c r="C2824">
        <v>75420</v>
      </c>
      <c r="D2824" t="s">
        <v>5653</v>
      </c>
      <c r="E2824" s="3" t="str">
        <f>HYPERLINK("http://genome.ucsc.edu/cgi-bin/hgTracks?db=mm10&amp;lastVirtModeType=default&amp;lastVirtModeExtraState=&amp;virtModeType=default&amp;virtMode=0&amp;nonVirtPosition=&amp;position=chr13:51651707-51684044","chr13:51651707-51684044")</f>
        <v>chr13:51651707-51684044</v>
      </c>
      <c r="F2824" t="s">
        <v>30</v>
      </c>
      <c r="G2824">
        <v>0.46022820491392502</v>
      </c>
      <c r="H2824">
        <v>0.163489293790197</v>
      </c>
      <c r="I2824">
        <v>2.8150357386981399</v>
      </c>
      <c r="J2824">
        <v>4.8771809721929503E-3</v>
      </c>
      <c r="K2824">
        <v>2.31023453833165E-2</v>
      </c>
      <c r="L2824" t="s">
        <v>26</v>
      </c>
      <c r="M2824" t="s">
        <v>27</v>
      </c>
      <c r="N2824">
        <v>170.898123464234</v>
      </c>
      <c r="O2824">
        <v>137.886472961658</v>
      </c>
      <c r="P2824">
        <v>195.65686134116601</v>
      </c>
      <c r="Q2824">
        <v>116.369642115197</v>
      </c>
      <c r="R2824">
        <v>144.11686813447099</v>
      </c>
      <c r="S2824">
        <v>153.17290863530701</v>
      </c>
      <c r="T2824">
        <v>233.73069049464399</v>
      </c>
      <c r="U2824">
        <v>158.45299919553</v>
      </c>
      <c r="V2824">
        <v>191.26994220989999</v>
      </c>
      <c r="W2824">
        <v>199.173813464592</v>
      </c>
    </row>
    <row r="2825" spans="1:23" x14ac:dyDescent="0.2">
      <c r="A2825" t="s">
        <v>5654</v>
      </c>
      <c r="B2825" s="3" t="str">
        <f>HYPERLINK("http://www.ncbi.nlm.nih.gov/gene/113868","Acaa1a")</f>
        <v>Acaa1a</v>
      </c>
      <c r="C2825">
        <v>113868</v>
      </c>
      <c r="D2825" t="s">
        <v>5655</v>
      </c>
      <c r="E2825" s="3" t="str">
        <f>HYPERLINK("http://genome.ucsc.edu/cgi-bin/hgTracks?db=mm10&amp;lastVirtModeType=default&amp;lastVirtModeExtraState=&amp;virtModeType=default&amp;virtMode=0&amp;nonVirtPosition=&amp;position=chr9:119341293-119350295","chr9:119341293-119350295")</f>
        <v>chr9:119341293-119350295</v>
      </c>
      <c r="F2825" t="s">
        <v>30</v>
      </c>
      <c r="G2825">
        <v>0.40014704603777601</v>
      </c>
      <c r="H2825">
        <v>0.14217607551911501</v>
      </c>
      <c r="I2825">
        <v>2.81444711831266</v>
      </c>
      <c r="J2825">
        <v>4.8861215977687097E-3</v>
      </c>
      <c r="K2825">
        <v>2.31365114270583E-2</v>
      </c>
      <c r="L2825" t="s">
        <v>26</v>
      </c>
      <c r="M2825" t="s">
        <v>27</v>
      </c>
      <c r="N2825">
        <v>190.248918907666</v>
      </c>
      <c r="O2825">
        <v>159.69973652136201</v>
      </c>
      <c r="P2825">
        <v>213.16080569739299</v>
      </c>
      <c r="Q2825">
        <v>152.56115760556901</v>
      </c>
      <c r="R2825">
        <v>154.73600578648501</v>
      </c>
      <c r="S2825">
        <v>171.80204617203299</v>
      </c>
      <c r="T2825">
        <v>201.650007485576</v>
      </c>
      <c r="U2825">
        <v>233.39698530152299</v>
      </c>
      <c r="V2825">
        <v>189.79863496213099</v>
      </c>
      <c r="W2825">
        <v>227.797595040342</v>
      </c>
    </row>
    <row r="2826" spans="1:23" x14ac:dyDescent="0.2">
      <c r="A2826" t="s">
        <v>5656</v>
      </c>
      <c r="B2826" s="3" t="str">
        <f>HYPERLINK("http://www.ncbi.nlm.nih.gov/gene/20163","Rsu1")</f>
        <v>Rsu1</v>
      </c>
      <c r="C2826">
        <v>20163</v>
      </c>
      <c r="D2826" t="s">
        <v>5657</v>
      </c>
      <c r="E2826" s="3" t="str">
        <f>HYPERLINK("http://genome.ucsc.edu/cgi-bin/hgTracks?db=mm10&amp;lastVirtModeType=default&amp;lastVirtModeExtraState=&amp;virtModeType=default&amp;virtMode=0&amp;nonVirtPosition=&amp;position=chr2:13076966-13271415","chr2:13076966-13271415")</f>
        <v>chr2:13076966-13271415</v>
      </c>
      <c r="F2826" t="s">
        <v>25</v>
      </c>
      <c r="G2826">
        <v>-0.54710718344958198</v>
      </c>
      <c r="H2826">
        <v>0.19443107700148399</v>
      </c>
      <c r="I2826">
        <v>-2.81388753221486</v>
      </c>
      <c r="J2826">
        <v>4.8946349626678397E-3</v>
      </c>
      <c r="K2826">
        <v>2.3168630889036802E-2</v>
      </c>
      <c r="L2826" t="s">
        <v>26</v>
      </c>
      <c r="M2826" t="s">
        <v>27</v>
      </c>
      <c r="N2826">
        <v>315.67068392604801</v>
      </c>
      <c r="O2826">
        <v>390.62056731942801</v>
      </c>
      <c r="P2826">
        <v>259.45827138101203</v>
      </c>
      <c r="Q2826">
        <v>536.19122180351303</v>
      </c>
      <c r="R2826">
        <v>340.19165978057998</v>
      </c>
      <c r="S2826">
        <v>295.47882037418998</v>
      </c>
      <c r="T2826">
        <v>256.64546407255102</v>
      </c>
      <c r="U2826">
        <v>244.103269030951</v>
      </c>
      <c r="V2826">
        <v>285.43360606708097</v>
      </c>
      <c r="W2826">
        <v>251.65074635346701</v>
      </c>
    </row>
    <row r="2827" spans="1:23" x14ac:dyDescent="0.2">
      <c r="A2827" t="s">
        <v>5658</v>
      </c>
      <c r="B2827" s="3" t="str">
        <f>HYPERLINK("http://www.ncbi.nlm.nih.gov/gene/218865","Chdh")</f>
        <v>Chdh</v>
      </c>
      <c r="C2827">
        <v>218865</v>
      </c>
      <c r="D2827" t="s">
        <v>5659</v>
      </c>
      <c r="E2827" s="3" t="str">
        <f>HYPERLINK("http://genome.ucsc.edu/cgi-bin/hgTracks?db=mm10&amp;lastVirtModeType=default&amp;lastVirtModeExtraState=&amp;virtModeType=default&amp;virtMode=0&amp;nonVirtPosition=&amp;position=chr14:30022632-30040466","chr14:30022632-30040466")</f>
        <v>chr14:30022632-30040466</v>
      </c>
      <c r="F2827" t="s">
        <v>30</v>
      </c>
      <c r="G2827">
        <v>0.87999698017664396</v>
      </c>
      <c r="H2827">
        <v>0.31291094212960802</v>
      </c>
      <c r="I2827">
        <v>2.8122921307499298</v>
      </c>
      <c r="J2827">
        <v>4.9189806048152099E-3</v>
      </c>
      <c r="K2827">
        <v>2.32756428547988E-2</v>
      </c>
      <c r="L2827" t="s">
        <v>26</v>
      </c>
      <c r="M2827" t="s">
        <v>27</v>
      </c>
      <c r="N2827">
        <v>20.690980813924199</v>
      </c>
      <c r="O2827">
        <v>13.4017872497125</v>
      </c>
      <c r="P2827">
        <v>26.157875987082999</v>
      </c>
      <c r="Q2827">
        <v>14.4766061961489</v>
      </c>
      <c r="R2827">
        <v>11.7569024004437</v>
      </c>
      <c r="S2827">
        <v>13.971853152544901</v>
      </c>
      <c r="T2827">
        <v>9.1659094311625307</v>
      </c>
      <c r="U2827">
        <v>36.401364680054101</v>
      </c>
      <c r="V2827">
        <v>31.6331058270219</v>
      </c>
      <c r="W2827">
        <v>27.431124010093502</v>
      </c>
    </row>
    <row r="2828" spans="1:23" x14ac:dyDescent="0.2">
      <c r="A2828" t="s">
        <v>5660</v>
      </c>
      <c r="B2828" s="3" t="str">
        <f>HYPERLINK("http://www.ncbi.nlm.nih.gov/gene/16574","Kif5c")</f>
        <v>Kif5c</v>
      </c>
      <c r="C2828">
        <v>16574</v>
      </c>
      <c r="D2828" t="s">
        <v>5661</v>
      </c>
      <c r="E2828" s="3" t="str">
        <f>HYPERLINK("http://genome.ucsc.edu/cgi-bin/hgTracks?db=mm10&amp;lastVirtModeType=default&amp;lastVirtModeExtraState=&amp;virtModeType=default&amp;virtMode=0&amp;nonVirtPosition=&amp;position=chr2:49619313-49774778","chr2:49619313-49774778")</f>
        <v>chr2:49619313-49774778</v>
      </c>
      <c r="F2828" t="s">
        <v>30</v>
      </c>
      <c r="G2828">
        <v>-0.58712030116345104</v>
      </c>
      <c r="H2828">
        <v>0.208859968969096</v>
      </c>
      <c r="I2828">
        <v>-2.8110714755986801</v>
      </c>
      <c r="J2828">
        <v>4.9376815636612099E-3</v>
      </c>
      <c r="K2828">
        <v>2.3355879130691402E-2</v>
      </c>
      <c r="L2828" t="s">
        <v>26</v>
      </c>
      <c r="M2828" t="s">
        <v>27</v>
      </c>
      <c r="N2828">
        <v>723.75994364684902</v>
      </c>
      <c r="O2828">
        <v>910.13104947868896</v>
      </c>
      <c r="P2828">
        <v>583.98161427296998</v>
      </c>
      <c r="Q2828">
        <v>777.28239422399201</v>
      </c>
      <c r="R2828">
        <v>1234.85400696273</v>
      </c>
      <c r="S2828">
        <v>718.25674724934504</v>
      </c>
      <c r="T2828">
        <v>449.129562126964</v>
      </c>
      <c r="U2828">
        <v>665.93084797040103</v>
      </c>
      <c r="V2828">
        <v>492.15227437854998</v>
      </c>
      <c r="W2828">
        <v>728.71377261596297</v>
      </c>
    </row>
    <row r="2829" spans="1:23" x14ac:dyDescent="0.2">
      <c r="A2829" t="s">
        <v>5662</v>
      </c>
      <c r="B2829" s="3" t="str">
        <f>HYPERLINK("http://www.ncbi.nlm.nih.gov/gene/101488212","Gm21975")</f>
        <v>Gm21975</v>
      </c>
      <c r="C2829">
        <v>101488212</v>
      </c>
      <c r="D2829" t="s">
        <v>5663</v>
      </c>
      <c r="E2829" s="3" t="str">
        <f>HYPERLINK("http://genome.ucsc.edu/cgi-bin/hgTracks?db=mm10&amp;lastVirtModeType=default&amp;lastVirtModeExtraState=&amp;virtModeType=default&amp;virtMode=0&amp;nonVirtPosition=&amp;position=chr11:79513384-79530609","chr11:79513384-79530609")</f>
        <v>chr11:79513384-79530609</v>
      </c>
      <c r="F2829" t="s">
        <v>25</v>
      </c>
      <c r="G2829">
        <v>0.94881574827052795</v>
      </c>
      <c r="H2829">
        <v>0.33765290273055099</v>
      </c>
      <c r="I2829">
        <v>2.8100328491109998</v>
      </c>
      <c r="J2829">
        <v>4.9536443740037898E-3</v>
      </c>
      <c r="K2829">
        <v>2.34231115156373E-2</v>
      </c>
      <c r="L2829" t="s">
        <v>26</v>
      </c>
      <c r="M2829" t="s">
        <v>27</v>
      </c>
      <c r="N2829">
        <v>18.324669863028902</v>
      </c>
      <c r="O2829">
        <v>10.2063300616491</v>
      </c>
      <c r="P2829">
        <v>24.413424714063702</v>
      </c>
      <c r="Q2829">
        <v>10.579058374108801</v>
      </c>
      <c r="R2829">
        <v>6.0680786582935102</v>
      </c>
      <c r="S2829">
        <v>13.971853152544901</v>
      </c>
      <c r="T2829">
        <v>32.0806830090688</v>
      </c>
      <c r="U2829">
        <v>19.2713107129698</v>
      </c>
      <c r="V2829">
        <v>27.219184083716499</v>
      </c>
      <c r="W2829">
        <v>19.0825210504998</v>
      </c>
    </row>
    <row r="2830" spans="1:23" x14ac:dyDescent="0.2">
      <c r="A2830" t="s">
        <v>5664</v>
      </c>
      <c r="B2830" s="3" t="str">
        <f>HYPERLINK("http://www.ncbi.nlm.nih.gov/gene/70827","Trak2")</f>
        <v>Trak2</v>
      </c>
      <c r="C2830">
        <v>70827</v>
      </c>
      <c r="D2830" t="s">
        <v>5665</v>
      </c>
      <c r="E2830" s="3" t="str">
        <f>HYPERLINK("http://genome.ucsc.edu/cgi-bin/hgTracks?db=mm10&amp;lastVirtModeType=default&amp;lastVirtModeExtraState=&amp;virtModeType=default&amp;virtMode=0&amp;nonVirtPosition=&amp;position=chr1:58900449-58973482","chr1:58900449-58973482")</f>
        <v>chr1:58900449-58973482</v>
      </c>
      <c r="F2830" t="s">
        <v>25</v>
      </c>
      <c r="G2830">
        <v>-0.32648345037788601</v>
      </c>
      <c r="H2830">
        <v>0.116266733470866</v>
      </c>
      <c r="I2830">
        <v>-2.8080555859057901</v>
      </c>
      <c r="J2830">
        <v>4.98416229271506E-3</v>
      </c>
      <c r="K2830">
        <v>2.3544318648198601E-2</v>
      </c>
      <c r="L2830" t="s">
        <v>26</v>
      </c>
      <c r="M2830" t="s">
        <v>27</v>
      </c>
      <c r="N2830">
        <v>674.54443499758497</v>
      </c>
      <c r="O2830">
        <v>762.02712337545495</v>
      </c>
      <c r="P2830">
        <v>608.932418714184</v>
      </c>
      <c r="Q2830">
        <v>684.29803904103596</v>
      </c>
      <c r="R2830">
        <v>767.61195027412998</v>
      </c>
      <c r="S2830">
        <v>834.17138081119799</v>
      </c>
      <c r="T2830">
        <v>664.52843375928296</v>
      </c>
      <c r="U2830">
        <v>569.574294405552</v>
      </c>
      <c r="V2830">
        <v>582.63767011631001</v>
      </c>
      <c r="W2830">
        <v>618.98927657558897</v>
      </c>
    </row>
    <row r="2831" spans="1:23" x14ac:dyDescent="0.2">
      <c r="A2831" t="s">
        <v>5666</v>
      </c>
      <c r="B2831" s="3" t="str">
        <f>HYPERLINK("http://www.ncbi.nlm.nih.gov/gene/54673","Sh3glb1")</f>
        <v>Sh3glb1</v>
      </c>
      <c r="C2831">
        <v>54673</v>
      </c>
      <c r="D2831" t="s">
        <v>5667</v>
      </c>
      <c r="E2831" s="3" t="str">
        <f>HYPERLINK("http://genome.ucsc.edu/cgi-bin/hgTracks?db=mm10&amp;lastVirtModeType=default&amp;lastVirtModeExtraState=&amp;virtModeType=default&amp;virtMode=0&amp;nonVirtPosition=&amp;position=chr3:144686901-144720335","chr3:144686901-144720335")</f>
        <v>chr3:144686901-144720335</v>
      </c>
      <c r="F2831" t="s">
        <v>25</v>
      </c>
      <c r="G2831">
        <v>-0.41597161547996298</v>
      </c>
      <c r="H2831">
        <v>0.14813604845466899</v>
      </c>
      <c r="I2831">
        <v>-2.8080377451627099</v>
      </c>
      <c r="J2831">
        <v>4.9844384265528103E-3</v>
      </c>
      <c r="K2831">
        <v>2.3544318648198601E-2</v>
      </c>
      <c r="L2831" t="s">
        <v>26</v>
      </c>
      <c r="M2831" t="s">
        <v>27</v>
      </c>
      <c r="N2831">
        <v>1296.11297369259</v>
      </c>
      <c r="O2831">
        <v>1520.57261116016</v>
      </c>
      <c r="P2831">
        <v>1127.76824559191</v>
      </c>
      <c r="Q2831">
        <v>1806.7918117885799</v>
      </c>
      <c r="R2831">
        <v>1401.7261700658</v>
      </c>
      <c r="S2831">
        <v>1353.1998516261101</v>
      </c>
      <c r="T2831">
        <v>1214.48299962903</v>
      </c>
      <c r="U2831">
        <v>950.717995173178</v>
      </c>
      <c r="V2831">
        <v>1265.32423308088</v>
      </c>
      <c r="W2831">
        <v>1080.5477544845501</v>
      </c>
    </row>
    <row r="2832" spans="1:23" x14ac:dyDescent="0.2">
      <c r="A2832" t="s">
        <v>5668</v>
      </c>
      <c r="B2832" s="3" t="str">
        <f>HYPERLINK("http://www.ncbi.nlm.nih.gov/gene/56445","Dnaja2")</f>
        <v>Dnaja2</v>
      </c>
      <c r="C2832">
        <v>56445</v>
      </c>
      <c r="D2832" t="s">
        <v>5669</v>
      </c>
      <c r="E2832" s="3" t="str">
        <f>HYPERLINK("http://genome.ucsc.edu/cgi-bin/hgTracks?db=mm10&amp;lastVirtModeType=default&amp;lastVirtModeExtraState=&amp;virtModeType=default&amp;virtMode=0&amp;nonVirtPosition=&amp;position=chr8:85537639-85555271","chr8:85537639-85555271")</f>
        <v>chr8:85537639-85555271</v>
      </c>
      <c r="F2832" t="s">
        <v>25</v>
      </c>
      <c r="G2832">
        <v>-0.39949242201420698</v>
      </c>
      <c r="H2832">
        <v>0.14226784229700001</v>
      </c>
      <c r="I2832">
        <v>-2.8080303711939401</v>
      </c>
      <c r="J2832">
        <v>4.9845525627393696E-3</v>
      </c>
      <c r="K2832">
        <v>2.3544318648198601E-2</v>
      </c>
      <c r="L2832" t="s">
        <v>26</v>
      </c>
      <c r="M2832" t="s">
        <v>27</v>
      </c>
      <c r="N2832">
        <v>570.37628069332197</v>
      </c>
      <c r="O2832">
        <v>663.788396262059</v>
      </c>
      <c r="P2832">
        <v>500.31719401676901</v>
      </c>
      <c r="Q2832">
        <v>575.72349256992004</v>
      </c>
      <c r="R2832">
        <v>805.53744188846395</v>
      </c>
      <c r="S2832">
        <v>610.104254327793</v>
      </c>
      <c r="T2832">
        <v>504.12501871393903</v>
      </c>
      <c r="U2832">
        <v>522.46664599607095</v>
      </c>
      <c r="V2832">
        <v>473.76093378144401</v>
      </c>
      <c r="W2832">
        <v>500.91617757562102</v>
      </c>
    </row>
    <row r="2833" spans="1:23" x14ac:dyDescent="0.2">
      <c r="A2833" t="s">
        <v>5670</v>
      </c>
      <c r="B2833" s="3" t="str">
        <f>HYPERLINK("http://www.ncbi.nlm.nih.gov/gene/207921","Fam228b")</f>
        <v>Fam228b</v>
      </c>
      <c r="C2833">
        <v>207921</v>
      </c>
      <c r="D2833" t="s">
        <v>5671</v>
      </c>
      <c r="E2833" s="3" t="str">
        <f>HYPERLINK("http://genome.ucsc.edu/cgi-bin/hgTracks?db=mm10&amp;lastVirtModeType=default&amp;lastVirtModeExtraState=&amp;virtModeType=default&amp;virtMode=0&amp;nonVirtPosition=&amp;position=chr12:4746215-4769267","chr12:4746215-4769267")</f>
        <v>chr12:4746215-4769267</v>
      </c>
      <c r="F2833" t="s">
        <v>25</v>
      </c>
      <c r="G2833">
        <v>0.73784764419888604</v>
      </c>
      <c r="H2833">
        <v>0.26292924237006499</v>
      </c>
      <c r="I2833">
        <v>2.8062593477540601</v>
      </c>
      <c r="J2833">
        <v>5.0120334646807999E-3</v>
      </c>
      <c r="K2833">
        <v>2.3658777086670298E-2</v>
      </c>
      <c r="L2833" t="s">
        <v>26</v>
      </c>
      <c r="M2833" t="s">
        <v>27</v>
      </c>
      <c r="N2833">
        <v>43.799075365320903</v>
      </c>
      <c r="O2833">
        <v>29.711515279088999</v>
      </c>
      <c r="P2833">
        <v>54.364745429994798</v>
      </c>
      <c r="Q2833">
        <v>36.7483080363778</v>
      </c>
      <c r="R2833">
        <v>28.064863794607501</v>
      </c>
      <c r="S2833">
        <v>24.3213740062818</v>
      </c>
      <c r="T2833">
        <v>54.995456586975202</v>
      </c>
      <c r="U2833">
        <v>72.802729360108202</v>
      </c>
      <c r="V2833">
        <v>51.495753671896097</v>
      </c>
      <c r="W2833">
        <v>38.165042100999699</v>
      </c>
    </row>
    <row r="2834" spans="1:23" x14ac:dyDescent="0.2">
      <c r="A2834" t="s">
        <v>5672</v>
      </c>
      <c r="B2834" s="3" t="str">
        <f>HYPERLINK("http://www.ncbi.nlm.nih.gov/gene/17758","Map4")</f>
        <v>Map4</v>
      </c>
      <c r="C2834">
        <v>17758</v>
      </c>
      <c r="D2834" t="s">
        <v>5673</v>
      </c>
      <c r="E2834" s="3" t="str">
        <f>HYPERLINK("http://genome.ucsc.edu/cgi-bin/hgTracks?db=mm10&amp;lastVirtModeType=default&amp;lastVirtModeExtraState=&amp;virtModeType=default&amp;virtMode=0&amp;nonVirtPosition=&amp;position=chr9:110052020-110083954","chr9:110052020-110083954")</f>
        <v>chr9:110052020-110083954</v>
      </c>
      <c r="F2834" t="s">
        <v>30</v>
      </c>
      <c r="G2834">
        <v>-0.28052055569015399</v>
      </c>
      <c r="H2834">
        <v>9.9963100157187901E-2</v>
      </c>
      <c r="I2834">
        <v>-2.80624105543993</v>
      </c>
      <c r="J2834">
        <v>5.0123180191832999E-3</v>
      </c>
      <c r="K2834">
        <v>2.3658777086670298E-2</v>
      </c>
      <c r="L2834" t="s">
        <v>26</v>
      </c>
      <c r="M2834" t="s">
        <v>27</v>
      </c>
      <c r="N2834">
        <v>2183.4355055941101</v>
      </c>
      <c r="O2834">
        <v>2431.4898563905599</v>
      </c>
      <c r="P2834">
        <v>1997.3947424967801</v>
      </c>
      <c r="Q2834">
        <v>2288.4173640835302</v>
      </c>
      <c r="R2834">
        <v>2433.6787968918402</v>
      </c>
      <c r="S2834">
        <v>2572.3734081963198</v>
      </c>
      <c r="T2834">
        <v>1979.83643713111</v>
      </c>
      <c r="U2834">
        <v>2111.2791514431401</v>
      </c>
      <c r="V2834">
        <v>1868.5602046659401</v>
      </c>
      <c r="W2834">
        <v>2029.9031767469201</v>
      </c>
    </row>
    <row r="2835" spans="1:23" x14ac:dyDescent="0.2">
      <c r="A2835" t="s">
        <v>5674</v>
      </c>
      <c r="B2835" s="3" t="str">
        <f>HYPERLINK("http://www.ncbi.nlm.nih.gov/gene/76863","Dcun1d5")</f>
        <v>Dcun1d5</v>
      </c>
      <c r="C2835">
        <v>76863</v>
      </c>
      <c r="D2835" t="s">
        <v>5675</v>
      </c>
      <c r="E2835" s="3" t="str">
        <f>HYPERLINK("http://genome.ucsc.edu/cgi-bin/hgTracks?db=mm10&amp;lastVirtModeType=default&amp;lastVirtModeExtraState=&amp;virtModeType=default&amp;virtMode=0&amp;nonVirtPosition=&amp;position=chr9:7184565-7207031","chr9:7184565-7207031")</f>
        <v>chr9:7184565-7207031</v>
      </c>
      <c r="F2835" t="s">
        <v>30</v>
      </c>
      <c r="G2835">
        <v>-0.37477500828057098</v>
      </c>
      <c r="H2835">
        <v>0.133562044132155</v>
      </c>
      <c r="I2835">
        <v>-2.8059993444675402</v>
      </c>
      <c r="J2835">
        <v>5.0160794373534804E-3</v>
      </c>
      <c r="K2835">
        <v>2.3668188775757701E-2</v>
      </c>
      <c r="L2835" t="s">
        <v>26</v>
      </c>
      <c r="M2835" t="s">
        <v>27</v>
      </c>
      <c r="N2835">
        <v>209.36204751879501</v>
      </c>
      <c r="O2835">
        <v>242.53717194477599</v>
      </c>
      <c r="P2835">
        <v>184.48070419931</v>
      </c>
      <c r="Q2835">
        <v>226.057773678324</v>
      </c>
      <c r="R2835">
        <v>260.92738230662098</v>
      </c>
      <c r="S2835">
        <v>240.62635984938399</v>
      </c>
      <c r="T2835">
        <v>178.735233907669</v>
      </c>
      <c r="U2835">
        <v>184.14808014615599</v>
      </c>
      <c r="V2835">
        <v>194.948210329321</v>
      </c>
      <c r="W2835">
        <v>180.09129241409201</v>
      </c>
    </row>
    <row r="2836" spans="1:23" x14ac:dyDescent="0.2">
      <c r="A2836" t="s">
        <v>5676</v>
      </c>
      <c r="B2836" s="3" t="str">
        <f>HYPERLINK("http://www.ncbi.nlm.nih.gov/gene/66437","Fis1")</f>
        <v>Fis1</v>
      </c>
      <c r="C2836">
        <v>66437</v>
      </c>
      <c r="D2836" t="s">
        <v>5677</v>
      </c>
      <c r="E2836" s="3" t="str">
        <f>HYPERLINK("http://genome.ucsc.edu/cgi-bin/hgTracks?db=mm10&amp;lastVirtModeType=default&amp;lastVirtModeExtraState=&amp;virtModeType=default&amp;virtMode=0&amp;nonVirtPosition=&amp;position=chr5:136953274-136966234","chr5:136953274-136966234")</f>
        <v>chr5:136953274-136966234</v>
      </c>
      <c r="F2836" t="s">
        <v>30</v>
      </c>
      <c r="G2836">
        <v>-0.34312673247497399</v>
      </c>
      <c r="H2836">
        <v>0.122293842887041</v>
      </c>
      <c r="I2836">
        <v>-2.8057564009327001</v>
      </c>
      <c r="J2836">
        <v>5.0198626077806096E-3</v>
      </c>
      <c r="K2836">
        <v>2.3677310491344899E-2</v>
      </c>
      <c r="L2836" t="s">
        <v>26</v>
      </c>
      <c r="M2836" t="s">
        <v>27</v>
      </c>
      <c r="N2836">
        <v>305.55485619068099</v>
      </c>
      <c r="O2836">
        <v>347.38898284292401</v>
      </c>
      <c r="P2836">
        <v>274.17926120149798</v>
      </c>
      <c r="Q2836">
        <v>357.46081453567501</v>
      </c>
      <c r="R2836">
        <v>317.81561972812301</v>
      </c>
      <c r="S2836">
        <v>366.89051426497502</v>
      </c>
      <c r="T2836">
        <v>288.72614708162001</v>
      </c>
      <c r="U2836">
        <v>278.36337696511998</v>
      </c>
      <c r="V2836">
        <v>274.39880170881798</v>
      </c>
      <c r="W2836">
        <v>255.22871905043499</v>
      </c>
    </row>
    <row r="2837" spans="1:23" x14ac:dyDescent="0.2">
      <c r="A2837" t="s">
        <v>5678</v>
      </c>
      <c r="B2837" s="3" t="str">
        <f>HYPERLINK("http://www.ncbi.nlm.nih.gov/gene/67433","Ccdc127")</f>
        <v>Ccdc127</v>
      </c>
      <c r="C2837">
        <v>67433</v>
      </c>
      <c r="D2837" t="s">
        <v>5679</v>
      </c>
      <c r="E2837" s="3" t="str">
        <f>HYPERLINK("http://genome.ucsc.edu/cgi-bin/hgTracks?db=mm10&amp;lastVirtModeType=default&amp;lastVirtModeExtraState=&amp;virtModeType=default&amp;virtMode=0&amp;nonVirtPosition=&amp;position=chr13:74350316-74359668","chr13:74350316-74359668")</f>
        <v>chr13:74350316-74359668</v>
      </c>
      <c r="F2837" t="s">
        <v>30</v>
      </c>
      <c r="G2837">
        <v>-0.33267311464044202</v>
      </c>
      <c r="H2837">
        <v>0.11857264177589399</v>
      </c>
      <c r="I2837">
        <v>-2.8056481635047401</v>
      </c>
      <c r="J2837">
        <v>5.0215489355103704E-3</v>
      </c>
      <c r="K2837">
        <v>2.3677310491344899E-2</v>
      </c>
      <c r="L2837" t="s">
        <v>26</v>
      </c>
      <c r="M2837" t="s">
        <v>27</v>
      </c>
      <c r="N2837">
        <v>315.29326130298898</v>
      </c>
      <c r="O2837">
        <v>360.76269009719402</v>
      </c>
      <c r="P2837">
        <v>281.19118970733598</v>
      </c>
      <c r="Q2837">
        <v>384.18685674394999</v>
      </c>
      <c r="R2837">
        <v>359.15440558774702</v>
      </c>
      <c r="S2837">
        <v>338.94680795988501</v>
      </c>
      <c r="T2837">
        <v>252.062509356969</v>
      </c>
      <c r="U2837">
        <v>291.21091744043298</v>
      </c>
      <c r="V2837">
        <v>286.90491331484998</v>
      </c>
      <c r="W2837">
        <v>294.58641871709102</v>
      </c>
    </row>
    <row r="2838" spans="1:23" x14ac:dyDescent="0.2">
      <c r="A2838" t="s">
        <v>5680</v>
      </c>
      <c r="B2838" s="3" t="str">
        <f>HYPERLINK("http://www.ncbi.nlm.nih.gov/gene/67125","Tspan31")</f>
        <v>Tspan31</v>
      </c>
      <c r="C2838">
        <v>67125</v>
      </c>
      <c r="D2838" t="s">
        <v>5681</v>
      </c>
      <c r="E2838" s="3" t="str">
        <f>HYPERLINK("http://genome.ucsc.edu/cgi-bin/hgTracks?db=mm10&amp;lastVirtModeType=default&amp;lastVirtModeExtraState=&amp;virtModeType=default&amp;virtMode=0&amp;nonVirtPosition=&amp;position=chr10:127067289-127070261","chr10:127067289-127070261")</f>
        <v>chr10:127067289-127070261</v>
      </c>
      <c r="F2838" t="s">
        <v>25</v>
      </c>
      <c r="G2838">
        <v>-0.43485568732770902</v>
      </c>
      <c r="H2838">
        <v>0.154999249898119</v>
      </c>
      <c r="I2838">
        <v>-2.8055341404138399</v>
      </c>
      <c r="J2838">
        <v>5.0233259572352897E-3</v>
      </c>
      <c r="K2838">
        <v>2.3677352303181201E-2</v>
      </c>
      <c r="L2838" t="s">
        <v>26</v>
      </c>
      <c r="M2838" t="s">
        <v>27</v>
      </c>
      <c r="N2838">
        <v>206.621969776085</v>
      </c>
      <c r="O2838">
        <v>244.86068598506699</v>
      </c>
      <c r="P2838">
        <v>177.942932619348</v>
      </c>
      <c r="Q2838">
        <v>262.24928916869601</v>
      </c>
      <c r="R2838">
        <v>204.797654717406</v>
      </c>
      <c r="S2838">
        <v>267.53511406910002</v>
      </c>
      <c r="T2838">
        <v>174.152279192088</v>
      </c>
      <c r="U2838">
        <v>184.14808014615599</v>
      </c>
      <c r="V2838">
        <v>191.26994220989999</v>
      </c>
      <c r="W2838">
        <v>162.201428929249</v>
      </c>
    </row>
    <row r="2839" spans="1:23" x14ac:dyDescent="0.2">
      <c r="A2839" t="s">
        <v>5682</v>
      </c>
      <c r="B2839" s="3" t="str">
        <f>HYPERLINK("http://www.ncbi.nlm.nih.gov/gene/68979","Nol11")</f>
        <v>Nol11</v>
      </c>
      <c r="C2839">
        <v>68979</v>
      </c>
      <c r="D2839" t="s">
        <v>5683</v>
      </c>
      <c r="E2839" s="3" t="str">
        <f>HYPERLINK("http://genome.ucsc.edu/cgi-bin/hgTracks?db=mm10&amp;lastVirtModeType=default&amp;lastVirtModeExtraState=&amp;virtModeType=default&amp;virtMode=0&amp;nonVirtPosition=&amp;position=chr11:107166660-107189381","chr11:107166660-107189381")</f>
        <v>chr11:107166660-107189381</v>
      </c>
      <c r="F2839" t="s">
        <v>25</v>
      </c>
      <c r="G2839">
        <v>-0.49567744356314802</v>
      </c>
      <c r="H2839">
        <v>0.176688682845837</v>
      </c>
      <c r="I2839">
        <v>-2.8053717735596702</v>
      </c>
      <c r="J2839">
        <v>5.0258573858543596E-3</v>
      </c>
      <c r="K2839">
        <v>2.3680948717092101E-2</v>
      </c>
      <c r="L2839" t="s">
        <v>26</v>
      </c>
      <c r="M2839" t="s">
        <v>27</v>
      </c>
      <c r="N2839">
        <v>245.48192063447601</v>
      </c>
      <c r="O2839">
        <v>298.655309161481</v>
      </c>
      <c r="P2839">
        <v>205.60187923922399</v>
      </c>
      <c r="Q2839">
        <v>241.64796496648501</v>
      </c>
      <c r="R2839">
        <v>367.11875882675798</v>
      </c>
      <c r="S2839">
        <v>287.19920369120001</v>
      </c>
      <c r="T2839">
        <v>183.31818862325099</v>
      </c>
      <c r="U2839">
        <v>214.12567458855401</v>
      </c>
      <c r="V2839">
        <v>241.294388634028</v>
      </c>
      <c r="W2839">
        <v>183.66926511106101</v>
      </c>
    </row>
    <row r="2840" spans="1:23" x14ac:dyDescent="0.2">
      <c r="A2840" t="s">
        <v>5684</v>
      </c>
      <c r="B2840" s="3" t="str">
        <f>HYPERLINK("http://www.ncbi.nlm.nih.gov/gene/170757","Adgrl4")</f>
        <v>Adgrl4</v>
      </c>
      <c r="C2840">
        <v>170757</v>
      </c>
      <c r="D2840" t="s">
        <v>5685</v>
      </c>
      <c r="E2840" s="3" t="str">
        <f>HYPERLINK("http://genome.ucsc.edu/cgi-bin/hgTracks?db=mm10&amp;lastVirtModeType=default&amp;lastVirtModeExtraState=&amp;virtModeType=default&amp;virtMode=0&amp;nonVirtPosition=&amp;position=chr3:151437881-151545081","chr3:151437881-151545081")</f>
        <v>chr3:151437881-151545081</v>
      </c>
      <c r="F2840" t="s">
        <v>30</v>
      </c>
      <c r="G2840">
        <v>-0.70089126456310302</v>
      </c>
      <c r="H2840">
        <v>0.24987277917789399</v>
      </c>
      <c r="I2840">
        <v>-2.8049924720455901</v>
      </c>
      <c r="J2840">
        <v>5.0317754935863901E-3</v>
      </c>
      <c r="K2840">
        <v>2.3700494419491899E-2</v>
      </c>
      <c r="L2840" t="s">
        <v>26</v>
      </c>
      <c r="M2840" t="s">
        <v>27</v>
      </c>
      <c r="N2840">
        <v>336.50405697101701</v>
      </c>
      <c r="O2840">
        <v>442.264076627767</v>
      </c>
      <c r="P2840">
        <v>257.18404222845498</v>
      </c>
      <c r="Q2840">
        <v>660.91275210879598</v>
      </c>
      <c r="R2840">
        <v>359.53366050389099</v>
      </c>
      <c r="S2840">
        <v>306.34581727061402</v>
      </c>
      <c r="T2840">
        <v>316.22387537510701</v>
      </c>
      <c r="U2840">
        <v>177.72430990849901</v>
      </c>
      <c r="V2840">
        <v>323.687594509061</v>
      </c>
      <c r="W2840">
        <v>211.100389121154</v>
      </c>
    </row>
    <row r="2841" spans="1:23" x14ac:dyDescent="0.2">
      <c r="A2841" t="s">
        <v>5686</v>
      </c>
      <c r="B2841" s="3" t="str">
        <f>HYPERLINK("http://www.ncbi.nlm.nih.gov/gene/57342","Parva")</f>
        <v>Parva</v>
      </c>
      <c r="C2841">
        <v>57342</v>
      </c>
      <c r="D2841" t="s">
        <v>5687</v>
      </c>
      <c r="E2841" s="3" t="str">
        <f>HYPERLINK("http://genome.ucsc.edu/cgi-bin/hgTracks?db=mm10&amp;lastVirtModeType=default&amp;lastVirtModeExtraState=&amp;virtModeType=default&amp;virtMode=0&amp;nonVirtPosition=&amp;position=chr7:112427705-112591688","chr7:112427705-112591688")</f>
        <v>chr7:112427705-112591688</v>
      </c>
      <c r="F2841" t="s">
        <v>30</v>
      </c>
      <c r="G2841">
        <v>-0.473089889192225</v>
      </c>
      <c r="H2841">
        <v>0.168704553516943</v>
      </c>
      <c r="I2841">
        <v>-2.8042508594453102</v>
      </c>
      <c r="J2841">
        <v>5.0433648191623402E-3</v>
      </c>
      <c r="K2841">
        <v>2.3746729357736598E-2</v>
      </c>
      <c r="L2841" t="s">
        <v>26</v>
      </c>
      <c r="M2841" t="s">
        <v>27</v>
      </c>
      <c r="N2841">
        <v>187.561032015416</v>
      </c>
      <c r="O2841">
        <v>226.64140726656899</v>
      </c>
      <c r="P2841">
        <v>158.25075057705101</v>
      </c>
      <c r="Q2841">
        <v>273.385140088811</v>
      </c>
      <c r="R2841">
        <v>213.52051778870299</v>
      </c>
      <c r="S2841">
        <v>193.01856392219401</v>
      </c>
      <c r="T2841">
        <v>151.237505614182</v>
      </c>
      <c r="U2841">
        <v>143.46420197433099</v>
      </c>
      <c r="V2841">
        <v>177.292523356099</v>
      </c>
      <c r="W2841">
        <v>161.00877136359199</v>
      </c>
    </row>
    <row r="2842" spans="1:23" x14ac:dyDescent="0.2">
      <c r="A2842" t="s">
        <v>5688</v>
      </c>
      <c r="B2842" s="3" t="str">
        <f>HYPERLINK("http://www.ncbi.nlm.nih.gov/gene/57741","Noc2l")</f>
        <v>Noc2l</v>
      </c>
      <c r="C2842">
        <v>57741</v>
      </c>
      <c r="D2842" t="s">
        <v>5689</v>
      </c>
      <c r="E2842" s="3" t="str">
        <f>HYPERLINK("http://genome.ucsc.edu/cgi-bin/hgTracks?db=mm10&amp;lastVirtModeType=default&amp;lastVirtModeExtraState=&amp;virtModeType=default&amp;virtMode=0&amp;nonVirtPosition=&amp;position=chr4:156236009-156247616","chr4:156236009-156247616")</f>
        <v>chr4:156236009-156247616</v>
      </c>
      <c r="F2842" t="s">
        <v>30</v>
      </c>
      <c r="G2842">
        <v>0.64430144134189204</v>
      </c>
      <c r="H2842">
        <v>0.229829234681518</v>
      </c>
      <c r="I2842">
        <v>2.80339201509643</v>
      </c>
      <c r="J2842">
        <v>5.05681630051023E-3</v>
      </c>
      <c r="K2842">
        <v>2.38016966889745E-2</v>
      </c>
      <c r="L2842" t="s">
        <v>26</v>
      </c>
      <c r="M2842" t="s">
        <v>27</v>
      </c>
      <c r="N2842">
        <v>332.33847242955301</v>
      </c>
      <c r="O2842">
        <v>243.35552965832099</v>
      </c>
      <c r="P2842">
        <v>399.07567950797699</v>
      </c>
      <c r="Q2842">
        <v>177.060029629821</v>
      </c>
      <c r="R2842">
        <v>234.75879309273</v>
      </c>
      <c r="S2842">
        <v>318.247766252411</v>
      </c>
      <c r="T2842">
        <v>357.47046781533902</v>
      </c>
      <c r="U2842">
        <v>590.98686186440796</v>
      </c>
      <c r="V2842">
        <v>297.20406404922898</v>
      </c>
      <c r="W2842">
        <v>350.64132430293398</v>
      </c>
    </row>
    <row r="2843" spans="1:23" x14ac:dyDescent="0.2">
      <c r="A2843" t="s">
        <v>5690</v>
      </c>
      <c r="B2843" s="3" t="str">
        <f>HYPERLINK("http://www.ncbi.nlm.nih.gov/gene/100910","Chpf2")</f>
        <v>Chpf2</v>
      </c>
      <c r="C2843">
        <v>100910</v>
      </c>
      <c r="D2843" t="s">
        <v>5691</v>
      </c>
      <c r="E2843" s="3" t="str">
        <f>HYPERLINK("http://genome.ucsc.edu/cgi-bin/hgTracks?db=mm10&amp;lastVirtModeType=default&amp;lastVirtModeExtraState=&amp;virtModeType=default&amp;virtMode=0&amp;nonVirtPosition=&amp;position=chr5:24586749-24592486","chr5:24586749-24592486")</f>
        <v>chr5:24586749-24592486</v>
      </c>
      <c r="F2843" t="s">
        <v>30</v>
      </c>
      <c r="G2843">
        <v>0.50723234681151397</v>
      </c>
      <c r="H2843">
        <v>0.18094427223079501</v>
      </c>
      <c r="I2843">
        <v>2.8032517446285201</v>
      </c>
      <c r="J2843">
        <v>5.0590163378754702E-3</v>
      </c>
      <c r="K2843">
        <v>2.3803685095042298E-2</v>
      </c>
      <c r="L2843" t="s">
        <v>26</v>
      </c>
      <c r="M2843" t="s">
        <v>27</v>
      </c>
      <c r="N2843">
        <v>212.67190407373701</v>
      </c>
      <c r="O2843">
        <v>171.52419007232299</v>
      </c>
      <c r="P2843">
        <v>243.53268957479699</v>
      </c>
      <c r="Q2843">
        <v>149.22040232953401</v>
      </c>
      <c r="R2843">
        <v>149.04718204433399</v>
      </c>
      <c r="S2843">
        <v>216.304985843102</v>
      </c>
      <c r="T2843">
        <v>201.650007485576</v>
      </c>
      <c r="U2843">
        <v>220.54944482620999</v>
      </c>
      <c r="V2843">
        <v>278.81272345212301</v>
      </c>
      <c r="W2843">
        <v>273.11858253527902</v>
      </c>
    </row>
    <row r="2844" spans="1:23" x14ac:dyDescent="0.2">
      <c r="A2844" t="s">
        <v>5692</v>
      </c>
      <c r="B2844" s="3" t="str">
        <f>HYPERLINK("http://www.ncbi.nlm.nih.gov/gene/77622","Apex2")</f>
        <v>Apex2</v>
      </c>
      <c r="C2844">
        <v>77622</v>
      </c>
      <c r="D2844" t="s">
        <v>5693</v>
      </c>
      <c r="E2844" s="3" t="str">
        <f>HYPERLINK("http://genome.ucsc.edu/cgi-bin/hgTracks?db=mm10&amp;lastVirtModeType=default&amp;lastVirtModeExtraState=&amp;virtModeType=default&amp;virtMode=0&amp;nonVirtPosition=&amp;position=chrX:150571506-150588155","chrX:150571506-150588155")</f>
        <v>chrX:150571506-150588155</v>
      </c>
      <c r="F2844" t="s">
        <v>25</v>
      </c>
      <c r="G2844">
        <v>0.52976724992021096</v>
      </c>
      <c r="H2844">
        <v>0.18904474243786501</v>
      </c>
      <c r="I2844">
        <v>2.8023379179367298</v>
      </c>
      <c r="J2844">
        <v>5.0733702193424502E-3</v>
      </c>
      <c r="K2844">
        <v>2.3862838288449199E-2</v>
      </c>
      <c r="L2844" t="s">
        <v>26</v>
      </c>
      <c r="M2844" t="s">
        <v>27</v>
      </c>
      <c r="N2844">
        <v>119.88120619562</v>
      </c>
      <c r="O2844">
        <v>92.720334848364601</v>
      </c>
      <c r="P2844">
        <v>140.25185970606199</v>
      </c>
      <c r="Q2844">
        <v>92.984355182956094</v>
      </c>
      <c r="R2844">
        <v>75.471728312525599</v>
      </c>
      <c r="S2844">
        <v>109.704921049612</v>
      </c>
      <c r="T2844">
        <v>160.40341504534399</v>
      </c>
      <c r="U2844">
        <v>154.170485703759</v>
      </c>
      <c r="V2844">
        <v>123.589808812551</v>
      </c>
      <c r="W2844">
        <v>122.843729262593</v>
      </c>
    </row>
    <row r="2845" spans="1:23" x14ac:dyDescent="0.2">
      <c r="A2845" t="s">
        <v>5694</v>
      </c>
      <c r="B2845" s="3" t="str">
        <f>HYPERLINK("http://www.ncbi.nlm.nih.gov/gene/243529","H1fx")</f>
        <v>H1fx</v>
      </c>
      <c r="C2845">
        <v>243529</v>
      </c>
      <c r="D2845" t="s">
        <v>5695</v>
      </c>
      <c r="E2845" s="3" t="str">
        <f>HYPERLINK("http://genome.ucsc.edu/cgi-bin/hgTracks?db=mm10&amp;lastVirtModeType=default&amp;lastVirtModeExtraState=&amp;virtModeType=default&amp;virtMode=0&amp;nonVirtPosition=&amp;position=chr6:87980420-87981482","chr6:87980420-87981482")</f>
        <v>chr6:87980420-87981482</v>
      </c>
      <c r="F2845" t="s">
        <v>25</v>
      </c>
      <c r="G2845">
        <v>1.03051209172486</v>
      </c>
      <c r="H2845">
        <v>0.36776634608686398</v>
      </c>
      <c r="I2845">
        <v>2.8020837216069201</v>
      </c>
      <c r="J2845">
        <v>5.0773695333448596E-3</v>
      </c>
      <c r="K2845">
        <v>2.3873263841650599E-2</v>
      </c>
      <c r="L2845" t="s">
        <v>26</v>
      </c>
      <c r="M2845" t="s">
        <v>27</v>
      </c>
      <c r="N2845">
        <v>46.347900106768897</v>
      </c>
      <c r="O2845">
        <v>22.616402973102499</v>
      </c>
      <c r="P2845">
        <v>64.146522957018604</v>
      </c>
      <c r="Q2845">
        <v>4.4543403680458002</v>
      </c>
      <c r="R2845">
        <v>21.996785136313999</v>
      </c>
      <c r="S2845">
        <v>41.398083414947799</v>
      </c>
      <c r="T2845">
        <v>59.578411302556397</v>
      </c>
      <c r="U2845">
        <v>96.356553564849094</v>
      </c>
      <c r="V2845">
        <v>43.403563809169597</v>
      </c>
      <c r="W2845">
        <v>57.247563151499499</v>
      </c>
    </row>
    <row r="2846" spans="1:23" x14ac:dyDescent="0.2">
      <c r="A2846" t="s">
        <v>5696</v>
      </c>
      <c r="B2846" s="3" t="str">
        <f>HYPERLINK("http://www.ncbi.nlm.nih.gov/gene/66827","Ttc1")</f>
        <v>Ttc1</v>
      </c>
      <c r="C2846">
        <v>66827</v>
      </c>
      <c r="D2846" t="s">
        <v>5697</v>
      </c>
      <c r="E2846" s="3" t="str">
        <f>HYPERLINK("http://genome.ucsc.edu/cgi-bin/hgTracks?db=mm10&amp;lastVirtModeType=default&amp;lastVirtModeExtraState=&amp;virtModeType=default&amp;virtMode=0&amp;nonVirtPosition=&amp;position=chr11:43730005-43747973","chr11:43730005-43747973")</f>
        <v>chr11:43730005-43747973</v>
      </c>
      <c r="F2846" t="s">
        <v>25</v>
      </c>
      <c r="G2846">
        <v>-0.45427048655648999</v>
      </c>
      <c r="H2846">
        <v>0.16213738404296901</v>
      </c>
      <c r="I2846">
        <v>-2.8017627719718301</v>
      </c>
      <c r="J2846">
        <v>5.0824231590501697E-3</v>
      </c>
      <c r="K2846">
        <v>2.3888637600154701E-2</v>
      </c>
      <c r="L2846" t="s">
        <v>26</v>
      </c>
      <c r="M2846" t="s">
        <v>27</v>
      </c>
      <c r="N2846">
        <v>116.178754758747</v>
      </c>
      <c r="O2846">
        <v>138.15867421505101</v>
      </c>
      <c r="P2846">
        <v>99.693815166518803</v>
      </c>
      <c r="Q2846">
        <v>130.84624831134499</v>
      </c>
      <c r="R2846">
        <v>141.84133863761099</v>
      </c>
      <c r="S2846">
        <v>141.78843569619599</v>
      </c>
      <c r="T2846">
        <v>96.242049027206505</v>
      </c>
      <c r="U2846">
        <v>102.780323802506</v>
      </c>
      <c r="V2846">
        <v>91.221049361644504</v>
      </c>
      <c r="W2846">
        <v>108.531838474718</v>
      </c>
    </row>
    <row r="2847" spans="1:23" x14ac:dyDescent="0.2">
      <c r="A2847" t="s">
        <v>5698</v>
      </c>
      <c r="B2847" s="3" t="str">
        <f>HYPERLINK("http://www.ncbi.nlm.nih.gov/gene/269639","Zfp512")</f>
        <v>Zfp512</v>
      </c>
      <c r="C2847">
        <v>269639</v>
      </c>
      <c r="D2847" t="s">
        <v>5699</v>
      </c>
      <c r="E2847" s="3" t="str">
        <f>HYPERLINK("http://genome.ucsc.edu/cgi-bin/hgTracks?db=mm10&amp;lastVirtModeType=default&amp;lastVirtModeExtraState=&amp;virtModeType=default&amp;virtMode=0&amp;nonVirtPosition=&amp;position=chr5:31452435-31481753","chr5:31452435-31481753")</f>
        <v>chr5:31452435-31481753</v>
      </c>
      <c r="F2847" t="s">
        <v>30</v>
      </c>
      <c r="G2847">
        <v>0.34733478076391699</v>
      </c>
      <c r="H2847">
        <v>0.12398791897655199</v>
      </c>
      <c r="I2847">
        <v>2.8013598714371799</v>
      </c>
      <c r="J2847">
        <v>5.08877360788607E-3</v>
      </c>
      <c r="K2847">
        <v>2.3910093818667499E-2</v>
      </c>
      <c r="L2847" t="s">
        <v>26</v>
      </c>
      <c r="M2847" t="s">
        <v>27</v>
      </c>
      <c r="N2847">
        <v>301.51812242685003</v>
      </c>
      <c r="O2847">
        <v>256.52910520183798</v>
      </c>
      <c r="P2847">
        <v>335.25988534560901</v>
      </c>
      <c r="Q2847">
        <v>268.37400717475902</v>
      </c>
      <c r="R2847">
        <v>253.34228398375399</v>
      </c>
      <c r="S2847">
        <v>247.871024447</v>
      </c>
      <c r="T2847">
        <v>389.55115082440699</v>
      </c>
      <c r="U2847">
        <v>319.04725513694501</v>
      </c>
      <c r="V2847">
        <v>300.88233216865001</v>
      </c>
      <c r="W2847">
        <v>331.55880325243498</v>
      </c>
    </row>
    <row r="2848" spans="1:23" x14ac:dyDescent="0.2">
      <c r="A2848" t="s">
        <v>5700</v>
      </c>
      <c r="B2848" s="3" t="str">
        <f>HYPERLINK("http://www.ncbi.nlm.nih.gov/gene/381903","Alg8")</f>
        <v>Alg8</v>
      </c>
      <c r="C2848">
        <v>381903</v>
      </c>
      <c r="D2848" t="s">
        <v>5701</v>
      </c>
      <c r="E2848" s="3" t="str">
        <f>HYPERLINK("http://genome.ucsc.edu/cgi-bin/hgTracks?db=mm10&amp;lastVirtModeType=default&amp;lastVirtModeExtraState=&amp;virtModeType=default&amp;virtMode=0&amp;nonVirtPosition=&amp;position=chr7:97371616-97392158","chr7:97371616-97392158")</f>
        <v>chr7:97371616-97392158</v>
      </c>
      <c r="F2848" t="s">
        <v>30</v>
      </c>
      <c r="G2848">
        <v>0.62520327232480599</v>
      </c>
      <c r="H2848">
        <v>0.22326025090066701</v>
      </c>
      <c r="I2848">
        <v>2.8003340039377198</v>
      </c>
      <c r="J2848">
        <v>5.1049755486917998E-3</v>
      </c>
      <c r="K2848">
        <v>2.3977806935297E-2</v>
      </c>
      <c r="L2848" t="s">
        <v>26</v>
      </c>
      <c r="M2848" t="s">
        <v>27</v>
      </c>
      <c r="N2848">
        <v>57.500401966424597</v>
      </c>
      <c r="O2848">
        <v>43.250884143548099</v>
      </c>
      <c r="P2848">
        <v>68.187540333582106</v>
      </c>
      <c r="Q2848">
        <v>35.634722944366402</v>
      </c>
      <c r="R2848">
        <v>47.027609601774699</v>
      </c>
      <c r="S2848">
        <v>47.090319884503103</v>
      </c>
      <c r="T2848">
        <v>64.161366018137699</v>
      </c>
      <c r="U2848">
        <v>55.672675393023901</v>
      </c>
      <c r="V2848">
        <v>70.622747892886096</v>
      </c>
      <c r="W2848">
        <v>82.293372030280594</v>
      </c>
    </row>
    <row r="2849" spans="1:23" x14ac:dyDescent="0.2">
      <c r="A2849" t="s">
        <v>5702</v>
      </c>
      <c r="B2849" s="3" t="str">
        <f>HYPERLINK("http://www.ncbi.nlm.nih.gov/gene/19302","Pex2")</f>
        <v>Pex2</v>
      </c>
      <c r="C2849">
        <v>19302</v>
      </c>
      <c r="D2849" t="s">
        <v>5703</v>
      </c>
      <c r="E2849" s="3" t="str">
        <f>HYPERLINK("http://genome.ucsc.edu/cgi-bin/hgTracks?db=mm10&amp;lastVirtModeType=default&amp;lastVirtModeExtraState=&amp;virtModeType=default&amp;virtMode=0&amp;nonVirtPosition=&amp;position=chr3:5560187-5576248","chr3:5560187-5576248")</f>
        <v>chr3:5560187-5576248</v>
      </c>
      <c r="F2849" t="s">
        <v>25</v>
      </c>
      <c r="G2849">
        <v>-0.48926116176407602</v>
      </c>
      <c r="H2849">
        <v>0.174764496769827</v>
      </c>
      <c r="I2849">
        <v>-2.7995455072803201</v>
      </c>
      <c r="J2849">
        <v>5.1174602709098196E-3</v>
      </c>
      <c r="K2849">
        <v>2.40280191051029E-2</v>
      </c>
      <c r="L2849" t="s">
        <v>26</v>
      </c>
      <c r="M2849" t="s">
        <v>27</v>
      </c>
      <c r="N2849">
        <v>180.06685349085501</v>
      </c>
      <c r="O2849">
        <v>219.98273184962201</v>
      </c>
      <c r="P2849">
        <v>150.129944721779</v>
      </c>
      <c r="Q2849">
        <v>199.88852401605499</v>
      </c>
      <c r="R2849">
        <v>248.41197007389101</v>
      </c>
      <c r="S2849">
        <v>211.64770145892101</v>
      </c>
      <c r="T2849">
        <v>123.739777320694</v>
      </c>
      <c r="U2849">
        <v>158.45299919553</v>
      </c>
      <c r="V2849">
        <v>188.32732771436301</v>
      </c>
      <c r="W2849">
        <v>129.99967465653</v>
      </c>
    </row>
    <row r="2850" spans="1:23" x14ac:dyDescent="0.2">
      <c r="A2850" t="s">
        <v>5704</v>
      </c>
      <c r="B2850" s="3" t="str">
        <f>HYPERLINK("http://www.ncbi.nlm.nih.gov/gene/83436","Plekha2")</f>
        <v>Plekha2</v>
      </c>
      <c r="C2850">
        <v>83436</v>
      </c>
      <c r="D2850" t="s">
        <v>5705</v>
      </c>
      <c r="E2850" s="3" t="str">
        <f>HYPERLINK("http://genome.ucsc.edu/cgi-bin/hgTracks?db=mm10&amp;lastVirtModeType=default&amp;lastVirtModeExtraState=&amp;virtModeType=default&amp;virtMode=0&amp;nonVirtPosition=&amp;position=chr8:25039143-25101811","chr8:25039143-25101811")</f>
        <v>chr8:25039143-25101811</v>
      </c>
      <c r="F2850" t="s">
        <v>25</v>
      </c>
      <c r="G2850">
        <v>-0.392602564899172</v>
      </c>
      <c r="H2850">
        <v>0.14025234000967399</v>
      </c>
      <c r="I2850">
        <v>-2.7992585711731501</v>
      </c>
      <c r="J2850">
        <v>5.1220103396932603E-3</v>
      </c>
      <c r="K2850">
        <v>2.4034373091434101E-2</v>
      </c>
      <c r="L2850" t="s">
        <v>26</v>
      </c>
      <c r="M2850" t="s">
        <v>27</v>
      </c>
      <c r="N2850">
        <v>364.783718816749</v>
      </c>
      <c r="O2850">
        <v>420.02917560714002</v>
      </c>
      <c r="P2850">
        <v>323.34962622395602</v>
      </c>
      <c r="Q2850">
        <v>444.32045171256902</v>
      </c>
      <c r="R2850">
        <v>372.807582568908</v>
      </c>
      <c r="S2850">
        <v>442.959492539942</v>
      </c>
      <c r="T2850">
        <v>398.71706025557</v>
      </c>
      <c r="U2850">
        <v>289.069660694547</v>
      </c>
      <c r="V2850">
        <v>322.95194088517701</v>
      </c>
      <c r="W2850">
        <v>282.659843060529</v>
      </c>
    </row>
    <row r="2851" spans="1:23" x14ac:dyDescent="0.2">
      <c r="A2851" t="s">
        <v>5706</v>
      </c>
      <c r="B2851" s="3" t="str">
        <f>HYPERLINK("http://www.ncbi.nlm.nih.gov/gene/15115","Hars")</f>
        <v>Hars</v>
      </c>
      <c r="C2851">
        <v>15115</v>
      </c>
      <c r="D2851" t="s">
        <v>5707</v>
      </c>
      <c r="E2851" s="3" t="str">
        <f>HYPERLINK("http://genome.ucsc.edu/cgi-bin/hgTracks?db=mm10&amp;lastVirtModeType=default&amp;lastVirtModeExtraState=&amp;virtModeType=default&amp;virtMode=0&amp;nonVirtPosition=&amp;position=chr18:36766527-36783205","chr18:36766527-36783205")</f>
        <v>chr18:36766527-36783205</v>
      </c>
      <c r="F2851" t="s">
        <v>25</v>
      </c>
      <c r="G2851">
        <v>-0.41769526520933198</v>
      </c>
      <c r="H2851">
        <v>0.14922692598530099</v>
      </c>
      <c r="I2851">
        <v>-2.7990609767735601</v>
      </c>
      <c r="J2851">
        <v>5.12514580435667E-3</v>
      </c>
      <c r="K2851">
        <v>2.4034373091434101E-2</v>
      </c>
      <c r="L2851" t="s">
        <v>26</v>
      </c>
      <c r="M2851" t="s">
        <v>27</v>
      </c>
      <c r="N2851">
        <v>384.43212231143798</v>
      </c>
      <c r="O2851">
        <v>449.39150268658102</v>
      </c>
      <c r="P2851">
        <v>335.71258703008101</v>
      </c>
      <c r="Q2851">
        <v>364.69911763375001</v>
      </c>
      <c r="R2851">
        <v>526.02656869081898</v>
      </c>
      <c r="S2851">
        <v>457.448821735173</v>
      </c>
      <c r="T2851">
        <v>352.88751309975697</v>
      </c>
      <c r="U2851">
        <v>355.44861981699898</v>
      </c>
      <c r="V2851">
        <v>324.42324813294601</v>
      </c>
      <c r="W2851">
        <v>310.09096707062201</v>
      </c>
    </row>
    <row r="2852" spans="1:23" x14ac:dyDescent="0.2">
      <c r="A2852" t="s">
        <v>5708</v>
      </c>
      <c r="B2852" s="3" t="str">
        <f>HYPERLINK("http://www.ncbi.nlm.nih.gov/gene/26441","Psma4")</f>
        <v>Psma4</v>
      </c>
      <c r="C2852">
        <v>26441</v>
      </c>
      <c r="D2852" t="s">
        <v>5709</v>
      </c>
      <c r="E2852" s="3" t="str">
        <f>HYPERLINK("http://genome.ucsc.edu/cgi-bin/hgTracks?db=mm10&amp;lastVirtModeType=default&amp;lastVirtModeExtraState=&amp;virtModeType=default&amp;virtMode=0&amp;nonVirtPosition=&amp;position=chr9:54950858-54958030","chr9:54950858-54958030")</f>
        <v>chr9:54950858-54958030</v>
      </c>
      <c r="F2852" t="s">
        <v>30</v>
      </c>
      <c r="G2852">
        <v>-0.47703082764576199</v>
      </c>
      <c r="H2852">
        <v>0.17042539343506499</v>
      </c>
      <c r="I2852">
        <v>-2.7990595651904302</v>
      </c>
      <c r="J2852">
        <v>5.1251682098593697E-3</v>
      </c>
      <c r="K2852">
        <v>2.4034373091434101E-2</v>
      </c>
      <c r="L2852" t="s">
        <v>26</v>
      </c>
      <c r="M2852" t="s">
        <v>27</v>
      </c>
      <c r="N2852">
        <v>160.414066387567</v>
      </c>
      <c r="O2852">
        <v>193.43419041089501</v>
      </c>
      <c r="P2852">
        <v>135.64897337007099</v>
      </c>
      <c r="Q2852">
        <v>175.94644453780899</v>
      </c>
      <c r="R2852">
        <v>229.44922426672301</v>
      </c>
      <c r="S2852">
        <v>174.90690242815401</v>
      </c>
      <c r="T2852">
        <v>137.48864146743799</v>
      </c>
      <c r="U2852">
        <v>113.486607531933</v>
      </c>
      <c r="V2852">
        <v>144.923763905193</v>
      </c>
      <c r="W2852">
        <v>146.69688057571801</v>
      </c>
    </row>
    <row r="2853" spans="1:23" x14ac:dyDescent="0.2">
      <c r="A2853" t="s">
        <v>5710</v>
      </c>
      <c r="B2853" s="3" t="str">
        <f>HYPERLINK("http://www.ncbi.nlm.nih.gov/gene/20617","Snca")</f>
        <v>Snca</v>
      </c>
      <c r="C2853">
        <v>20617</v>
      </c>
      <c r="D2853" t="s">
        <v>5711</v>
      </c>
      <c r="E2853" s="3" t="str">
        <f>HYPERLINK("http://genome.ucsc.edu/cgi-bin/hgTracks?db=mm10&amp;lastVirtModeType=default&amp;lastVirtModeExtraState=&amp;virtModeType=default&amp;virtMode=0&amp;nonVirtPosition=&amp;position=chr6:60731572-60829004","chr6:60731572-60829004")</f>
        <v>chr6:60731572-60829004</v>
      </c>
      <c r="F2853" t="s">
        <v>25</v>
      </c>
      <c r="G2853">
        <v>-0.66399837837740305</v>
      </c>
      <c r="H2853">
        <v>0.23722635620468999</v>
      </c>
      <c r="I2853">
        <v>-2.7990076187170101</v>
      </c>
      <c r="J2853">
        <v>5.1259927973367004E-3</v>
      </c>
      <c r="K2853">
        <v>2.4034373091434101E-2</v>
      </c>
      <c r="L2853" t="s">
        <v>26</v>
      </c>
      <c r="M2853" t="s">
        <v>27</v>
      </c>
      <c r="N2853">
        <v>84.905641011402295</v>
      </c>
      <c r="O2853">
        <v>108.831391218457</v>
      </c>
      <c r="P2853">
        <v>66.961328356111196</v>
      </c>
      <c r="Q2853">
        <v>94.097940274967499</v>
      </c>
      <c r="R2853">
        <v>147.53016237976101</v>
      </c>
      <c r="S2853">
        <v>84.866071000643004</v>
      </c>
      <c r="T2853">
        <v>73.327275449300203</v>
      </c>
      <c r="U2853">
        <v>68.520215868337104</v>
      </c>
      <c r="V2853">
        <v>54.438368167432998</v>
      </c>
      <c r="W2853">
        <v>71.559453939374393</v>
      </c>
    </row>
    <row r="2854" spans="1:23" x14ac:dyDescent="0.2">
      <c r="A2854" t="s">
        <v>5712</v>
      </c>
      <c r="B2854" s="3" t="str">
        <f>HYPERLINK("http://www.ncbi.nlm.nih.gov/gene/18099","Nlk")</f>
        <v>Nlk</v>
      </c>
      <c r="C2854">
        <v>18099</v>
      </c>
      <c r="D2854" t="s">
        <v>5713</v>
      </c>
      <c r="E2854" s="3" t="str">
        <f>HYPERLINK("http://genome.ucsc.edu/cgi-bin/hgTracks?db=mm10&amp;lastVirtModeType=default&amp;lastVirtModeExtraState=&amp;virtModeType=default&amp;virtMode=0&amp;nonVirtPosition=&amp;position=chr11:78567167-78697425","chr11:78567167-78697425")</f>
        <v>chr11:78567167-78697425</v>
      </c>
      <c r="F2854" t="s">
        <v>25</v>
      </c>
      <c r="G2854">
        <v>-0.44207171670999501</v>
      </c>
      <c r="H2854">
        <v>0.157952663062047</v>
      </c>
      <c r="I2854">
        <v>-2.7987607688281799</v>
      </c>
      <c r="J2854">
        <v>5.1299128798934796E-3</v>
      </c>
      <c r="K2854">
        <v>2.4044334397848699E-2</v>
      </c>
      <c r="L2854" t="s">
        <v>26</v>
      </c>
      <c r="M2854" t="s">
        <v>27</v>
      </c>
      <c r="N2854">
        <v>349.97609767000699</v>
      </c>
      <c r="O2854">
        <v>418.17921080846298</v>
      </c>
      <c r="P2854">
        <v>298.82376281616598</v>
      </c>
      <c r="Q2854">
        <v>353.00647416763002</v>
      </c>
      <c r="R2854">
        <v>428.55805524197899</v>
      </c>
      <c r="S2854">
        <v>472.97310301577897</v>
      </c>
      <c r="T2854">
        <v>238.31364521022601</v>
      </c>
      <c r="U2854">
        <v>336.17730910402901</v>
      </c>
      <c r="V2854">
        <v>346.49285684947199</v>
      </c>
      <c r="W2854">
        <v>274.31124010093498</v>
      </c>
    </row>
    <row r="2855" spans="1:23" x14ac:dyDescent="0.2">
      <c r="A2855" t="s">
        <v>5714</v>
      </c>
      <c r="B2855" s="3" t="str">
        <f>HYPERLINK("http://www.ncbi.nlm.nih.gov/gene/22704","Zfp46")</f>
        <v>Zfp46</v>
      </c>
      <c r="C2855">
        <v>22704</v>
      </c>
      <c r="D2855" t="s">
        <v>5715</v>
      </c>
      <c r="E2855" s="3" t="str">
        <f>HYPERLINK("http://genome.ucsc.edu/cgi-bin/hgTracks?db=mm10&amp;lastVirtModeType=default&amp;lastVirtModeExtraState=&amp;virtModeType=default&amp;virtMode=0&amp;nonVirtPosition=&amp;position=chr4:136286068-136293942","chr4:136286068-136293942")</f>
        <v>chr4:136286068-136293942</v>
      </c>
      <c r="F2855" t="s">
        <v>30</v>
      </c>
      <c r="G2855">
        <v>-0.41783166554537199</v>
      </c>
      <c r="H2855">
        <v>0.149321326995556</v>
      </c>
      <c r="I2855">
        <v>-2.7982048777118602</v>
      </c>
      <c r="J2855">
        <v>5.1387505927838403E-3</v>
      </c>
      <c r="K2855">
        <v>2.4077330016783902E-2</v>
      </c>
      <c r="L2855" t="s">
        <v>26</v>
      </c>
      <c r="M2855" t="s">
        <v>27</v>
      </c>
      <c r="N2855">
        <v>219.714090393997</v>
      </c>
      <c r="O2855">
        <v>257.46317636351</v>
      </c>
      <c r="P2855">
        <v>191.40227591686201</v>
      </c>
      <c r="Q2855">
        <v>291.20250156099399</v>
      </c>
      <c r="R2855">
        <v>224.51891035686</v>
      </c>
      <c r="S2855">
        <v>256.66811717267598</v>
      </c>
      <c r="T2855">
        <v>187.90114333883199</v>
      </c>
      <c r="U2855">
        <v>216.26693133443899</v>
      </c>
      <c r="V2855">
        <v>186.12036684271001</v>
      </c>
      <c r="W2855">
        <v>175.32066215146699</v>
      </c>
    </row>
    <row r="2856" spans="1:23" x14ac:dyDescent="0.2">
      <c r="A2856" t="s">
        <v>5716</v>
      </c>
      <c r="B2856" s="3" t="str">
        <f>HYPERLINK("http://www.ncbi.nlm.nih.gov/gene/60534","Fancg")</f>
        <v>Fancg</v>
      </c>
      <c r="C2856">
        <v>60534</v>
      </c>
      <c r="D2856" t="s">
        <v>5717</v>
      </c>
      <c r="E2856" s="3" t="str">
        <f>HYPERLINK("http://genome.ucsc.edu/cgi-bin/hgTracks?db=mm10&amp;lastVirtModeType=default&amp;lastVirtModeExtraState=&amp;virtModeType=default&amp;virtMode=0&amp;nonVirtPosition=&amp;position=chr4:43002336-43010301","chr4:43002336-43010301")</f>
        <v>chr4:43002336-43010301</v>
      </c>
      <c r="F2856" t="s">
        <v>25</v>
      </c>
      <c r="G2856">
        <v>0.59513466718042296</v>
      </c>
      <c r="H2856">
        <v>0.212723064255988</v>
      </c>
      <c r="I2856">
        <v>2.79769694584808</v>
      </c>
      <c r="J2856">
        <v>5.1468378640784802E-3</v>
      </c>
      <c r="K2856">
        <v>2.4106787631295899E-2</v>
      </c>
      <c r="L2856" t="s">
        <v>26</v>
      </c>
      <c r="M2856" t="s">
        <v>27</v>
      </c>
      <c r="N2856">
        <v>66.911071522284701</v>
      </c>
      <c r="O2856">
        <v>49.2583813055045</v>
      </c>
      <c r="P2856">
        <v>80.150589184869801</v>
      </c>
      <c r="Q2856">
        <v>52.8952918705439</v>
      </c>
      <c r="R2856">
        <v>42.097295691911199</v>
      </c>
      <c r="S2856">
        <v>52.782556354058499</v>
      </c>
      <c r="T2856">
        <v>105.407958458369</v>
      </c>
      <c r="U2856">
        <v>68.520215868337104</v>
      </c>
      <c r="V2856">
        <v>69.151440645117603</v>
      </c>
      <c r="W2856">
        <v>77.522741767655603</v>
      </c>
    </row>
    <row r="2857" spans="1:23" x14ac:dyDescent="0.2">
      <c r="A2857" t="s">
        <v>5718</v>
      </c>
      <c r="B2857" s="3" t="str">
        <f>HYPERLINK("http://www.ncbi.nlm.nih.gov/gene/227753","Gsn")</f>
        <v>Gsn</v>
      </c>
      <c r="C2857">
        <v>227753</v>
      </c>
      <c r="D2857" t="s">
        <v>5719</v>
      </c>
      <c r="E2857" s="3" t="str">
        <f>HYPERLINK("http://genome.ucsc.edu/cgi-bin/hgTracks?db=mm10&amp;lastVirtModeType=default&amp;lastVirtModeExtraState=&amp;virtModeType=default&amp;virtMode=0&amp;nonVirtPosition=&amp;position=chr2:35282379-35307902","chr2:35282379-35307902")</f>
        <v>chr2:35282379-35307902</v>
      </c>
      <c r="F2857" t="s">
        <v>30</v>
      </c>
      <c r="G2857">
        <v>-0.42372430750783902</v>
      </c>
      <c r="H2857">
        <v>0.151476103963543</v>
      </c>
      <c r="I2857">
        <v>-2.7973013328215699</v>
      </c>
      <c r="J2857">
        <v>5.1531447655298298E-3</v>
      </c>
      <c r="K2857">
        <v>2.4127888655667801E-2</v>
      </c>
      <c r="L2857" t="s">
        <v>26</v>
      </c>
      <c r="M2857" t="s">
        <v>27</v>
      </c>
      <c r="N2857">
        <v>709.82611490738896</v>
      </c>
      <c r="O2857">
        <v>839.38648470013197</v>
      </c>
      <c r="P2857">
        <v>612.65583756283104</v>
      </c>
      <c r="Q2857">
        <v>754.45389983775704</v>
      </c>
      <c r="R2857">
        <v>847.25548266423198</v>
      </c>
      <c r="S2857">
        <v>916.45007159840702</v>
      </c>
      <c r="T2857">
        <v>476.627290420451</v>
      </c>
      <c r="U2857">
        <v>732.30980709285302</v>
      </c>
      <c r="V2857">
        <v>687.10048470787103</v>
      </c>
      <c r="W2857">
        <v>554.58576803015103</v>
      </c>
    </row>
    <row r="2858" spans="1:23" x14ac:dyDescent="0.2">
      <c r="A2858" t="s">
        <v>5720</v>
      </c>
      <c r="B2858" s="3" t="str">
        <f>HYPERLINK("http://www.ncbi.nlm.nih.gov/gene/238331","Zdhhc22")</f>
        <v>Zdhhc22</v>
      </c>
      <c r="C2858">
        <v>238331</v>
      </c>
      <c r="D2858" t="s">
        <v>5721</v>
      </c>
      <c r="E2858" s="3" t="str">
        <f>HYPERLINK("http://genome.ucsc.edu/cgi-bin/hgTracks?db=mm10&amp;lastVirtModeType=default&amp;lastVirtModeExtraState=&amp;virtModeType=default&amp;virtMode=0&amp;nonVirtPosition=&amp;position=chr12:86983380-86988676","chr12:86983380-86988676")</f>
        <v>chr12:86983380-86988676</v>
      </c>
      <c r="F2858" t="s">
        <v>25</v>
      </c>
      <c r="G2858">
        <v>-0.91037355731842395</v>
      </c>
      <c r="H2858">
        <v>0.32556439431505602</v>
      </c>
      <c r="I2858">
        <v>-2.7962933699605799</v>
      </c>
      <c r="J2858">
        <v>5.1692453862850702E-3</v>
      </c>
      <c r="K2858">
        <v>2.4185022534222E-2</v>
      </c>
      <c r="L2858" t="s">
        <v>26</v>
      </c>
      <c r="M2858" t="s">
        <v>27</v>
      </c>
      <c r="N2858">
        <v>59.403146414108299</v>
      </c>
      <c r="O2858">
        <v>88.3401845228057</v>
      </c>
      <c r="P2858">
        <v>37.700367832585201</v>
      </c>
      <c r="Q2858">
        <v>151.44757251355699</v>
      </c>
      <c r="R2858">
        <v>50.440903847064803</v>
      </c>
      <c r="S2858">
        <v>63.132077207795398</v>
      </c>
      <c r="T2858">
        <v>22.914773577906299</v>
      </c>
      <c r="U2858">
        <v>29.9775944423975</v>
      </c>
      <c r="V2858">
        <v>47.817485552474999</v>
      </c>
      <c r="W2858">
        <v>50.091617757562098</v>
      </c>
    </row>
    <row r="2859" spans="1:23" x14ac:dyDescent="0.2">
      <c r="A2859" t="s">
        <v>5722</v>
      </c>
      <c r="B2859" s="3" t="str">
        <f>HYPERLINK("http://www.ncbi.nlm.nih.gov/gene/217342","Ube2o")</f>
        <v>Ube2o</v>
      </c>
      <c r="C2859">
        <v>217342</v>
      </c>
      <c r="D2859" t="s">
        <v>5723</v>
      </c>
      <c r="E2859" s="3" t="str">
        <f>HYPERLINK("http://genome.ucsc.edu/cgi-bin/hgTracks?db=mm10&amp;lastVirtModeType=default&amp;lastVirtModeExtraState=&amp;virtModeType=default&amp;virtMode=0&amp;nonVirtPosition=&amp;position=chr11:116537752-116581447","chr11:116537752-116581447")</f>
        <v>chr11:116537752-116581447</v>
      </c>
      <c r="F2859" t="s">
        <v>25</v>
      </c>
      <c r="G2859">
        <v>0.34400050584985498</v>
      </c>
      <c r="H2859">
        <v>0.123024357313772</v>
      </c>
      <c r="I2859">
        <v>2.7961983574723002</v>
      </c>
      <c r="J2859">
        <v>5.1707654032915702E-3</v>
      </c>
      <c r="K2859">
        <v>2.4185022534222E-2</v>
      </c>
      <c r="L2859" t="s">
        <v>26</v>
      </c>
      <c r="M2859" t="s">
        <v>27</v>
      </c>
      <c r="N2859">
        <v>349.79738040466498</v>
      </c>
      <c r="O2859">
        <v>301.11395410838702</v>
      </c>
      <c r="P2859">
        <v>386.30995012687401</v>
      </c>
      <c r="Q2859">
        <v>268.37400717475902</v>
      </c>
      <c r="R2859">
        <v>303.78318783081897</v>
      </c>
      <c r="S2859">
        <v>331.18466731958301</v>
      </c>
      <c r="T2859">
        <v>403.30001497115097</v>
      </c>
      <c r="U2859">
        <v>370.43741703819802</v>
      </c>
      <c r="V2859">
        <v>370.76942643765199</v>
      </c>
      <c r="W2859">
        <v>400.73294206049701</v>
      </c>
    </row>
    <row r="2860" spans="1:23" x14ac:dyDescent="0.2">
      <c r="A2860" t="s">
        <v>5724</v>
      </c>
      <c r="B2860" s="3" t="str">
        <f>HYPERLINK("http://www.ncbi.nlm.nih.gov/gene/16421","Itgb7")</f>
        <v>Itgb7</v>
      </c>
      <c r="C2860">
        <v>16421</v>
      </c>
      <c r="D2860" t="s">
        <v>5725</v>
      </c>
      <c r="E2860" s="3" t="str">
        <f>HYPERLINK("http://genome.ucsc.edu/cgi-bin/hgTracks?db=mm10&amp;lastVirtModeType=default&amp;lastVirtModeExtraState=&amp;virtModeType=default&amp;virtMode=0&amp;nonVirtPosition=&amp;position=chr15:102215994-102231935","chr15:102215994-102231935")</f>
        <v>chr15:102215994-102231935</v>
      </c>
      <c r="F2860" t="s">
        <v>25</v>
      </c>
      <c r="G2860">
        <v>1.0025303621210599</v>
      </c>
      <c r="H2860">
        <v>0.35854961100392502</v>
      </c>
      <c r="I2860">
        <v>2.7960715375314802</v>
      </c>
      <c r="J2860">
        <v>5.1727949076833101E-3</v>
      </c>
      <c r="K2860">
        <v>2.4186067251671502E-2</v>
      </c>
      <c r="L2860" t="s">
        <v>26</v>
      </c>
      <c r="M2860" t="s">
        <v>27</v>
      </c>
      <c r="N2860">
        <v>12.978630459507199</v>
      </c>
      <c r="O2860">
        <v>6.6330857415283901</v>
      </c>
      <c r="P2860">
        <v>17.737788997991199</v>
      </c>
      <c r="Q2860">
        <v>7.79509564408015</v>
      </c>
      <c r="R2860">
        <v>7.9643532390102401</v>
      </c>
      <c r="S2860">
        <v>4.1398083414947804</v>
      </c>
      <c r="T2860">
        <v>22.914773577906299</v>
      </c>
      <c r="U2860">
        <v>12.847540475313201</v>
      </c>
      <c r="V2860">
        <v>22.069608716526901</v>
      </c>
      <c r="W2860">
        <v>13.1192332222186</v>
      </c>
    </row>
    <row r="2861" spans="1:23" x14ac:dyDescent="0.2">
      <c r="A2861" t="s">
        <v>5726</v>
      </c>
      <c r="B2861" s="3" t="str">
        <f>HYPERLINK("http://www.ncbi.nlm.nih.gov/gene/108912","Cdca2")</f>
        <v>Cdca2</v>
      </c>
      <c r="C2861">
        <v>108912</v>
      </c>
      <c r="D2861" t="s">
        <v>5727</v>
      </c>
      <c r="E2861" s="3" t="str">
        <f>HYPERLINK("http://genome.ucsc.edu/cgi-bin/hgTracks?db=mm10&amp;lastVirtModeType=default&amp;lastVirtModeExtraState=&amp;virtModeType=default&amp;virtMode=0&amp;nonVirtPosition=&amp;position=chr14:67676353-67715610","chr14:67676353-67715610")</f>
        <v>chr14:67676353-67715610</v>
      </c>
      <c r="F2861" t="s">
        <v>25</v>
      </c>
      <c r="G2861">
        <v>0.67424337238486598</v>
      </c>
      <c r="H2861">
        <v>0.24120658647460799</v>
      </c>
      <c r="I2861">
        <v>2.7952942008731001</v>
      </c>
      <c r="J2861">
        <v>5.1852503916189601E-3</v>
      </c>
      <c r="K2861">
        <v>2.4235842231821798E-2</v>
      </c>
      <c r="L2861" t="s">
        <v>26</v>
      </c>
      <c r="M2861" t="s">
        <v>27</v>
      </c>
      <c r="N2861">
        <v>250.06365532539201</v>
      </c>
      <c r="O2861">
        <v>179.166803327949</v>
      </c>
      <c r="P2861">
        <v>303.23629432347502</v>
      </c>
      <c r="Q2861">
        <v>91.870770090944603</v>
      </c>
      <c r="R2861">
        <v>207.07318421426601</v>
      </c>
      <c r="S2861">
        <v>238.55645567863701</v>
      </c>
      <c r="T2861">
        <v>348.304558384176</v>
      </c>
      <c r="U2861">
        <v>265.51583648980602</v>
      </c>
      <c r="V2861">
        <v>294.99710317757598</v>
      </c>
      <c r="W2861">
        <v>304.127679242341</v>
      </c>
    </row>
    <row r="2862" spans="1:23" x14ac:dyDescent="0.2">
      <c r="A2862" t="s">
        <v>5728</v>
      </c>
      <c r="B2862" s="3" t="str">
        <f>HYPERLINK("http://www.ncbi.nlm.nih.gov/gene/17112","Tm4sf1")</f>
        <v>Tm4sf1</v>
      </c>
      <c r="C2862">
        <v>17112</v>
      </c>
      <c r="D2862" t="s">
        <v>5729</v>
      </c>
      <c r="E2862" s="3" t="str">
        <f>HYPERLINK("http://genome.ucsc.edu/cgi-bin/hgTracks?db=mm10&amp;lastVirtModeType=default&amp;lastVirtModeExtraState=&amp;virtModeType=default&amp;virtMode=0&amp;nonVirtPosition=&amp;position=chr3:57287063-57301919","chr3:57287063-57301919")</f>
        <v>chr3:57287063-57301919</v>
      </c>
      <c r="F2862" t="s">
        <v>25</v>
      </c>
      <c r="G2862">
        <v>-0.62901332585132097</v>
      </c>
      <c r="H2862">
        <v>0.22503592635110301</v>
      </c>
      <c r="I2862">
        <v>-2.7951684695444001</v>
      </c>
      <c r="J2862">
        <v>5.1872675642867403E-3</v>
      </c>
      <c r="K2862">
        <v>2.4236810869980401E-2</v>
      </c>
      <c r="L2862" t="s">
        <v>26</v>
      </c>
      <c r="M2862" t="s">
        <v>27</v>
      </c>
      <c r="N2862">
        <v>64.697088804594301</v>
      </c>
      <c r="O2862">
        <v>84.790019143616107</v>
      </c>
      <c r="P2862">
        <v>49.627391050327901</v>
      </c>
      <c r="Q2862">
        <v>90.757184998933198</v>
      </c>
      <c r="R2862">
        <v>79.264277473958998</v>
      </c>
      <c r="S2862">
        <v>84.348594957956195</v>
      </c>
      <c r="T2862">
        <v>41.246592440231403</v>
      </c>
      <c r="U2862">
        <v>40.683878171825199</v>
      </c>
      <c r="V2862">
        <v>67.680133397349195</v>
      </c>
      <c r="W2862">
        <v>48.8989601919058</v>
      </c>
    </row>
    <row r="2863" spans="1:23" x14ac:dyDescent="0.2">
      <c r="A2863" t="s">
        <v>5730</v>
      </c>
      <c r="B2863" s="3" t="str">
        <f>HYPERLINK("http://www.ncbi.nlm.nih.gov/gene/54721","Tyk2")</f>
        <v>Tyk2</v>
      </c>
      <c r="C2863">
        <v>54721</v>
      </c>
      <c r="D2863" t="s">
        <v>5731</v>
      </c>
      <c r="E2863" s="3" t="str">
        <f>HYPERLINK("http://genome.ucsc.edu/cgi-bin/hgTracks?db=mm10&amp;lastVirtModeType=default&amp;lastVirtModeExtraState=&amp;virtModeType=default&amp;virtMode=0&amp;nonVirtPosition=&amp;position=chr9:21104067-21131275","chr9:21104067-21131275")</f>
        <v>chr9:21104067-21131275</v>
      </c>
      <c r="F2863" t="s">
        <v>25</v>
      </c>
      <c r="G2863">
        <v>0.49109901451766202</v>
      </c>
      <c r="H2863">
        <v>0.17577297882986301</v>
      </c>
      <c r="I2863">
        <v>2.79393919240007</v>
      </c>
      <c r="J2863">
        <v>5.2070268808942699E-3</v>
      </c>
      <c r="K2863">
        <v>2.43206477021469E-2</v>
      </c>
      <c r="L2863" t="s">
        <v>26</v>
      </c>
      <c r="M2863" t="s">
        <v>27</v>
      </c>
      <c r="N2863">
        <v>130.00984093655001</v>
      </c>
      <c r="O2863">
        <v>105.844377165046</v>
      </c>
      <c r="P2863">
        <v>148.13393876517799</v>
      </c>
      <c r="Q2863">
        <v>106.90416883309901</v>
      </c>
      <c r="R2863">
        <v>87.987140545255997</v>
      </c>
      <c r="S2863">
        <v>122.641822116783</v>
      </c>
      <c r="T2863">
        <v>123.739777320694</v>
      </c>
      <c r="U2863">
        <v>152.02922895787299</v>
      </c>
      <c r="V2863">
        <v>148.602032024614</v>
      </c>
      <c r="W2863">
        <v>168.16471675752999</v>
      </c>
    </row>
    <row r="2864" spans="1:23" x14ac:dyDescent="0.2">
      <c r="A2864" t="s">
        <v>5732</v>
      </c>
      <c r="B2864" s="3" t="str">
        <f>HYPERLINK("http://www.ncbi.nlm.nih.gov/gene/70314","Rabep2")</f>
        <v>Rabep2</v>
      </c>
      <c r="C2864">
        <v>70314</v>
      </c>
      <c r="D2864" t="s">
        <v>5733</v>
      </c>
      <c r="E2864" s="3" t="str">
        <f>HYPERLINK("http://genome.ucsc.edu/cgi-bin/hgTracks?db=mm10&amp;lastVirtModeType=default&amp;lastVirtModeExtraState=&amp;virtModeType=default&amp;virtMode=0&amp;nonVirtPosition=&amp;position=chr7:126428766-126445907","chr7:126428766-126445907")</f>
        <v>chr7:126428766-126445907</v>
      </c>
      <c r="F2864" t="s">
        <v>30</v>
      </c>
      <c r="G2864">
        <v>0.58970320683088795</v>
      </c>
      <c r="H2864">
        <v>0.21108685693317999</v>
      </c>
      <c r="I2864">
        <v>2.7936519373992099</v>
      </c>
      <c r="J2864">
        <v>5.2116539894339698E-3</v>
      </c>
      <c r="K2864">
        <v>2.43337721661472E-2</v>
      </c>
      <c r="L2864" t="s">
        <v>26</v>
      </c>
      <c r="M2864" t="s">
        <v>27</v>
      </c>
      <c r="N2864">
        <v>80.787745982289906</v>
      </c>
      <c r="O2864">
        <v>61.797299574120601</v>
      </c>
      <c r="P2864">
        <v>95.030580788416998</v>
      </c>
      <c r="Q2864">
        <v>71.269445888732804</v>
      </c>
      <c r="R2864">
        <v>54.612707924641597</v>
      </c>
      <c r="S2864">
        <v>59.5097449089875</v>
      </c>
      <c r="T2864">
        <v>73.327275449300203</v>
      </c>
      <c r="U2864">
        <v>130.61666149901799</v>
      </c>
      <c r="V2864">
        <v>92.692356609412997</v>
      </c>
      <c r="W2864">
        <v>83.486029595936799</v>
      </c>
    </row>
    <row r="2865" spans="1:23" x14ac:dyDescent="0.2">
      <c r="A2865" t="s">
        <v>5734</v>
      </c>
      <c r="B2865" s="3" t="str">
        <f>HYPERLINK("http://www.ncbi.nlm.nih.gov/gene/21853","Timeless")</f>
        <v>Timeless</v>
      </c>
      <c r="C2865">
        <v>21853</v>
      </c>
      <c r="D2865" t="s">
        <v>5735</v>
      </c>
      <c r="E2865" s="3" t="str">
        <f>HYPERLINK("http://genome.ucsc.edu/cgi-bin/hgTracks?db=mm10&amp;lastVirtModeType=default&amp;lastVirtModeExtraState=&amp;virtModeType=default&amp;virtMode=0&amp;nonVirtPosition=&amp;position=chr10:128238065-128252941","chr10:128238065-128252941")</f>
        <v>chr10:128238065-128252941</v>
      </c>
      <c r="F2865" t="s">
        <v>30</v>
      </c>
      <c r="G2865">
        <v>0.68845053868501604</v>
      </c>
      <c r="H2865">
        <v>0.24653486892785301</v>
      </c>
      <c r="I2865">
        <v>2.79250777660376</v>
      </c>
      <c r="J2865">
        <v>5.2301210418177098E-3</v>
      </c>
      <c r="K2865">
        <v>2.4411485141506099E-2</v>
      </c>
      <c r="L2865" t="s">
        <v>26</v>
      </c>
      <c r="M2865" t="s">
        <v>27</v>
      </c>
      <c r="N2865">
        <v>241.770284897903</v>
      </c>
      <c r="O2865">
        <v>170.689057642612</v>
      </c>
      <c r="P2865">
        <v>295.08120533937199</v>
      </c>
      <c r="Q2865">
        <v>87.416429722898798</v>
      </c>
      <c r="R2865">
        <v>213.52051778870299</v>
      </c>
      <c r="S2865">
        <v>211.130225416234</v>
      </c>
      <c r="T2865">
        <v>366.63637724650101</v>
      </c>
      <c r="U2865">
        <v>301.91720116986102</v>
      </c>
      <c r="V2865">
        <v>249.386578496754</v>
      </c>
      <c r="W2865">
        <v>262.38466444437302</v>
      </c>
    </row>
    <row r="2866" spans="1:23" x14ac:dyDescent="0.2">
      <c r="A2866" t="s">
        <v>5736</v>
      </c>
      <c r="B2866" s="3" t="str">
        <f>HYPERLINK("http://www.ncbi.nlm.nih.gov/gene/228536","Bahd1")</f>
        <v>Bahd1</v>
      </c>
      <c r="C2866">
        <v>228536</v>
      </c>
      <c r="D2866" t="s">
        <v>5737</v>
      </c>
      <c r="E2866" s="3" t="str">
        <f>HYPERLINK("http://genome.ucsc.edu/cgi-bin/hgTracks?db=mm10&amp;lastVirtModeType=default&amp;lastVirtModeExtraState=&amp;virtModeType=default&amp;virtMode=0&amp;nonVirtPosition=&amp;position=chr2:118901614-118924524","chr2:118901614-118924524")</f>
        <v>chr2:118901614-118924524</v>
      </c>
      <c r="F2866" t="s">
        <v>30</v>
      </c>
      <c r="G2866">
        <v>0.56745328800103401</v>
      </c>
      <c r="H2866">
        <v>0.20321402652976001</v>
      </c>
      <c r="I2866">
        <v>2.7923923249359599</v>
      </c>
      <c r="J2866">
        <v>5.2319877414888196E-3</v>
      </c>
      <c r="K2866">
        <v>2.4411689145044199E-2</v>
      </c>
      <c r="L2866" t="s">
        <v>26</v>
      </c>
      <c r="M2866" t="s">
        <v>27</v>
      </c>
      <c r="N2866">
        <v>182.09795943567801</v>
      </c>
      <c r="O2866">
        <v>140.113800549015</v>
      </c>
      <c r="P2866">
        <v>213.58607860067499</v>
      </c>
      <c r="Q2866">
        <v>113.028886839162</v>
      </c>
      <c r="R2866">
        <v>113.776474843003</v>
      </c>
      <c r="S2866">
        <v>193.53603996488101</v>
      </c>
      <c r="T2866">
        <v>201.650007485576</v>
      </c>
      <c r="U2866">
        <v>246.24452577683701</v>
      </c>
      <c r="V2866">
        <v>209.66128280700599</v>
      </c>
      <c r="W2866">
        <v>196.78849833327999</v>
      </c>
    </row>
    <row r="2867" spans="1:23" x14ac:dyDescent="0.2">
      <c r="A2867" t="s">
        <v>5738</v>
      </c>
      <c r="B2867" s="3" t="str">
        <f>HYPERLINK("http://www.ncbi.nlm.nih.gov/gene/68052","Rps13")</f>
        <v>Rps13</v>
      </c>
      <c r="C2867">
        <v>68052</v>
      </c>
      <c r="D2867" t="s">
        <v>5739</v>
      </c>
      <c r="E2867" s="3" t="str">
        <f>HYPERLINK("http://genome.ucsc.edu/cgi-bin/hgTracks?db=mm10&amp;lastVirtModeType=default&amp;lastVirtModeExtraState=&amp;virtModeType=default&amp;virtMode=0&amp;nonVirtPosition=&amp;position=chr7:116331506-116334190","chr7:116331506-116334190")</f>
        <v>chr7:116331506-116334190</v>
      </c>
      <c r="F2867" t="s">
        <v>25</v>
      </c>
      <c r="G2867">
        <v>0.85544391757267202</v>
      </c>
      <c r="H2867">
        <v>0.30642550385732997</v>
      </c>
      <c r="I2867">
        <v>2.79168641906179</v>
      </c>
      <c r="J2867">
        <v>5.2434143962933897E-3</v>
      </c>
      <c r="K2867">
        <v>2.4456482821583001E-2</v>
      </c>
      <c r="L2867" t="s">
        <v>26</v>
      </c>
      <c r="M2867" t="s">
        <v>27</v>
      </c>
      <c r="N2867">
        <v>21.912904006972699</v>
      </c>
      <c r="O2867">
        <v>13.975108476615601</v>
      </c>
      <c r="P2867">
        <v>27.866250654740501</v>
      </c>
      <c r="Q2867">
        <v>10.0222658281031</v>
      </c>
      <c r="R2867">
        <v>13.2739220650171</v>
      </c>
      <c r="S2867">
        <v>18.6291375367265</v>
      </c>
      <c r="T2867">
        <v>22.914773577906299</v>
      </c>
      <c r="U2867">
        <v>27.836337696512</v>
      </c>
      <c r="V2867">
        <v>30.8974522031377</v>
      </c>
      <c r="W2867">
        <v>29.816439141406001</v>
      </c>
    </row>
    <row r="2868" spans="1:23" x14ac:dyDescent="0.2">
      <c r="A2868" t="s">
        <v>5740</v>
      </c>
      <c r="B2868" s="3" t="str">
        <f>HYPERLINK("http://www.ncbi.nlm.nih.gov/gene/67561","Wdr48")</f>
        <v>Wdr48</v>
      </c>
      <c r="C2868">
        <v>67561</v>
      </c>
      <c r="D2868" t="s">
        <v>5741</v>
      </c>
      <c r="E2868" s="3" t="str">
        <f>HYPERLINK("http://genome.ucsc.edu/cgi-bin/hgTracks?db=mm10&amp;lastVirtModeType=default&amp;lastVirtModeExtraState=&amp;virtModeType=default&amp;virtMode=0&amp;nonVirtPosition=&amp;position=chr9:119894894-119926579","chr9:119894894-119926579")</f>
        <v>chr9:119894894-119926579</v>
      </c>
      <c r="F2868" t="s">
        <v>30</v>
      </c>
      <c r="G2868">
        <v>-0.35941848590209502</v>
      </c>
      <c r="H2868">
        <v>0.12876786590919501</v>
      </c>
      <c r="I2868">
        <v>-2.7912125697225698</v>
      </c>
      <c r="J2868">
        <v>5.2510973417178404E-3</v>
      </c>
      <c r="K2868">
        <v>2.4483789868713E-2</v>
      </c>
      <c r="L2868" t="s">
        <v>26</v>
      </c>
      <c r="M2868" t="s">
        <v>27</v>
      </c>
      <c r="N2868">
        <v>249.37724316316601</v>
      </c>
      <c r="O2868">
        <v>286.851302815444</v>
      </c>
      <c r="P2868">
        <v>221.27169842395799</v>
      </c>
      <c r="Q2868">
        <v>310.13344812518898</v>
      </c>
      <c r="R2868">
        <v>290.13001084965902</v>
      </c>
      <c r="S2868">
        <v>260.29044947148401</v>
      </c>
      <c r="T2868">
        <v>219.98182634790101</v>
      </c>
      <c r="U2868">
        <v>214.12567458855401</v>
      </c>
      <c r="V2868">
        <v>224.37435528469001</v>
      </c>
      <c r="W2868">
        <v>226.60493747468601</v>
      </c>
    </row>
    <row r="2869" spans="1:23" x14ac:dyDescent="0.2">
      <c r="A2869" t="s">
        <v>5742</v>
      </c>
      <c r="B2869" s="3" t="str">
        <f>HYPERLINK("http://www.ncbi.nlm.nih.gov/gene/16889","Lipa")</f>
        <v>Lipa</v>
      </c>
      <c r="C2869">
        <v>16889</v>
      </c>
      <c r="D2869" t="s">
        <v>5743</v>
      </c>
      <c r="E2869" s="3" t="str">
        <f>HYPERLINK("http://genome.ucsc.edu/cgi-bin/hgTracks?db=mm10&amp;lastVirtModeType=default&amp;lastVirtModeExtraState=&amp;virtModeType=default&amp;virtMode=0&amp;nonVirtPosition=&amp;position=chr19:34492315-34527474","chr19:34492315-34527474")</f>
        <v>chr19:34492315-34527474</v>
      </c>
      <c r="F2869" t="s">
        <v>25</v>
      </c>
      <c r="G2869">
        <v>-0.62811692989832302</v>
      </c>
      <c r="H2869">
        <v>0.22504987415389399</v>
      </c>
      <c r="I2869">
        <v>-2.79101213568689</v>
      </c>
      <c r="J2869">
        <v>5.25435021850321E-3</v>
      </c>
      <c r="K2869">
        <v>2.4490429438209699E-2</v>
      </c>
      <c r="L2869" t="s">
        <v>26</v>
      </c>
      <c r="M2869" t="s">
        <v>27</v>
      </c>
      <c r="N2869">
        <v>296.49738056445602</v>
      </c>
      <c r="O2869">
        <v>380.45468088451298</v>
      </c>
      <c r="P2869">
        <v>233.52940532441201</v>
      </c>
      <c r="Q2869">
        <v>533.96405161948996</v>
      </c>
      <c r="R2869">
        <v>309.85126648911302</v>
      </c>
      <c r="S2869">
        <v>297.54872454493699</v>
      </c>
      <c r="T2869">
        <v>224.564781063482</v>
      </c>
      <c r="U2869">
        <v>167.018026179072</v>
      </c>
      <c r="V2869">
        <v>301.617985792534</v>
      </c>
      <c r="W2869">
        <v>240.91682826255999</v>
      </c>
    </row>
    <row r="2870" spans="1:23" x14ac:dyDescent="0.2">
      <c r="A2870" t="s">
        <v>5744</v>
      </c>
      <c r="B2870" s="3" t="str">
        <f>HYPERLINK("http://www.ncbi.nlm.nih.gov/gene/114663","Impa2")</f>
        <v>Impa2</v>
      </c>
      <c r="C2870">
        <v>114663</v>
      </c>
      <c r="D2870" t="s">
        <v>5745</v>
      </c>
      <c r="E2870" s="3" t="str">
        <f>HYPERLINK("http://genome.ucsc.edu/cgi-bin/hgTracks?db=mm10&amp;lastVirtModeType=default&amp;lastVirtModeExtraState=&amp;virtModeType=default&amp;virtMode=0&amp;nonVirtPosition=&amp;position=chr18:67289222-67318841","chr18:67289222-67318841")</f>
        <v>chr18:67289222-67318841</v>
      </c>
      <c r="F2870" t="s">
        <v>30</v>
      </c>
      <c r="G2870">
        <v>0.82820474466709404</v>
      </c>
      <c r="H2870">
        <v>0.29681072657530599</v>
      </c>
      <c r="I2870">
        <v>2.7903464077028999</v>
      </c>
      <c r="J2870">
        <v>5.2651674949673599E-3</v>
      </c>
      <c r="K2870">
        <v>2.4532309646871201E-2</v>
      </c>
      <c r="L2870" t="s">
        <v>26</v>
      </c>
      <c r="M2870" t="s">
        <v>27</v>
      </c>
      <c r="N2870">
        <v>37.877851117123299</v>
      </c>
      <c r="O2870">
        <v>22.636341629826799</v>
      </c>
      <c r="P2870">
        <v>49.3089832325957</v>
      </c>
      <c r="Q2870">
        <v>15.5901912881603</v>
      </c>
      <c r="R2870">
        <v>25.410079381604099</v>
      </c>
      <c r="S2870">
        <v>26.908754219716101</v>
      </c>
      <c r="T2870">
        <v>77.910230164881497</v>
      </c>
      <c r="U2870">
        <v>49.248905155367297</v>
      </c>
      <c r="V2870">
        <v>33.104413074790401</v>
      </c>
      <c r="W2870">
        <v>36.972384535343402</v>
      </c>
    </row>
    <row r="2871" spans="1:23" x14ac:dyDescent="0.2">
      <c r="A2871" t="s">
        <v>5746</v>
      </c>
      <c r="B2871" s="3" t="str">
        <f>HYPERLINK("http://www.ncbi.nlm.nih.gov/gene/17035","Lxn")</f>
        <v>Lxn</v>
      </c>
      <c r="C2871">
        <v>17035</v>
      </c>
      <c r="D2871" t="s">
        <v>5747</v>
      </c>
      <c r="E2871" s="3" t="str">
        <f>HYPERLINK("http://genome.ucsc.edu/cgi-bin/hgTracks?db=mm10&amp;lastVirtModeType=default&amp;lastVirtModeExtraState=&amp;virtModeType=default&amp;virtMode=0&amp;nonVirtPosition=&amp;position=chr3:67457998-67463907","chr3:67457998-67463907")</f>
        <v>chr3:67457998-67463907</v>
      </c>
      <c r="F2871" t="s">
        <v>25</v>
      </c>
      <c r="G2871">
        <v>-0.61303789200951497</v>
      </c>
      <c r="H2871">
        <v>0.21980279473109099</v>
      </c>
      <c r="I2871">
        <v>-2.7890359299548999</v>
      </c>
      <c r="J2871">
        <v>5.2865199722900999E-3</v>
      </c>
      <c r="K2871">
        <v>2.46232309387606E-2</v>
      </c>
      <c r="L2871" t="s">
        <v>26</v>
      </c>
      <c r="M2871" t="s">
        <v>27</v>
      </c>
      <c r="N2871">
        <v>60.273990761251497</v>
      </c>
      <c r="O2871">
        <v>77.869262341932199</v>
      </c>
      <c r="P2871">
        <v>47.077537075740899</v>
      </c>
      <c r="Q2871">
        <v>79.621334078818705</v>
      </c>
      <c r="R2871">
        <v>81.5398069708191</v>
      </c>
      <c r="S2871">
        <v>72.446645976158706</v>
      </c>
      <c r="T2871">
        <v>36.663637724650101</v>
      </c>
      <c r="U2871">
        <v>42.825134917710699</v>
      </c>
      <c r="V2871">
        <v>45.610524680822301</v>
      </c>
      <c r="W2871">
        <v>63.210850979780702</v>
      </c>
    </row>
    <row r="2872" spans="1:23" x14ac:dyDescent="0.2">
      <c r="A2872" t="s">
        <v>5748</v>
      </c>
      <c r="B2872" s="3" t="str">
        <f>HYPERLINK("http://www.ncbi.nlm.nih.gov/gene/19647","Rbbp6")</f>
        <v>Rbbp6</v>
      </c>
      <c r="C2872">
        <v>19647</v>
      </c>
      <c r="D2872" t="s">
        <v>5749</v>
      </c>
      <c r="E2872" s="3" t="str">
        <f>HYPERLINK("http://genome.ucsc.edu/cgi-bin/hgTracks?db=mm10&amp;lastVirtModeType=default&amp;lastVirtModeExtraState=&amp;virtModeType=default&amp;virtMode=0&amp;nonVirtPosition=&amp;position=chr7:122970563-123002572","chr7:122970563-123002572")</f>
        <v>chr7:122970563-123002572</v>
      </c>
      <c r="F2872" t="s">
        <v>30</v>
      </c>
      <c r="G2872">
        <v>0.33287157102042197</v>
      </c>
      <c r="H2872">
        <v>0.119381553859084</v>
      </c>
      <c r="I2872">
        <v>2.7882998692858298</v>
      </c>
      <c r="J2872">
        <v>5.2985473679482602E-3</v>
      </c>
      <c r="K2872">
        <v>2.4670670307439201E-2</v>
      </c>
      <c r="L2872" t="s">
        <v>26</v>
      </c>
      <c r="M2872" t="s">
        <v>27</v>
      </c>
      <c r="N2872">
        <v>589.59958613361903</v>
      </c>
      <c r="O2872">
        <v>513.18693026858898</v>
      </c>
      <c r="P2872">
        <v>646.90907803239099</v>
      </c>
      <c r="Q2872">
        <v>488.86385539302699</v>
      </c>
      <c r="R2872">
        <v>494.92766556706499</v>
      </c>
      <c r="S2872">
        <v>555.76926984567399</v>
      </c>
      <c r="T2872">
        <v>655.36252432812103</v>
      </c>
      <c r="U2872">
        <v>565.29178091378105</v>
      </c>
      <c r="V2872">
        <v>715.790976039356</v>
      </c>
      <c r="W2872">
        <v>651.19103084830704</v>
      </c>
    </row>
    <row r="2873" spans="1:23" x14ac:dyDescent="0.2">
      <c r="A2873" t="s">
        <v>5750</v>
      </c>
      <c r="B2873" s="3" t="str">
        <f>HYPERLINK("http://www.ncbi.nlm.nih.gov/gene/57028","Pdxp")</f>
        <v>Pdxp</v>
      </c>
      <c r="C2873">
        <v>57028</v>
      </c>
      <c r="D2873" t="s">
        <v>5751</v>
      </c>
      <c r="E2873" s="3" t="str">
        <f>HYPERLINK("http://genome.ucsc.edu/cgi-bin/hgTracks?db=mm10&amp;lastVirtModeType=default&amp;lastVirtModeExtraState=&amp;virtModeType=default&amp;virtMode=0&amp;nonVirtPosition=&amp;position=chr15:78913918-78919517","chr15:78913918-78919517")</f>
        <v>chr15:78913918-78919517</v>
      </c>
      <c r="F2873" t="s">
        <v>30</v>
      </c>
      <c r="G2873">
        <v>0.79901791340295603</v>
      </c>
      <c r="H2873">
        <v>0.28659624970969499</v>
      </c>
      <c r="I2873">
        <v>2.7879566261328099</v>
      </c>
      <c r="J2873">
        <v>5.3041644831045504E-3</v>
      </c>
      <c r="K2873">
        <v>2.4686237274566401E-2</v>
      </c>
      <c r="L2873" t="s">
        <v>26</v>
      </c>
      <c r="M2873" t="s">
        <v>27</v>
      </c>
      <c r="N2873">
        <v>50.500415221094499</v>
      </c>
      <c r="O2873">
        <v>33.239899416252598</v>
      </c>
      <c r="P2873">
        <v>63.445802074725897</v>
      </c>
      <c r="Q2873">
        <v>51.781706778532403</v>
      </c>
      <c r="R2873">
        <v>24.651569549317401</v>
      </c>
      <c r="S2873">
        <v>23.286421920908101</v>
      </c>
      <c r="T2873">
        <v>59.578411302556397</v>
      </c>
      <c r="U2873">
        <v>66.378959122451604</v>
      </c>
      <c r="V2873">
        <v>51.495753671896097</v>
      </c>
      <c r="W2873">
        <v>76.330084201999398</v>
      </c>
    </row>
    <row r="2874" spans="1:23" x14ac:dyDescent="0.2">
      <c r="A2874" t="s">
        <v>5750</v>
      </c>
      <c r="B2874" s="3" t="str">
        <f>HYPERLINK("http://www.ncbi.nlm.nih.gov/gene/20401","Sh3bp1")</f>
        <v>Sh3bp1</v>
      </c>
      <c r="C2874">
        <v>20401</v>
      </c>
      <c r="D2874" t="s">
        <v>5752</v>
      </c>
      <c r="E2874" s="3" t="str">
        <f>HYPERLINK("http://genome.ucsc.edu/cgi-bin/hgTracks?db=mm10&amp;lastVirtModeType=default&amp;lastVirtModeExtraState=&amp;virtModeType=default&amp;virtMode=0&amp;nonVirtPosition=&amp;position=chr15:78899767-78912052","chr15:78899767-78912052")</f>
        <v>chr15:78899767-78912052</v>
      </c>
      <c r="F2874" t="s">
        <v>30</v>
      </c>
      <c r="G2874">
        <v>0.79901791340295603</v>
      </c>
      <c r="H2874">
        <v>0.28659624970969499</v>
      </c>
      <c r="I2874">
        <v>2.7879566261328099</v>
      </c>
      <c r="J2874">
        <v>5.3041644831045504E-3</v>
      </c>
      <c r="K2874">
        <v>2.4686237274566401E-2</v>
      </c>
      <c r="L2874" t="s">
        <v>26</v>
      </c>
      <c r="M2874" t="s">
        <v>27</v>
      </c>
      <c r="N2874">
        <v>50.500415221094499</v>
      </c>
      <c r="O2874">
        <v>33.239899416252598</v>
      </c>
      <c r="P2874">
        <v>63.445802074725897</v>
      </c>
      <c r="Q2874">
        <v>51.781706778532403</v>
      </c>
      <c r="R2874">
        <v>24.651569549317401</v>
      </c>
      <c r="S2874">
        <v>23.286421920908101</v>
      </c>
      <c r="T2874">
        <v>59.578411302556397</v>
      </c>
      <c r="U2874">
        <v>66.378959122451604</v>
      </c>
      <c r="V2874">
        <v>51.495753671896097</v>
      </c>
      <c r="W2874">
        <v>76.330084201999398</v>
      </c>
    </row>
    <row r="2875" spans="1:23" x14ac:dyDescent="0.2">
      <c r="A2875" t="s">
        <v>5753</v>
      </c>
      <c r="B2875" s="3" t="str">
        <f>HYPERLINK("http://www.ncbi.nlm.nih.gov/gene/268670","Zfp759")</f>
        <v>Zfp759</v>
      </c>
      <c r="C2875">
        <v>268670</v>
      </c>
      <c r="D2875" t="s">
        <v>5754</v>
      </c>
      <c r="E2875" s="3" t="str">
        <f>HYPERLINK("http://genome.ucsc.edu/cgi-bin/hgTracks?db=mm10&amp;lastVirtModeType=default&amp;lastVirtModeExtraState=&amp;virtModeType=default&amp;virtMode=0&amp;nonVirtPosition=&amp;position=chr13:67128227-67141787","chr13:67128227-67141787")</f>
        <v>chr13:67128227-67141787</v>
      </c>
      <c r="F2875" t="s">
        <v>30</v>
      </c>
      <c r="G2875">
        <v>-0.92903835365990595</v>
      </c>
      <c r="H2875">
        <v>0.33329822838027501</v>
      </c>
      <c r="I2875">
        <v>-2.7874086165256302</v>
      </c>
      <c r="J2875">
        <v>5.3131437150715499E-3</v>
      </c>
      <c r="K2875">
        <v>2.47128542856975E-2</v>
      </c>
      <c r="L2875" t="s">
        <v>26</v>
      </c>
      <c r="M2875" t="s">
        <v>27</v>
      </c>
      <c r="N2875">
        <v>35.300568341102803</v>
      </c>
      <c r="O2875">
        <v>51.225470061617401</v>
      </c>
      <c r="P2875">
        <v>23.356892050716802</v>
      </c>
      <c r="Q2875">
        <v>70.155860796721299</v>
      </c>
      <c r="R2875">
        <v>57.646747253788398</v>
      </c>
      <c r="S2875">
        <v>25.873802134342402</v>
      </c>
      <c r="T2875">
        <v>36.663637724650101</v>
      </c>
      <c r="U2875">
        <v>12.847540475313201</v>
      </c>
      <c r="V2875">
        <v>27.219184083716499</v>
      </c>
      <c r="W2875">
        <v>16.6972059191874</v>
      </c>
    </row>
    <row r="2876" spans="1:23" x14ac:dyDescent="0.2">
      <c r="A2876" t="s">
        <v>5755</v>
      </c>
      <c r="B2876" s="3" t="str">
        <f>HYPERLINK("http://www.ncbi.nlm.nih.gov/gene/21857","Timp1")</f>
        <v>Timp1</v>
      </c>
      <c r="C2876">
        <v>21857</v>
      </c>
      <c r="D2876" t="s">
        <v>5756</v>
      </c>
      <c r="E2876" s="3" t="str">
        <f>HYPERLINK("http://genome.ucsc.edu/cgi-bin/hgTracks?db=mm10&amp;lastVirtModeType=default&amp;lastVirtModeExtraState=&amp;virtModeType=default&amp;virtMode=0&amp;nonVirtPosition=&amp;position=chrX:20870165-20874737","chrX:20870165-20874737")</f>
        <v>chrX:20870165-20874737</v>
      </c>
      <c r="F2876" t="s">
        <v>30</v>
      </c>
      <c r="G2876">
        <v>-0.83372379863884705</v>
      </c>
      <c r="H2876">
        <v>0.29917690999991597</v>
      </c>
      <c r="I2876">
        <v>-2.7867250806189601</v>
      </c>
      <c r="J2876">
        <v>5.3243628091842196E-3</v>
      </c>
      <c r="K2876">
        <v>2.4756438325620099E-2</v>
      </c>
      <c r="L2876" t="s">
        <v>26</v>
      </c>
      <c r="M2876" t="s">
        <v>27</v>
      </c>
      <c r="N2876">
        <v>56.693439145940097</v>
      </c>
      <c r="O2876">
        <v>80.334069543691896</v>
      </c>
      <c r="P2876">
        <v>38.9629663476261</v>
      </c>
      <c r="Q2876">
        <v>45.100196226463702</v>
      </c>
      <c r="R2876">
        <v>81.5398069708191</v>
      </c>
      <c r="S2876">
        <v>114.36220543379299</v>
      </c>
      <c r="T2876">
        <v>27.497728293487601</v>
      </c>
      <c r="U2876">
        <v>49.248905155367297</v>
      </c>
      <c r="V2876">
        <v>49.288792800243399</v>
      </c>
      <c r="W2876">
        <v>29.816439141406001</v>
      </c>
    </row>
    <row r="2877" spans="1:23" x14ac:dyDescent="0.2">
      <c r="A2877" t="s">
        <v>5757</v>
      </c>
      <c r="B2877" s="3" t="str">
        <f>HYPERLINK("http://www.ncbi.nlm.nih.gov/gene/16169","Il15ra")</f>
        <v>Il15ra</v>
      </c>
      <c r="C2877">
        <v>16169</v>
      </c>
      <c r="D2877" t="s">
        <v>5758</v>
      </c>
      <c r="E2877" s="3" t="str">
        <f>HYPERLINK("http://genome.ucsc.edu/cgi-bin/hgTracks?db=mm10&amp;lastVirtModeType=default&amp;lastVirtModeExtraState=&amp;virtModeType=default&amp;virtMode=0&amp;nonVirtPosition=&amp;position=chr2:11705711-11733985","chr2:11705711-11733985")</f>
        <v>chr2:11705711-11733985</v>
      </c>
      <c r="F2877" t="s">
        <v>30</v>
      </c>
      <c r="G2877">
        <v>0.82079252443733397</v>
      </c>
      <c r="H2877">
        <v>0.29454938361889599</v>
      </c>
      <c r="I2877">
        <v>2.7866041149124201</v>
      </c>
      <c r="J2877">
        <v>5.3263504848514503E-3</v>
      </c>
      <c r="K2877">
        <v>2.4757084117544501E-2</v>
      </c>
      <c r="L2877" t="s">
        <v>26</v>
      </c>
      <c r="M2877" t="s">
        <v>27</v>
      </c>
      <c r="N2877">
        <v>25.1492610299291</v>
      </c>
      <c r="O2877">
        <v>16.014969555407699</v>
      </c>
      <c r="P2877">
        <v>31.9999796358202</v>
      </c>
      <c r="Q2877">
        <v>19.487739110200401</v>
      </c>
      <c r="R2877">
        <v>12.5154122327304</v>
      </c>
      <c r="S2877">
        <v>16.041757323292298</v>
      </c>
      <c r="T2877">
        <v>41.246592440231403</v>
      </c>
      <c r="U2877">
        <v>23.553824204740899</v>
      </c>
      <c r="V2877">
        <v>34.575720322558801</v>
      </c>
      <c r="W2877">
        <v>28.623781575749799</v>
      </c>
    </row>
    <row r="2878" spans="1:23" x14ac:dyDescent="0.2">
      <c r="A2878" t="s">
        <v>5759</v>
      </c>
      <c r="B2878" s="3" t="str">
        <f>HYPERLINK("http://www.ncbi.nlm.nih.gov/gene/19046","Ppp1cb")</f>
        <v>Ppp1cb</v>
      </c>
      <c r="C2878">
        <v>19046</v>
      </c>
      <c r="D2878" t="s">
        <v>5760</v>
      </c>
      <c r="E2878" s="3" t="str">
        <f>HYPERLINK("http://genome.ucsc.edu/cgi-bin/hgTracks?db=mm10&amp;lastVirtModeType=default&amp;lastVirtModeExtraState=&amp;virtModeType=default&amp;virtMode=0&amp;nonVirtPosition=&amp;position=chr5:32458969-32493712","chr5:32458969-32493712")</f>
        <v>chr5:32458969-32493712</v>
      </c>
      <c r="F2878" t="s">
        <v>30</v>
      </c>
      <c r="G2878">
        <v>-0.29277074135589498</v>
      </c>
      <c r="H2878">
        <v>0.105099730528412</v>
      </c>
      <c r="I2878">
        <v>-2.78564692681823</v>
      </c>
      <c r="J2878">
        <v>5.3421023867635999E-3</v>
      </c>
      <c r="K2878">
        <v>2.4813708165041502E-2</v>
      </c>
      <c r="L2878" t="s">
        <v>26</v>
      </c>
      <c r="M2878" t="s">
        <v>27</v>
      </c>
      <c r="N2878">
        <v>1196.25916826446</v>
      </c>
      <c r="O2878">
        <v>1342.4789398575299</v>
      </c>
      <c r="P2878">
        <v>1086.59433956966</v>
      </c>
      <c r="Q2878">
        <v>1363.0281526220101</v>
      </c>
      <c r="R2878">
        <v>1333.46028516</v>
      </c>
      <c r="S2878">
        <v>1330.94838179057</v>
      </c>
      <c r="T2878">
        <v>1049.4966298681099</v>
      </c>
      <c r="U2878">
        <v>1034.2270082627099</v>
      </c>
      <c r="V2878">
        <v>1222.6563228955899</v>
      </c>
      <c r="W2878">
        <v>1039.99739725224</v>
      </c>
    </row>
    <row r="2879" spans="1:23" x14ac:dyDescent="0.2">
      <c r="A2879" t="s">
        <v>5761</v>
      </c>
      <c r="B2879" s="3" t="str">
        <f>HYPERLINK("http://www.ncbi.nlm.nih.gov/gene/71137","Rfx4")</f>
        <v>Rfx4</v>
      </c>
      <c r="C2879">
        <v>71137</v>
      </c>
      <c r="D2879" t="s">
        <v>5762</v>
      </c>
      <c r="E2879" s="3" t="str">
        <f>HYPERLINK("http://genome.ucsc.edu/cgi-bin/hgTracks?db=mm10&amp;lastVirtModeType=default&amp;lastVirtModeExtraState=&amp;virtModeType=default&amp;virtMode=0&amp;nonVirtPosition=&amp;position=chr10:84756047-84906536","chr10:84756047-84906536")</f>
        <v>chr10:84756047-84906536</v>
      </c>
      <c r="F2879" t="s">
        <v>30</v>
      </c>
      <c r="G2879">
        <v>-0.69718361588561495</v>
      </c>
      <c r="H2879">
        <v>0.250287936820901</v>
      </c>
      <c r="I2879">
        <v>-2.7855262412606798</v>
      </c>
      <c r="J2879">
        <v>5.3440914241733896E-3</v>
      </c>
      <c r="K2879">
        <v>2.4813708165041502E-2</v>
      </c>
      <c r="L2879" t="s">
        <v>26</v>
      </c>
      <c r="M2879" t="s">
        <v>27</v>
      </c>
      <c r="N2879">
        <v>95.866781378116002</v>
      </c>
      <c r="O2879">
        <v>121.685143116329</v>
      </c>
      <c r="P2879">
        <v>76.503010074456199</v>
      </c>
      <c r="Q2879">
        <v>129.732663219334</v>
      </c>
      <c r="R2879">
        <v>99.744042945699604</v>
      </c>
      <c r="S2879">
        <v>135.578723183954</v>
      </c>
      <c r="T2879">
        <v>119.15682260511301</v>
      </c>
      <c r="U2879">
        <v>79.2264995977648</v>
      </c>
      <c r="V2879">
        <v>45.610524680822301</v>
      </c>
      <c r="W2879">
        <v>62.018193414124497</v>
      </c>
    </row>
    <row r="2880" spans="1:23" x14ac:dyDescent="0.2">
      <c r="A2880" t="s">
        <v>5763</v>
      </c>
      <c r="B2880" s="3" t="str">
        <f>HYPERLINK("http://www.ncbi.nlm.nih.gov/gene/27276","Plekhb1")</f>
        <v>Plekhb1</v>
      </c>
      <c r="C2880">
        <v>27276</v>
      </c>
      <c r="D2880" t="s">
        <v>5764</v>
      </c>
      <c r="E2880" s="3" t="str">
        <f>HYPERLINK("http://genome.ucsc.edu/cgi-bin/hgTracks?db=mm10&amp;lastVirtModeType=default&amp;lastVirtModeExtraState=&amp;virtModeType=default&amp;virtMode=0&amp;nonVirtPosition=&amp;position=chr7:100643895-100658456","chr7:100643895-100658456")</f>
        <v>chr7:100643895-100658456</v>
      </c>
      <c r="F2880" t="s">
        <v>25</v>
      </c>
      <c r="G2880">
        <v>-0.57300852549664705</v>
      </c>
      <c r="H2880">
        <v>0.205709256183425</v>
      </c>
      <c r="I2880">
        <v>-2.7855262136853498</v>
      </c>
      <c r="J2880">
        <v>5.3440918787229898E-3</v>
      </c>
      <c r="K2880">
        <v>2.4813708165041502E-2</v>
      </c>
      <c r="L2880" t="s">
        <v>26</v>
      </c>
      <c r="M2880" t="s">
        <v>27</v>
      </c>
      <c r="N2880">
        <v>1990.18883073754</v>
      </c>
      <c r="O2880">
        <v>2485.13101845951</v>
      </c>
      <c r="P2880">
        <v>1618.9821899460701</v>
      </c>
      <c r="Q2880">
        <v>3556.7907838845699</v>
      </c>
      <c r="R2880">
        <v>2058.9749397422202</v>
      </c>
      <c r="S2880">
        <v>1839.62733175174</v>
      </c>
      <c r="T2880">
        <v>1581.11937687554</v>
      </c>
      <c r="U2880">
        <v>1496.73846537399</v>
      </c>
      <c r="V2880">
        <v>1896.5150423735499</v>
      </c>
      <c r="W2880">
        <v>1501.55587516121</v>
      </c>
    </row>
    <row r="2881" spans="1:23" x14ac:dyDescent="0.2">
      <c r="A2881" t="s">
        <v>5765</v>
      </c>
      <c r="B2881" s="3" t="str">
        <f>HYPERLINK("http://www.ncbi.nlm.nih.gov/gene/72993","Appl1")</f>
        <v>Appl1</v>
      </c>
      <c r="C2881">
        <v>72993</v>
      </c>
      <c r="D2881" t="s">
        <v>5766</v>
      </c>
      <c r="E2881" s="3" t="str">
        <f>HYPERLINK("http://genome.ucsc.edu/cgi-bin/hgTracks?db=mm10&amp;lastVirtModeType=default&amp;lastVirtModeExtraState=&amp;virtModeType=default&amp;virtMode=0&amp;nonVirtPosition=&amp;position=chr14:26918987-26970551","chr14:26918987-26970551")</f>
        <v>chr14:26918987-26970551</v>
      </c>
      <c r="F2881" t="s">
        <v>25</v>
      </c>
      <c r="G2881">
        <v>-0.324089371976093</v>
      </c>
      <c r="H2881">
        <v>0.116364810420601</v>
      </c>
      <c r="I2881">
        <v>-2.78511493985742</v>
      </c>
      <c r="J2881">
        <v>5.3508751710493897E-3</v>
      </c>
      <c r="K2881">
        <v>2.4829541918164999E-2</v>
      </c>
      <c r="L2881" t="s">
        <v>26</v>
      </c>
      <c r="M2881" t="s">
        <v>27</v>
      </c>
      <c r="N2881">
        <v>594.18326273228104</v>
      </c>
      <c r="O2881">
        <v>674.219234215798</v>
      </c>
      <c r="P2881">
        <v>534.15628411964303</v>
      </c>
      <c r="Q2881">
        <v>651.44727882669804</v>
      </c>
      <c r="R2881">
        <v>686.07214330330999</v>
      </c>
      <c r="S2881">
        <v>685.13828051738597</v>
      </c>
      <c r="T2881">
        <v>549.95456586975195</v>
      </c>
      <c r="U2881">
        <v>481.78276782424501</v>
      </c>
      <c r="V2881">
        <v>603.97162520895301</v>
      </c>
      <c r="W2881">
        <v>500.91617757562102</v>
      </c>
    </row>
    <row r="2882" spans="1:23" x14ac:dyDescent="0.2">
      <c r="A2882" t="s">
        <v>5767</v>
      </c>
      <c r="B2882" s="3" t="str">
        <f>HYPERLINK("http://www.ncbi.nlm.nih.gov/gene/13382","Dld")</f>
        <v>Dld</v>
      </c>
      <c r="C2882">
        <v>13382</v>
      </c>
      <c r="D2882" t="s">
        <v>5768</v>
      </c>
      <c r="E2882" s="3" t="str">
        <f>HYPERLINK("http://genome.ucsc.edu/cgi-bin/hgTracks?db=mm10&amp;lastVirtModeType=default&amp;lastVirtModeExtraState=&amp;virtModeType=default&amp;virtMode=0&amp;nonVirtPosition=&amp;position=chr12:31331561-31351471","chr12:31331561-31351471")</f>
        <v>chr12:31331561-31351471</v>
      </c>
      <c r="F2882" t="s">
        <v>25</v>
      </c>
      <c r="G2882">
        <v>-0.37368212430923903</v>
      </c>
      <c r="H2882">
        <v>0.13417214639278999</v>
      </c>
      <c r="I2882">
        <v>-2.7850946292182002</v>
      </c>
      <c r="J2882">
        <v>5.3512103633652497E-3</v>
      </c>
      <c r="K2882">
        <v>2.4829541918164999E-2</v>
      </c>
      <c r="L2882" t="s">
        <v>26</v>
      </c>
      <c r="M2882" t="s">
        <v>27</v>
      </c>
      <c r="N2882">
        <v>384.922807542275</v>
      </c>
      <c r="O2882">
        <v>443.096452255911</v>
      </c>
      <c r="P2882">
        <v>341.29257400704802</v>
      </c>
      <c r="Q2882">
        <v>405.90176603817298</v>
      </c>
      <c r="R2882">
        <v>511.994136793515</v>
      </c>
      <c r="S2882">
        <v>411.39345393604401</v>
      </c>
      <c r="T2882">
        <v>339.13864895301401</v>
      </c>
      <c r="U2882">
        <v>374.71993052996902</v>
      </c>
      <c r="V2882">
        <v>328.10151625236699</v>
      </c>
      <c r="W2882">
        <v>323.21020029284102</v>
      </c>
    </row>
    <row r="2883" spans="1:23" x14ac:dyDescent="0.2">
      <c r="A2883" t="s">
        <v>5769</v>
      </c>
      <c r="B2883" s="3" t="str">
        <f>HYPERLINK("http://www.ncbi.nlm.nih.gov/gene/12068","Bet1")</f>
        <v>Bet1</v>
      </c>
      <c r="C2883">
        <v>12068</v>
      </c>
      <c r="D2883" t="s">
        <v>5770</v>
      </c>
      <c r="E2883" s="3" t="str">
        <f>HYPERLINK("http://genome.ucsc.edu/cgi-bin/hgTracks?db=mm10&amp;lastVirtModeType=default&amp;lastVirtModeExtraState=&amp;virtModeType=default&amp;virtMode=0&amp;nonVirtPosition=&amp;position=chr6:4076903-4086927","chr6:4076903-4086927")</f>
        <v>chr6:4076903-4086927</v>
      </c>
      <c r="F2883" t="s">
        <v>25</v>
      </c>
      <c r="G2883">
        <v>-0.577263841883219</v>
      </c>
      <c r="H2883">
        <v>0.20753384783759701</v>
      </c>
      <c r="I2883">
        <v>-2.7815406879313</v>
      </c>
      <c r="J2883">
        <v>5.4101548497387702E-3</v>
      </c>
      <c r="K2883">
        <v>2.5091005593048901E-2</v>
      </c>
      <c r="L2883" t="s">
        <v>26</v>
      </c>
      <c r="M2883" t="s">
        <v>27</v>
      </c>
      <c r="N2883">
        <v>120.011860573015</v>
      </c>
      <c r="O2883">
        <v>148.61675560539899</v>
      </c>
      <c r="P2883">
        <v>98.558189298726901</v>
      </c>
      <c r="Q2883">
        <v>184.298332727895</v>
      </c>
      <c r="R2883">
        <v>139.94506405689401</v>
      </c>
      <c r="S2883">
        <v>121.606870031409</v>
      </c>
      <c r="T2883">
        <v>128.322732036275</v>
      </c>
      <c r="U2883">
        <v>68.520215868337104</v>
      </c>
      <c r="V2883">
        <v>100.78454647213999</v>
      </c>
      <c r="W2883">
        <v>96.605262818155396</v>
      </c>
    </row>
    <row r="2884" spans="1:23" x14ac:dyDescent="0.2">
      <c r="A2884" t="s">
        <v>5771</v>
      </c>
      <c r="B2884" s="3" t="str">
        <f>HYPERLINK("http://www.ncbi.nlm.nih.gov/gene/73373","Phospho2")</f>
        <v>Phospho2</v>
      </c>
      <c r="C2884">
        <v>73373</v>
      </c>
      <c r="D2884" t="s">
        <v>5772</v>
      </c>
      <c r="E2884" s="3" t="str">
        <f>HYPERLINK("http://genome.ucsc.edu/cgi-bin/hgTracks?db=mm10&amp;lastVirtModeType=default&amp;lastVirtModeExtraState=&amp;virtModeType=default&amp;virtMode=0&amp;nonVirtPosition=&amp;position=chr2:69789736-69797168","chr2:69789736-69797168")</f>
        <v>chr2:69789736-69797168</v>
      </c>
      <c r="F2884" t="s">
        <v>30</v>
      </c>
      <c r="G2884">
        <v>-0.61117282876618095</v>
      </c>
      <c r="H2884">
        <v>0.21973003327164201</v>
      </c>
      <c r="I2884">
        <v>-2.7814715160517798</v>
      </c>
      <c r="J2884">
        <v>5.4113079047662799E-3</v>
      </c>
      <c r="K2884">
        <v>2.5091005593048901E-2</v>
      </c>
      <c r="L2884" t="s">
        <v>26</v>
      </c>
      <c r="M2884" t="s">
        <v>27</v>
      </c>
      <c r="N2884">
        <v>67.206400055625195</v>
      </c>
      <c r="O2884">
        <v>85.753336482112203</v>
      </c>
      <c r="P2884">
        <v>53.296197735759897</v>
      </c>
      <c r="Q2884">
        <v>98.552280643013304</v>
      </c>
      <c r="R2884">
        <v>89.883415125972704</v>
      </c>
      <c r="S2884">
        <v>68.824313677350702</v>
      </c>
      <c r="T2884">
        <v>54.995456586975202</v>
      </c>
      <c r="U2884">
        <v>42.825134917710699</v>
      </c>
      <c r="V2884">
        <v>58.116636286854202</v>
      </c>
      <c r="W2884">
        <v>57.247563151499499</v>
      </c>
    </row>
    <row r="2885" spans="1:23" x14ac:dyDescent="0.2">
      <c r="A2885" t="s">
        <v>5773</v>
      </c>
      <c r="B2885" s="3" t="str">
        <f>HYPERLINK("http://www.ncbi.nlm.nih.gov/gene/209354","Eif2b1")</f>
        <v>Eif2b1</v>
      </c>
      <c r="C2885">
        <v>209354</v>
      </c>
      <c r="D2885" t="s">
        <v>5774</v>
      </c>
      <c r="E2885" s="3" t="str">
        <f>HYPERLINK("http://genome.ucsc.edu/cgi-bin/hgTracks?db=mm10&amp;lastVirtModeType=default&amp;lastVirtModeExtraState=&amp;virtModeType=default&amp;virtMode=0&amp;nonVirtPosition=&amp;position=chr5:124570213-124579131","chr5:124570213-124579131")</f>
        <v>chr5:124570213-124579131</v>
      </c>
      <c r="F2885" t="s">
        <v>25</v>
      </c>
      <c r="G2885">
        <v>-0.54287552082947199</v>
      </c>
      <c r="H2885">
        <v>0.19522410494022599</v>
      </c>
      <c r="I2885">
        <v>-2.78078120012737</v>
      </c>
      <c r="J2885">
        <v>5.4228272316752396E-3</v>
      </c>
      <c r="K2885">
        <v>2.51357145930644E-2</v>
      </c>
      <c r="L2885" t="s">
        <v>26</v>
      </c>
      <c r="M2885" t="s">
        <v>27</v>
      </c>
      <c r="N2885">
        <v>133.144675759775</v>
      </c>
      <c r="O2885">
        <v>166.328859177742</v>
      </c>
      <c r="P2885">
        <v>108.2565381963</v>
      </c>
      <c r="Q2885">
        <v>133.073418495368</v>
      </c>
      <c r="R2885">
        <v>191.52373265238899</v>
      </c>
      <c r="S2885">
        <v>174.389426385468</v>
      </c>
      <c r="T2885">
        <v>73.327275449300203</v>
      </c>
      <c r="U2885">
        <v>137.04043173667401</v>
      </c>
      <c r="V2885">
        <v>117.704579821477</v>
      </c>
      <c r="W2885">
        <v>104.953865777749</v>
      </c>
    </row>
    <row r="2886" spans="1:23" x14ac:dyDescent="0.2">
      <c r="A2886" t="s">
        <v>5775</v>
      </c>
      <c r="B2886" s="3" t="str">
        <f>HYPERLINK("http://www.ncbi.nlm.nih.gov/gene/11603","Agrn")</f>
        <v>Agrn</v>
      </c>
      <c r="C2886">
        <v>11603</v>
      </c>
      <c r="D2886" t="s">
        <v>5776</v>
      </c>
      <c r="E2886" s="3" t="str">
        <f>HYPERLINK("http://genome.ucsc.edu/cgi-bin/hgTracks?db=mm10&amp;lastVirtModeType=default&amp;lastVirtModeExtraState=&amp;virtModeType=default&amp;virtMode=0&amp;nonVirtPosition=&amp;position=chr4:156165289-156197488","chr4:156165289-156197488")</f>
        <v>chr4:156165289-156197488</v>
      </c>
      <c r="F2886" t="s">
        <v>25</v>
      </c>
      <c r="G2886">
        <v>0.51548639289667997</v>
      </c>
      <c r="H2886">
        <v>0.18540148526943601</v>
      </c>
      <c r="I2886">
        <v>2.7803789821184401</v>
      </c>
      <c r="J2886">
        <v>5.4295492612134403E-3</v>
      </c>
      <c r="K2886">
        <v>2.5158164068134699E-2</v>
      </c>
      <c r="L2886" t="s">
        <v>26</v>
      </c>
      <c r="M2886" t="s">
        <v>27</v>
      </c>
      <c r="N2886">
        <v>2805.8340035114902</v>
      </c>
      <c r="O2886">
        <v>2222.0720522854799</v>
      </c>
      <c r="P2886">
        <v>3243.6554669309999</v>
      </c>
      <c r="Q2886">
        <v>2597.4372271167099</v>
      </c>
      <c r="R2886">
        <v>1663.03280728857</v>
      </c>
      <c r="S2886">
        <v>2405.7461224511499</v>
      </c>
      <c r="T2886">
        <v>2813.9341953669</v>
      </c>
      <c r="U2886">
        <v>4111.2129521002298</v>
      </c>
      <c r="V2886">
        <v>3213.33502912632</v>
      </c>
      <c r="W2886">
        <v>2836.1396911305401</v>
      </c>
    </row>
    <row r="2887" spans="1:23" x14ac:dyDescent="0.2">
      <c r="A2887" t="s">
        <v>5777</v>
      </c>
      <c r="B2887" s="3" t="str">
        <f>HYPERLINK("http://www.ncbi.nlm.nih.gov/gene/18080","Nin")</f>
        <v>Nin</v>
      </c>
      <c r="C2887">
        <v>18080</v>
      </c>
      <c r="D2887" t="s">
        <v>5778</v>
      </c>
      <c r="E2887" s="3" t="str">
        <f>HYPERLINK("http://genome.ucsc.edu/cgi-bin/hgTracks?db=mm10&amp;lastVirtModeType=default&amp;lastVirtModeExtraState=&amp;virtModeType=default&amp;virtMode=0&amp;nonVirtPosition=&amp;position=chr12:70018739-70112035","chr12:70018739-70112035")</f>
        <v>chr12:70018739-70112035</v>
      </c>
      <c r="F2887" t="s">
        <v>25</v>
      </c>
      <c r="G2887">
        <v>0.48613565997851999</v>
      </c>
      <c r="H2887">
        <v>0.17498927336650899</v>
      </c>
      <c r="I2887">
        <v>2.7780883400797101</v>
      </c>
      <c r="J2887">
        <v>5.4679750058980701E-3</v>
      </c>
      <c r="K2887">
        <v>2.5327448392937098E-2</v>
      </c>
      <c r="L2887" t="s">
        <v>26</v>
      </c>
      <c r="M2887" t="s">
        <v>27</v>
      </c>
      <c r="N2887">
        <v>842.528422723939</v>
      </c>
      <c r="O2887">
        <v>679.46569816094302</v>
      </c>
      <c r="P2887">
        <v>964.82546614618798</v>
      </c>
      <c r="Q2887">
        <v>506.68121686520999</v>
      </c>
      <c r="R2887">
        <v>654.59398526341295</v>
      </c>
      <c r="S2887">
        <v>877.12189235420703</v>
      </c>
      <c r="T2887">
        <v>847.84662238253395</v>
      </c>
      <c r="U2887">
        <v>927.16417096843702</v>
      </c>
      <c r="V2887">
        <v>1058.60556476941</v>
      </c>
      <c r="W2887">
        <v>1025.6855064643701</v>
      </c>
    </row>
    <row r="2888" spans="1:23" x14ac:dyDescent="0.2">
      <c r="A2888" t="s">
        <v>5779</v>
      </c>
      <c r="B2888" s="3" t="str">
        <f>HYPERLINK("http://www.ncbi.nlm.nih.gov/gene/26889","Cln8")</f>
        <v>Cln8</v>
      </c>
      <c r="C2888">
        <v>26889</v>
      </c>
      <c r="D2888" t="s">
        <v>5780</v>
      </c>
      <c r="E2888" s="3" t="str">
        <f>HYPERLINK("http://genome.ucsc.edu/cgi-bin/hgTracks?db=mm10&amp;lastVirtModeType=default&amp;lastVirtModeExtraState=&amp;virtModeType=default&amp;virtMode=0&amp;nonVirtPosition=&amp;position=chr8:14888535-14901719","chr8:14888535-14901719")</f>
        <v>chr8:14888535-14901719</v>
      </c>
      <c r="F2888" t="s">
        <v>30</v>
      </c>
      <c r="G2888">
        <v>-0.40978917690135402</v>
      </c>
      <c r="H2888">
        <v>0.147588122525563</v>
      </c>
      <c r="I2888">
        <v>-2.7765728697468699</v>
      </c>
      <c r="J2888">
        <v>5.4935319168080299E-3</v>
      </c>
      <c r="K2888">
        <v>2.5434329512773801E-2</v>
      </c>
      <c r="L2888" t="s">
        <v>26</v>
      </c>
      <c r="M2888" t="s">
        <v>27</v>
      </c>
      <c r="N2888">
        <v>216.45419850040199</v>
      </c>
      <c r="O2888">
        <v>256.04898256595698</v>
      </c>
      <c r="P2888">
        <v>186.75811045123601</v>
      </c>
      <c r="Q2888">
        <v>267.26042208274799</v>
      </c>
      <c r="R2888">
        <v>223.00189069228699</v>
      </c>
      <c r="S2888">
        <v>277.88463492283699</v>
      </c>
      <c r="T2888">
        <v>151.237505614182</v>
      </c>
      <c r="U2888">
        <v>209.84316109678201</v>
      </c>
      <c r="V2888">
        <v>192.741249457668</v>
      </c>
      <c r="W2888">
        <v>193.21052563631099</v>
      </c>
    </row>
    <row r="2889" spans="1:23" x14ac:dyDescent="0.2">
      <c r="A2889" t="s">
        <v>5781</v>
      </c>
      <c r="B2889" s="3" t="str">
        <f>HYPERLINK("http://www.ncbi.nlm.nih.gov/gene/207958","Alg11")</f>
        <v>Alg11</v>
      </c>
      <c r="C2889">
        <v>207958</v>
      </c>
      <c r="D2889" t="s">
        <v>5782</v>
      </c>
      <c r="E2889" s="3" t="str">
        <f>HYPERLINK("http://genome.ucsc.edu/cgi-bin/hgTracks?db=mm10&amp;lastVirtModeType=default&amp;lastVirtModeExtraState=&amp;virtModeType=default&amp;virtMode=0&amp;nonVirtPosition=&amp;position=chr8:22060720-22071627","chr8:22060720-22071627")</f>
        <v>chr8:22060720-22071627</v>
      </c>
      <c r="F2889" t="s">
        <v>30</v>
      </c>
      <c r="G2889">
        <v>-0.50689556198161101</v>
      </c>
      <c r="H2889">
        <v>0.18257262040498501</v>
      </c>
      <c r="I2889">
        <v>-2.7764051414566402</v>
      </c>
      <c r="J2889">
        <v>5.4963671052538901E-3</v>
      </c>
      <c r="K2889">
        <v>2.5434329512773801E-2</v>
      </c>
      <c r="L2889" t="s">
        <v>26</v>
      </c>
      <c r="M2889" t="s">
        <v>27</v>
      </c>
      <c r="N2889">
        <v>149.10196064279401</v>
      </c>
      <c r="O2889">
        <v>185.526576126094</v>
      </c>
      <c r="P2889">
        <v>121.78349903031901</v>
      </c>
      <c r="Q2889">
        <v>175.94644453780899</v>
      </c>
      <c r="R2889">
        <v>209.34871371112601</v>
      </c>
      <c r="S2889">
        <v>171.284570129347</v>
      </c>
      <c r="T2889">
        <v>77.910230164881497</v>
      </c>
      <c r="U2889">
        <v>119.91037776959</v>
      </c>
      <c r="V2889">
        <v>139.03853491411999</v>
      </c>
      <c r="W2889">
        <v>150.27485327268599</v>
      </c>
    </row>
    <row r="2890" spans="1:23" x14ac:dyDescent="0.2">
      <c r="A2890" t="s">
        <v>5783</v>
      </c>
      <c r="B2890" s="3" t="str">
        <f>HYPERLINK("http://www.ncbi.nlm.nih.gov/gene/66416","Ndufa7")</f>
        <v>Ndufa7</v>
      </c>
      <c r="C2890">
        <v>66416</v>
      </c>
      <c r="D2890" t="s">
        <v>5784</v>
      </c>
      <c r="E2890" s="3" t="str">
        <f>HYPERLINK("http://genome.ucsc.edu/cgi-bin/hgTracks?db=mm10&amp;lastVirtModeType=default&amp;lastVirtModeExtraState=&amp;virtModeType=default&amp;virtMode=0&amp;nonVirtPosition=&amp;position=chr17:33824571-33838316","chr17:33824571-33838316")</f>
        <v>chr17:33824571-33838316</v>
      </c>
      <c r="F2890" t="s">
        <v>30</v>
      </c>
      <c r="G2890">
        <v>-0.370611685645793</v>
      </c>
      <c r="H2890">
        <v>0.133487251400213</v>
      </c>
      <c r="I2890">
        <v>-2.77638262649254</v>
      </c>
      <c r="J2890">
        <v>5.4967477865706304E-3</v>
      </c>
      <c r="K2890">
        <v>2.5434329512773801E-2</v>
      </c>
      <c r="L2890" t="s">
        <v>26</v>
      </c>
      <c r="M2890" t="s">
        <v>27</v>
      </c>
      <c r="N2890">
        <v>192.91807795859199</v>
      </c>
      <c r="O2890">
        <v>222.66355170831</v>
      </c>
      <c r="P2890">
        <v>170.60897264630299</v>
      </c>
      <c r="Q2890">
        <v>207.12682711413001</v>
      </c>
      <c r="R2890">
        <v>230.58698901515399</v>
      </c>
      <c r="S2890">
        <v>230.27683899564701</v>
      </c>
      <c r="T2890">
        <v>169.56932447650701</v>
      </c>
      <c r="U2890">
        <v>169.15928292495701</v>
      </c>
      <c r="V2890">
        <v>174.349908860563</v>
      </c>
      <c r="W2890">
        <v>169.35737432318601</v>
      </c>
    </row>
    <row r="2891" spans="1:23" x14ac:dyDescent="0.2">
      <c r="A2891" t="s">
        <v>5785</v>
      </c>
      <c r="B2891" s="3" t="str">
        <f>HYPERLINK("http://www.ncbi.nlm.nih.gov/gene/272359","Irf2bp1")</f>
        <v>Irf2bp1</v>
      </c>
      <c r="C2891">
        <v>272359</v>
      </c>
      <c r="D2891" t="s">
        <v>5786</v>
      </c>
      <c r="E2891" s="3" t="str">
        <f>HYPERLINK("http://genome.ucsc.edu/cgi-bin/hgTracks?db=mm10&amp;lastVirtModeType=default&amp;lastVirtModeExtraState=&amp;virtModeType=default&amp;virtMode=0&amp;nonVirtPosition=&amp;position=chr7:19004064-19006763","chr7:19004064-19006763")</f>
        <v>chr7:19004064-19006763</v>
      </c>
      <c r="F2891" t="s">
        <v>30</v>
      </c>
      <c r="G2891">
        <v>0.58793174558998096</v>
      </c>
      <c r="H2891">
        <v>0.211776193542563</v>
      </c>
      <c r="I2891">
        <v>2.7761937532030299</v>
      </c>
      <c r="J2891">
        <v>5.49994217918638E-3</v>
      </c>
      <c r="K2891">
        <v>2.5436124135302399E-2</v>
      </c>
      <c r="L2891" t="s">
        <v>26</v>
      </c>
      <c r="M2891" t="s">
        <v>27</v>
      </c>
      <c r="N2891">
        <v>197.077721308675</v>
      </c>
      <c r="O2891">
        <v>149.62363595006499</v>
      </c>
      <c r="P2891">
        <v>232.66828532763299</v>
      </c>
      <c r="Q2891">
        <v>144.76606196148899</v>
      </c>
      <c r="R2891">
        <v>112.638710094573</v>
      </c>
      <c r="S2891">
        <v>191.466135794134</v>
      </c>
      <c r="T2891">
        <v>206.23296220115699</v>
      </c>
      <c r="U2891">
        <v>301.91720116986102</v>
      </c>
      <c r="V2891">
        <v>178.02817697998401</v>
      </c>
      <c r="W2891">
        <v>244.49480095952899</v>
      </c>
    </row>
    <row r="2892" spans="1:23" x14ac:dyDescent="0.2">
      <c r="A2892" t="s">
        <v>5787</v>
      </c>
      <c r="B2892" s="3" t="str">
        <f>HYPERLINK("http://www.ncbi.nlm.nih.gov/gene/93889","Pcdhb18")</f>
        <v>Pcdhb18</v>
      </c>
      <c r="C2892">
        <v>93889</v>
      </c>
      <c r="D2892" t="s">
        <v>5788</v>
      </c>
      <c r="E2892" s="3" t="str">
        <f>HYPERLINK("http://genome.ucsc.edu/cgi-bin/hgTracks?db=mm10&amp;lastVirtModeType=default&amp;lastVirtModeExtraState=&amp;virtModeType=default&amp;virtMode=0&amp;nonVirtPosition=&amp;position=chr18:37489464-37494503","chr18:37489464-37494503")</f>
        <v>chr18:37489464-37494503</v>
      </c>
      <c r="F2892" t="s">
        <v>30</v>
      </c>
      <c r="G2892">
        <v>-0.50999963580054397</v>
      </c>
      <c r="H2892">
        <v>0.18370850789618901</v>
      </c>
      <c r="I2892">
        <v>-2.7761350938016198</v>
      </c>
      <c r="J2892">
        <v>5.5009346199563804E-3</v>
      </c>
      <c r="K2892">
        <v>2.5436124135302399E-2</v>
      </c>
      <c r="L2892" t="s">
        <v>26</v>
      </c>
      <c r="M2892" t="s">
        <v>27</v>
      </c>
      <c r="N2892">
        <v>95.664924876936894</v>
      </c>
      <c r="O2892">
        <v>116.448608572005</v>
      </c>
      <c r="P2892">
        <v>80.077162105636006</v>
      </c>
      <c r="Q2892">
        <v>121.380775029248</v>
      </c>
      <c r="R2892">
        <v>115.67274942372001</v>
      </c>
      <c r="S2892">
        <v>112.292301263046</v>
      </c>
      <c r="T2892">
        <v>87.076139596044001</v>
      </c>
      <c r="U2892">
        <v>74.943986105993702</v>
      </c>
      <c r="V2892">
        <v>92.692356609412997</v>
      </c>
      <c r="W2892">
        <v>65.596166111093197</v>
      </c>
    </row>
    <row r="2893" spans="1:23" x14ac:dyDescent="0.2">
      <c r="A2893" t="s">
        <v>5789</v>
      </c>
      <c r="B2893" s="3" t="str">
        <f>HYPERLINK("http://www.ncbi.nlm.nih.gov/gene/101490","Inpp5f")</f>
        <v>Inpp5f</v>
      </c>
      <c r="C2893">
        <v>101490</v>
      </c>
      <c r="D2893" t="s">
        <v>5790</v>
      </c>
      <c r="E2893" s="3" t="str">
        <f>HYPERLINK("http://genome.ucsc.edu/cgi-bin/hgTracks?db=mm10&amp;lastVirtModeType=default&amp;lastVirtModeExtraState=&amp;virtModeType=default&amp;virtMode=0&amp;nonVirtPosition=&amp;position=chr7:128611364-128696436","chr7:128611364-128696436")</f>
        <v>chr7:128611364-128696436</v>
      </c>
      <c r="F2893" t="s">
        <v>30</v>
      </c>
      <c r="G2893">
        <v>-0.44242652276411698</v>
      </c>
      <c r="H2893">
        <v>0.15943225901876801</v>
      </c>
      <c r="I2893">
        <v>-2.77501256952042</v>
      </c>
      <c r="J2893">
        <v>5.5199574378915397E-3</v>
      </c>
      <c r="K2893">
        <v>2.5515274439352999E-2</v>
      </c>
      <c r="L2893" t="s">
        <v>26</v>
      </c>
      <c r="M2893" t="s">
        <v>27</v>
      </c>
      <c r="N2893">
        <v>833.99617358927298</v>
      </c>
      <c r="O2893">
        <v>990.46032330144999</v>
      </c>
      <c r="P2893">
        <v>716.64806130514</v>
      </c>
      <c r="Q2893">
        <v>795.65654824218097</v>
      </c>
      <c r="R2893">
        <v>1069.8781184403799</v>
      </c>
      <c r="S2893">
        <v>1105.8463032217901</v>
      </c>
      <c r="T2893">
        <v>595.78411302556401</v>
      </c>
      <c r="U2893">
        <v>869.35023882952703</v>
      </c>
      <c r="V2893">
        <v>667.97349048688102</v>
      </c>
      <c r="W2893">
        <v>733.48440287858796</v>
      </c>
    </row>
    <row r="2894" spans="1:23" x14ac:dyDescent="0.2">
      <c r="A2894" t="s">
        <v>5791</v>
      </c>
      <c r="B2894" s="3" t="str">
        <f>HYPERLINK("http://www.ncbi.nlm.nih.gov/gene/30931","Tor1a")</f>
        <v>Tor1a</v>
      </c>
      <c r="C2894">
        <v>30931</v>
      </c>
      <c r="D2894" t="s">
        <v>5792</v>
      </c>
      <c r="E2894" s="3" t="str">
        <f>HYPERLINK("http://genome.ucsc.edu/cgi-bin/hgTracks?db=mm10&amp;lastVirtModeType=default&amp;lastVirtModeExtraState=&amp;virtModeType=default&amp;virtMode=0&amp;nonVirtPosition=&amp;position=chr2:30960560-30967918","chr2:30960560-30967918")</f>
        <v>chr2:30960560-30967918</v>
      </c>
      <c r="F2894" t="s">
        <v>25</v>
      </c>
      <c r="G2894">
        <v>-0.45769261146297502</v>
      </c>
      <c r="H2894">
        <v>0.16498269458138501</v>
      </c>
      <c r="I2894">
        <v>-2.7741855751858799</v>
      </c>
      <c r="J2894">
        <v>5.5340100272737603E-3</v>
      </c>
      <c r="K2894">
        <v>2.5571403821677999E-2</v>
      </c>
      <c r="L2894" t="s">
        <v>26</v>
      </c>
      <c r="M2894" t="s">
        <v>27</v>
      </c>
      <c r="N2894">
        <v>104.150975675467</v>
      </c>
      <c r="O2894">
        <v>124.483204723895</v>
      </c>
      <c r="P2894">
        <v>88.901803889145995</v>
      </c>
      <c r="Q2894">
        <v>124.721530305282</v>
      </c>
      <c r="R2894">
        <v>124.01635757887399</v>
      </c>
      <c r="S2894">
        <v>124.71172628753</v>
      </c>
      <c r="T2894">
        <v>87.076139596044001</v>
      </c>
      <c r="U2894">
        <v>92.074040073077995</v>
      </c>
      <c r="V2894">
        <v>94.163663857181504</v>
      </c>
      <c r="W2894">
        <v>82.293372030280594</v>
      </c>
    </row>
    <row r="2895" spans="1:23" x14ac:dyDescent="0.2">
      <c r="A2895" t="s">
        <v>5793</v>
      </c>
      <c r="B2895" s="3" t="str">
        <f>HYPERLINK("http://www.ncbi.nlm.nih.gov/gene/21752","Tert")</f>
        <v>Tert</v>
      </c>
      <c r="C2895">
        <v>21752</v>
      </c>
      <c r="D2895" t="s">
        <v>5794</v>
      </c>
      <c r="E2895" s="3" t="str">
        <f>HYPERLINK("http://genome.ucsc.edu/cgi-bin/hgTracks?db=mm10&amp;lastVirtModeType=default&amp;lastVirtModeExtraState=&amp;virtModeType=default&amp;virtMode=0&amp;nonVirtPosition=&amp;position=chr13:73627000-73649041","chr13:73627000-73649041")</f>
        <v>chr13:73627000-73649041</v>
      </c>
      <c r="F2895" t="s">
        <v>30</v>
      </c>
      <c r="G2895">
        <v>0.95788139672081596</v>
      </c>
      <c r="H2895">
        <v>0.34544036217185498</v>
      </c>
      <c r="I2895">
        <v>2.7729284172191599</v>
      </c>
      <c r="J2895">
        <v>5.5554339622275002E-3</v>
      </c>
      <c r="K2895">
        <v>2.5661544045597999E-2</v>
      </c>
      <c r="L2895" t="s">
        <v>26</v>
      </c>
      <c r="M2895" t="s">
        <v>27</v>
      </c>
      <c r="N2895">
        <v>16.250416908515799</v>
      </c>
      <c r="O2895">
        <v>8.3643541793952298</v>
      </c>
      <c r="P2895">
        <v>22.1649639553562</v>
      </c>
      <c r="Q2895">
        <v>10.0222658281031</v>
      </c>
      <c r="R2895">
        <v>8.3436081551535803</v>
      </c>
      <c r="S2895">
        <v>6.72718855492902</v>
      </c>
      <c r="T2895">
        <v>32.0806830090688</v>
      </c>
      <c r="U2895">
        <v>21.412567458855399</v>
      </c>
      <c r="V2895">
        <v>12.506111606031901</v>
      </c>
      <c r="W2895">
        <v>22.6604937474686</v>
      </c>
    </row>
    <row r="2896" spans="1:23" x14ac:dyDescent="0.2">
      <c r="A2896" t="s">
        <v>5795</v>
      </c>
      <c r="B2896" s="3" t="str">
        <f>HYPERLINK("http://www.ncbi.nlm.nih.gov/gene/66237","Atp6v1g2")</f>
        <v>Atp6v1g2</v>
      </c>
      <c r="C2896">
        <v>66237</v>
      </c>
      <c r="D2896" t="s">
        <v>5796</v>
      </c>
      <c r="E2896" s="3" t="str">
        <f>HYPERLINK("http://genome.ucsc.edu/cgi-bin/hgTracks?db=mm10&amp;lastVirtModeType=default&amp;lastVirtModeExtraState=&amp;virtModeType=default&amp;virtMode=0&amp;nonVirtPosition=&amp;position=chr17:35236595-35238768","chr17:35236595-35238768")</f>
        <v>chr17:35236595-35238768</v>
      </c>
      <c r="F2896" t="s">
        <v>30</v>
      </c>
      <c r="G2896">
        <v>-0.82241387369959695</v>
      </c>
      <c r="H2896">
        <v>0.29661055548735898</v>
      </c>
      <c r="I2896">
        <v>-2.7727060230486198</v>
      </c>
      <c r="J2896">
        <v>5.5592316877600498E-3</v>
      </c>
      <c r="K2896">
        <v>2.5670231562343E-2</v>
      </c>
      <c r="L2896" t="s">
        <v>26</v>
      </c>
      <c r="M2896" t="s">
        <v>27</v>
      </c>
      <c r="N2896">
        <v>62.580034480121498</v>
      </c>
      <c r="O2896">
        <v>88.044587292352503</v>
      </c>
      <c r="P2896">
        <v>43.4816198709484</v>
      </c>
      <c r="Q2896">
        <v>93.541147728961803</v>
      </c>
      <c r="R2896">
        <v>118.327533836724</v>
      </c>
      <c r="S2896">
        <v>52.265080311371598</v>
      </c>
      <c r="T2896">
        <v>22.914773577906299</v>
      </c>
      <c r="U2896">
        <v>64.237702376566105</v>
      </c>
      <c r="V2896">
        <v>33.104413074790401</v>
      </c>
      <c r="W2896">
        <v>53.669590454530798</v>
      </c>
    </row>
    <row r="2897" spans="1:23" x14ac:dyDescent="0.2">
      <c r="A2897" t="s">
        <v>5797</v>
      </c>
      <c r="B2897" s="3" t="str">
        <f>HYPERLINK("http://www.ncbi.nlm.nih.gov/gene/17190","Mbd1")</f>
        <v>Mbd1</v>
      </c>
      <c r="C2897">
        <v>17190</v>
      </c>
      <c r="D2897" t="s">
        <v>5798</v>
      </c>
      <c r="E2897" s="3" t="str">
        <f>HYPERLINK("http://genome.ucsc.edu/cgi-bin/hgTracks?db=mm10&amp;lastVirtModeType=default&amp;lastVirtModeExtraState=&amp;virtModeType=default&amp;virtMode=0&amp;nonVirtPosition=&amp;position=chr18:74268287-74282684","chr18:74268287-74282684")</f>
        <v>chr18:74268287-74282684</v>
      </c>
      <c r="F2897" t="s">
        <v>30</v>
      </c>
      <c r="G2897">
        <v>0.32789923172842</v>
      </c>
      <c r="H2897">
        <v>0.11827144247072401</v>
      </c>
      <c r="I2897">
        <v>2.7724294629245398</v>
      </c>
      <c r="J2897">
        <v>5.56395764895707E-3</v>
      </c>
      <c r="K2897">
        <v>2.56831978204702E-2</v>
      </c>
      <c r="L2897" t="s">
        <v>26</v>
      </c>
      <c r="M2897" t="s">
        <v>27</v>
      </c>
      <c r="N2897">
        <v>283.01533060210699</v>
      </c>
      <c r="O2897">
        <v>246.89439798116001</v>
      </c>
      <c r="P2897">
        <v>310.10603006781599</v>
      </c>
      <c r="Q2897">
        <v>232.739284230393</v>
      </c>
      <c r="R2897">
        <v>247.65346024160399</v>
      </c>
      <c r="S2897">
        <v>260.29044947148401</v>
      </c>
      <c r="T2897">
        <v>297.89205651278201</v>
      </c>
      <c r="U2897">
        <v>308.34097140751697</v>
      </c>
      <c r="V2897">
        <v>303.824946664187</v>
      </c>
      <c r="W2897">
        <v>330.366145686778</v>
      </c>
    </row>
    <row r="2898" spans="1:23" x14ac:dyDescent="0.2">
      <c r="A2898" t="s">
        <v>5799</v>
      </c>
      <c r="B2898" s="3" t="str">
        <f>HYPERLINK("http://www.ncbi.nlm.nih.gov/gene/15951","Ifi204")</f>
        <v>Ifi204</v>
      </c>
      <c r="C2898">
        <v>15951</v>
      </c>
      <c r="D2898" t="s">
        <v>5800</v>
      </c>
      <c r="E2898" s="3" t="str">
        <f>HYPERLINK("http://genome.ucsc.edu/cgi-bin/hgTracks?db=mm10&amp;lastVirtModeType=default&amp;lastVirtModeExtraState=&amp;virtModeType=default&amp;virtMode=0&amp;nonVirtPosition=&amp;position=chr1:173747293-173766919","chr1:173747293-173766919")</f>
        <v>chr1:173747293-173766919</v>
      </c>
      <c r="F2898" t="s">
        <v>25</v>
      </c>
      <c r="G2898">
        <v>0.92428252167820502</v>
      </c>
      <c r="H2898">
        <v>0.333494339718929</v>
      </c>
      <c r="I2898">
        <v>2.7715088731556698</v>
      </c>
      <c r="J2898">
        <v>5.5797151556454799E-3</v>
      </c>
      <c r="K2898">
        <v>2.5735085306513701E-2</v>
      </c>
      <c r="L2898" t="s">
        <v>26</v>
      </c>
      <c r="M2898" t="s">
        <v>27</v>
      </c>
      <c r="N2898">
        <v>28.0019243395732</v>
      </c>
      <c r="O2898">
        <v>15.4171489161876</v>
      </c>
      <c r="P2898">
        <v>37.440505907112403</v>
      </c>
      <c r="Q2898">
        <v>19.487739110200401</v>
      </c>
      <c r="R2898">
        <v>11.7569024004437</v>
      </c>
      <c r="S2898">
        <v>15.0068052379186</v>
      </c>
      <c r="T2898">
        <v>64.161366018137699</v>
      </c>
      <c r="U2898">
        <v>14.9887972211987</v>
      </c>
      <c r="V2898">
        <v>26.483530459832298</v>
      </c>
      <c r="W2898">
        <v>44.128329929280902</v>
      </c>
    </row>
    <row r="2899" spans="1:23" x14ac:dyDescent="0.2">
      <c r="A2899" t="s">
        <v>5801</v>
      </c>
      <c r="B2899" s="3" t="str">
        <f>HYPERLINK("http://www.ncbi.nlm.nih.gov/gene/107771","Bmyc")</f>
        <v>Bmyc</v>
      </c>
      <c r="C2899">
        <v>107771</v>
      </c>
      <c r="D2899" t="s">
        <v>5802</v>
      </c>
      <c r="E2899" s="3" t="str">
        <f>HYPERLINK("http://genome.ucsc.edu/cgi-bin/hgTracks?db=mm10&amp;lastVirtModeType=default&amp;lastVirtModeExtraState=&amp;virtModeType=default&amp;virtMode=0&amp;nonVirtPosition=&amp;position=chr2:25706878-25707719","chr2:25706878-25707719")</f>
        <v>chr2:25706878-25707719</v>
      </c>
      <c r="F2899" t="s">
        <v>30</v>
      </c>
      <c r="G2899">
        <v>0.88460319185793601</v>
      </c>
      <c r="H2899">
        <v>0.31918040840817302</v>
      </c>
      <c r="I2899">
        <v>2.77148336349858</v>
      </c>
      <c r="J2899">
        <v>5.58015237090105E-3</v>
      </c>
      <c r="K2899">
        <v>2.5735085306513701E-2</v>
      </c>
      <c r="L2899" t="s">
        <v>26</v>
      </c>
      <c r="M2899" t="s">
        <v>27</v>
      </c>
      <c r="N2899">
        <v>29.299189380614202</v>
      </c>
      <c r="O2899">
        <v>17.784340970702601</v>
      </c>
      <c r="P2899">
        <v>37.935325688047897</v>
      </c>
      <c r="Q2899">
        <v>11.1358509201145</v>
      </c>
      <c r="R2899">
        <v>14.790941729590401</v>
      </c>
      <c r="S2899">
        <v>27.4262302624029</v>
      </c>
      <c r="T2899">
        <v>27.497728293487601</v>
      </c>
      <c r="U2899">
        <v>53.531418647138402</v>
      </c>
      <c r="V2899">
        <v>30.1617985792534</v>
      </c>
      <c r="W2899">
        <v>40.550357232312201</v>
      </c>
    </row>
    <row r="2900" spans="1:23" x14ac:dyDescent="0.2">
      <c r="A2900" t="s">
        <v>5803</v>
      </c>
      <c r="B2900" s="3" t="str">
        <f>HYPERLINK("http://www.ncbi.nlm.nih.gov/gene/211286","Cln5")</f>
        <v>Cln5</v>
      </c>
      <c r="C2900">
        <v>211286</v>
      </c>
      <c r="D2900" t="s">
        <v>5804</v>
      </c>
      <c r="E2900" s="3" t="str">
        <f>HYPERLINK("http://genome.ucsc.edu/cgi-bin/hgTracks?db=mm10&amp;lastVirtModeType=default&amp;lastVirtModeExtraState=&amp;virtModeType=default&amp;virtMode=0&amp;nonVirtPosition=&amp;position=chr14:103070215-103077630","chr14:103070215-103077630")</f>
        <v>chr14:103070215-103077630</v>
      </c>
      <c r="F2900" t="s">
        <v>30</v>
      </c>
      <c r="G2900">
        <v>-0.508079489268076</v>
      </c>
      <c r="H2900">
        <v>0.18332715815978101</v>
      </c>
      <c r="I2900">
        <v>-2.7714360183626101</v>
      </c>
      <c r="J2900">
        <v>5.5809639108442798E-3</v>
      </c>
      <c r="K2900">
        <v>2.5735085306513701E-2</v>
      </c>
      <c r="L2900" t="s">
        <v>26</v>
      </c>
      <c r="M2900" t="s">
        <v>27</v>
      </c>
      <c r="N2900">
        <v>107.05018723113599</v>
      </c>
      <c r="O2900">
        <v>131.60821867404499</v>
      </c>
      <c r="P2900">
        <v>88.631663648953804</v>
      </c>
      <c r="Q2900">
        <v>116.369642115197</v>
      </c>
      <c r="R2900">
        <v>141.84133863761099</v>
      </c>
      <c r="S2900">
        <v>136.61367526932801</v>
      </c>
      <c r="T2900">
        <v>87.076139596044001</v>
      </c>
      <c r="U2900">
        <v>72.802729360108202</v>
      </c>
      <c r="V2900">
        <v>105.198468215445</v>
      </c>
      <c r="W2900">
        <v>89.449317424217995</v>
      </c>
    </row>
    <row r="2901" spans="1:23" x14ac:dyDescent="0.2">
      <c r="A2901" t="s">
        <v>5805</v>
      </c>
      <c r="B2901" s="3" t="str">
        <f>HYPERLINK("http://www.ncbi.nlm.nih.gov/gene/71566","Clmp")</f>
        <v>Clmp</v>
      </c>
      <c r="C2901">
        <v>71566</v>
      </c>
      <c r="D2901" t="s">
        <v>5806</v>
      </c>
      <c r="E2901" s="3" t="str">
        <f>HYPERLINK("http://genome.ucsc.edu/cgi-bin/hgTracks?db=mm10&amp;lastVirtModeType=default&amp;lastVirtModeExtraState=&amp;virtModeType=default&amp;virtMode=0&amp;nonVirtPosition=&amp;position=chr9:40685963-40784046","chr9:40685963-40784046")</f>
        <v>chr9:40685963-40784046</v>
      </c>
      <c r="F2901" t="s">
        <v>30</v>
      </c>
      <c r="G2901">
        <v>0.87664652151316602</v>
      </c>
      <c r="H2901">
        <v>0.31634339739402501</v>
      </c>
      <c r="I2901">
        <v>2.7711864029241902</v>
      </c>
      <c r="J2901">
        <v>5.5852443141642099E-3</v>
      </c>
      <c r="K2901">
        <v>2.57459575252919E-2</v>
      </c>
      <c r="L2901" t="s">
        <v>26</v>
      </c>
      <c r="M2901" t="s">
        <v>27</v>
      </c>
      <c r="N2901">
        <v>38.044811351560398</v>
      </c>
      <c r="O2901">
        <v>23.577190901799899</v>
      </c>
      <c r="P2901">
        <v>48.8955266888808</v>
      </c>
      <c r="Q2901">
        <v>23.385286932240501</v>
      </c>
      <c r="R2901">
        <v>33.3744326206143</v>
      </c>
      <c r="S2901">
        <v>13.971853152544901</v>
      </c>
      <c r="T2901">
        <v>27.497728293487601</v>
      </c>
      <c r="U2901">
        <v>57.8139321389095</v>
      </c>
      <c r="V2901">
        <v>37.518334818095703</v>
      </c>
      <c r="W2901">
        <v>72.752111505030598</v>
      </c>
    </row>
    <row r="2902" spans="1:23" x14ac:dyDescent="0.2">
      <c r="A2902" t="s">
        <v>5807</v>
      </c>
      <c r="B2902" s="3" t="str">
        <f>HYPERLINK("http://www.ncbi.nlm.nih.gov/gene/12212","Chic1")</f>
        <v>Chic1</v>
      </c>
      <c r="C2902">
        <v>12212</v>
      </c>
      <c r="D2902" t="s">
        <v>5808</v>
      </c>
      <c r="E2902" s="3" t="str">
        <f>HYPERLINK("http://genome.ucsc.edu/cgi-bin/hgTracks?db=mm10&amp;lastVirtModeType=default&amp;lastVirtModeExtraState=&amp;virtModeType=default&amp;virtMode=0&amp;nonVirtPosition=&amp;position=chrX:103356475-103396118","chrX:103356475-103396118")</f>
        <v>chrX:103356475-103396118</v>
      </c>
      <c r="F2902" t="s">
        <v>30</v>
      </c>
      <c r="G2902">
        <v>0.39305714865665897</v>
      </c>
      <c r="H2902">
        <v>0.14186594629279101</v>
      </c>
      <c r="I2902">
        <v>2.7706236692309898</v>
      </c>
      <c r="J2902">
        <v>5.5949049346473E-3</v>
      </c>
      <c r="K2902">
        <v>2.5775592860736302E-2</v>
      </c>
      <c r="L2902" t="s">
        <v>26</v>
      </c>
      <c r="M2902" t="s">
        <v>27</v>
      </c>
      <c r="N2902">
        <v>180.050591812112</v>
      </c>
      <c r="O2902">
        <v>149.84140475800999</v>
      </c>
      <c r="P2902">
        <v>202.707482102689</v>
      </c>
      <c r="Q2902">
        <v>139.19813650143101</v>
      </c>
      <c r="R2902">
        <v>150.943456625051</v>
      </c>
      <c r="S2902">
        <v>159.382621147549</v>
      </c>
      <c r="T2902">
        <v>238.31364521022601</v>
      </c>
      <c r="U2902">
        <v>179.86556665438499</v>
      </c>
      <c r="V2902">
        <v>193.47690308155299</v>
      </c>
      <c r="W2902">
        <v>199.173813464592</v>
      </c>
    </row>
    <row r="2903" spans="1:23" x14ac:dyDescent="0.2">
      <c r="A2903" t="s">
        <v>5809</v>
      </c>
      <c r="B2903" s="3" t="str">
        <f>HYPERLINK("http://www.ncbi.nlm.nih.gov/gene/213990","Agap3")</f>
        <v>Agap3</v>
      </c>
      <c r="C2903">
        <v>213990</v>
      </c>
      <c r="D2903" t="s">
        <v>5810</v>
      </c>
      <c r="E2903" s="3" t="str">
        <f>HYPERLINK("http://genome.ucsc.edu/cgi-bin/hgTracks?db=mm10&amp;lastVirtModeType=default&amp;lastVirtModeExtraState=&amp;virtModeType=default&amp;virtMode=0&amp;nonVirtPosition=&amp;position=chr5:24452176-24483184","chr5:24452176-24483184")</f>
        <v>chr5:24452176-24483184</v>
      </c>
      <c r="F2903" t="s">
        <v>30</v>
      </c>
      <c r="G2903">
        <v>0.34712099458169499</v>
      </c>
      <c r="H2903">
        <v>0.12528957936786</v>
      </c>
      <c r="I2903">
        <v>2.7705496046285001</v>
      </c>
      <c r="J2903">
        <v>5.5961775463040202E-3</v>
      </c>
      <c r="K2903">
        <v>2.5775592860736302E-2</v>
      </c>
      <c r="L2903" t="s">
        <v>26</v>
      </c>
      <c r="M2903" t="s">
        <v>27</v>
      </c>
      <c r="N2903">
        <v>398.96184529463198</v>
      </c>
      <c r="O2903">
        <v>343.00107695436702</v>
      </c>
      <c r="P2903">
        <v>440.93242154983</v>
      </c>
      <c r="Q2903">
        <v>327.39401705136601</v>
      </c>
      <c r="R2903">
        <v>319.71189430883999</v>
      </c>
      <c r="S2903">
        <v>381.89731950289399</v>
      </c>
      <c r="T2903">
        <v>435.38069798022002</v>
      </c>
      <c r="U2903">
        <v>490.34779480778798</v>
      </c>
      <c r="V2903">
        <v>403.87383951244198</v>
      </c>
      <c r="W2903">
        <v>434.12735389887098</v>
      </c>
    </row>
    <row r="2904" spans="1:23" x14ac:dyDescent="0.2">
      <c r="A2904" t="s">
        <v>5811</v>
      </c>
      <c r="B2904" s="3" t="str">
        <f>HYPERLINK("http://www.ncbi.nlm.nih.gov/gene/101540","Prkd2")</f>
        <v>Prkd2</v>
      </c>
      <c r="C2904">
        <v>101540</v>
      </c>
      <c r="D2904" t="s">
        <v>5812</v>
      </c>
      <c r="E2904" s="3" t="str">
        <f>HYPERLINK("http://genome.ucsc.edu/cgi-bin/hgTracks?db=mm10&amp;lastVirtModeType=default&amp;lastVirtModeExtraState=&amp;virtModeType=default&amp;virtMode=0&amp;nonVirtPosition=&amp;position=chr7:16843064-16870461","chr7:16843064-16870461")</f>
        <v>chr7:16843064-16870461</v>
      </c>
      <c r="F2904" t="s">
        <v>30</v>
      </c>
      <c r="G2904">
        <v>0.61606176937873502</v>
      </c>
      <c r="H2904">
        <v>0.22236678401375101</v>
      </c>
      <c r="I2904">
        <v>2.7704756900232002</v>
      </c>
      <c r="J2904">
        <v>5.5974478410142003E-3</v>
      </c>
      <c r="K2904">
        <v>2.5775592860736302E-2</v>
      </c>
      <c r="L2904" t="s">
        <v>26</v>
      </c>
      <c r="M2904" t="s">
        <v>27</v>
      </c>
      <c r="N2904">
        <v>63.641811870989201</v>
      </c>
      <c r="O2904">
        <v>48.019106573962098</v>
      </c>
      <c r="P2904">
        <v>75.358840843759495</v>
      </c>
      <c r="Q2904">
        <v>53.452084416549603</v>
      </c>
      <c r="R2904">
        <v>36.787726865904403</v>
      </c>
      <c r="S2904">
        <v>53.817508439432203</v>
      </c>
      <c r="T2904">
        <v>68.744320733718993</v>
      </c>
      <c r="U2904">
        <v>83.509013089535898</v>
      </c>
      <c r="V2904">
        <v>82.3932058750338</v>
      </c>
      <c r="W2904">
        <v>66.788823676749402</v>
      </c>
    </row>
    <row r="2905" spans="1:23" x14ac:dyDescent="0.2">
      <c r="A2905" t="s">
        <v>5813</v>
      </c>
      <c r="B2905" s="3" t="str">
        <f>HYPERLINK("http://www.ncbi.nlm.nih.gov/gene/209497","Tmem164")</f>
        <v>Tmem164</v>
      </c>
      <c r="C2905">
        <v>209497</v>
      </c>
      <c r="D2905" t="s">
        <v>5814</v>
      </c>
      <c r="E2905" s="3" t="str">
        <f>HYPERLINK("http://genome.ucsc.edu/cgi-bin/hgTracks?db=mm10&amp;lastVirtModeType=default&amp;lastVirtModeExtraState=&amp;virtModeType=default&amp;virtMode=0&amp;nonVirtPosition=&amp;position=chrX:142681399-142838371","chrX:142681399-142838371")</f>
        <v>chrX:142681399-142838371</v>
      </c>
      <c r="F2905" t="s">
        <v>30</v>
      </c>
      <c r="G2905">
        <v>0.44648403241540702</v>
      </c>
      <c r="H2905">
        <v>0.16121936192626199</v>
      </c>
      <c r="I2905">
        <v>2.76941942382589</v>
      </c>
      <c r="J2905">
        <v>5.61562925271002E-3</v>
      </c>
      <c r="K2905">
        <v>2.5850426718129899E-2</v>
      </c>
      <c r="L2905" t="s">
        <v>26</v>
      </c>
      <c r="M2905" t="s">
        <v>27</v>
      </c>
      <c r="N2905">
        <v>350.16411713535302</v>
      </c>
      <c r="O2905">
        <v>288.737360672644</v>
      </c>
      <c r="P2905">
        <v>396.23418448238499</v>
      </c>
      <c r="Q2905">
        <v>234.40966186841001</v>
      </c>
      <c r="R2905">
        <v>289.75075593351499</v>
      </c>
      <c r="S2905">
        <v>342.05166421600597</v>
      </c>
      <c r="T2905">
        <v>334.55569423743202</v>
      </c>
      <c r="U2905">
        <v>471.076484094818</v>
      </c>
      <c r="V2905">
        <v>411.966029375169</v>
      </c>
      <c r="W2905">
        <v>367.33853022212202</v>
      </c>
    </row>
    <row r="2906" spans="1:23" x14ac:dyDescent="0.2">
      <c r="A2906" t="s">
        <v>5815</v>
      </c>
      <c r="B2906" s="3" t="str">
        <f>HYPERLINK("http://www.ncbi.nlm.nih.gov/gene/11350","Abl1")</f>
        <v>Abl1</v>
      </c>
      <c r="C2906">
        <v>11350</v>
      </c>
      <c r="D2906" t="s">
        <v>5816</v>
      </c>
      <c r="E2906" s="3" t="str">
        <f>HYPERLINK("http://genome.ucsc.edu/cgi-bin/hgTracks?db=mm10&amp;lastVirtModeType=default&amp;lastVirtModeExtraState=&amp;virtModeType=default&amp;virtMode=0&amp;nonVirtPosition=&amp;position=chr2:31688536-31804362","chr2:31688536-31804362")</f>
        <v>chr2:31688536-31804362</v>
      </c>
      <c r="F2906" t="s">
        <v>30</v>
      </c>
      <c r="G2906">
        <v>0.37634317455294902</v>
      </c>
      <c r="H2906">
        <v>0.13590411666086799</v>
      </c>
      <c r="I2906">
        <v>2.7691815656479801</v>
      </c>
      <c r="J2906">
        <v>5.6197308260967404E-3</v>
      </c>
      <c r="K2906">
        <v>2.58604176949352E-2</v>
      </c>
      <c r="L2906" t="s">
        <v>26</v>
      </c>
      <c r="M2906" t="s">
        <v>27</v>
      </c>
      <c r="N2906">
        <v>464.55586774523101</v>
      </c>
      <c r="O2906">
        <v>395.51559107936401</v>
      </c>
      <c r="P2906">
        <v>516.33607524463196</v>
      </c>
      <c r="Q2906">
        <v>459.35385045472299</v>
      </c>
      <c r="R2906">
        <v>343.22569910972697</v>
      </c>
      <c r="S2906">
        <v>383.967223673641</v>
      </c>
      <c r="T2906">
        <v>499.542063998358</v>
      </c>
      <c r="U2906">
        <v>558.86801067612498</v>
      </c>
      <c r="V2906">
        <v>537.02714543548802</v>
      </c>
      <c r="W2906">
        <v>469.90708086855801</v>
      </c>
    </row>
    <row r="2907" spans="1:23" x14ac:dyDescent="0.2">
      <c r="A2907" t="s">
        <v>5817</v>
      </c>
      <c r="B2907" s="3" t="str">
        <f>HYPERLINK("http://www.ncbi.nlm.nih.gov/gene/66126","Elof1")</f>
        <v>Elof1</v>
      </c>
      <c r="C2907">
        <v>66126</v>
      </c>
      <c r="D2907" t="s">
        <v>5818</v>
      </c>
      <c r="E2907" s="3" t="str">
        <f>HYPERLINK("http://genome.ucsc.edu/cgi-bin/hgTracks?db=mm10&amp;lastVirtModeType=default&amp;lastVirtModeExtraState=&amp;virtModeType=default&amp;virtMode=0&amp;nonVirtPosition=&amp;position=chr9:22112988-22114169","chr9:22112988-22114169")</f>
        <v>chr9:22112988-22114169</v>
      </c>
      <c r="F2907" t="s">
        <v>25</v>
      </c>
      <c r="G2907">
        <v>-0.579918868328408</v>
      </c>
      <c r="H2907">
        <v>0.20949215145668301</v>
      </c>
      <c r="I2907">
        <v>-2.7682128628495102</v>
      </c>
      <c r="J2907">
        <v>5.6364628524935298E-3</v>
      </c>
      <c r="K2907">
        <v>2.5928503626843302E-2</v>
      </c>
      <c r="L2907" t="s">
        <v>26</v>
      </c>
      <c r="M2907" t="s">
        <v>27</v>
      </c>
      <c r="N2907">
        <v>104.836191934148</v>
      </c>
      <c r="O2907">
        <v>134.95818186374001</v>
      </c>
      <c r="P2907">
        <v>82.244699486954403</v>
      </c>
      <c r="Q2907">
        <v>118.596812299219</v>
      </c>
      <c r="R2907">
        <v>155.873770534915</v>
      </c>
      <c r="S2907">
        <v>130.40396275708599</v>
      </c>
      <c r="T2907">
        <v>45.829547155812598</v>
      </c>
      <c r="U2907">
        <v>81.367756343650299</v>
      </c>
      <c r="V2907">
        <v>95.634971104949898</v>
      </c>
      <c r="W2907">
        <v>106.14652334340499</v>
      </c>
    </row>
    <row r="2908" spans="1:23" x14ac:dyDescent="0.2">
      <c r="A2908" t="s">
        <v>5819</v>
      </c>
      <c r="B2908" s="3" t="str">
        <f>HYPERLINK("http://www.ncbi.nlm.nih.gov/gene/70427","Mier2")</f>
        <v>Mier2</v>
      </c>
      <c r="C2908">
        <v>70427</v>
      </c>
      <c r="D2908" t="s">
        <v>5820</v>
      </c>
      <c r="E2908" s="3" t="str">
        <f>HYPERLINK("http://genome.ucsc.edu/cgi-bin/hgTracks?db=mm10&amp;lastVirtModeType=default&amp;lastVirtModeExtraState=&amp;virtModeType=default&amp;virtMode=0&amp;nonVirtPosition=&amp;position=chr10:79540244-79555128","chr10:79540244-79555128")</f>
        <v>chr10:79540244-79555128</v>
      </c>
      <c r="F2908" t="s">
        <v>25</v>
      </c>
      <c r="G2908">
        <v>0.51450038954563304</v>
      </c>
      <c r="H2908">
        <v>0.18589721612352</v>
      </c>
      <c r="I2908">
        <v>2.7676605399177898</v>
      </c>
      <c r="J2908">
        <v>5.6460230160664503E-3</v>
      </c>
      <c r="K2908">
        <v>2.59635625714787E-2</v>
      </c>
      <c r="L2908" t="s">
        <v>26</v>
      </c>
      <c r="M2908" t="s">
        <v>27</v>
      </c>
      <c r="N2908">
        <v>166.78660404121501</v>
      </c>
      <c r="O2908">
        <v>132.45624965936801</v>
      </c>
      <c r="P2908">
        <v>192.53436982760101</v>
      </c>
      <c r="Q2908">
        <v>128.61907812732201</v>
      </c>
      <c r="R2908">
        <v>103.15733719099001</v>
      </c>
      <c r="S2908">
        <v>165.592333659791</v>
      </c>
      <c r="T2908">
        <v>178.735233907669</v>
      </c>
      <c r="U2908">
        <v>207.701904350897</v>
      </c>
      <c r="V2908">
        <v>171.40729436502599</v>
      </c>
      <c r="W2908">
        <v>212.29304668681101</v>
      </c>
    </row>
    <row r="2909" spans="1:23" x14ac:dyDescent="0.2">
      <c r="A2909" t="s">
        <v>5821</v>
      </c>
      <c r="B2909" s="3" t="str">
        <f>HYPERLINK("http://www.ncbi.nlm.nih.gov/gene/74011","Slc25a27")</f>
        <v>Slc25a27</v>
      </c>
      <c r="C2909">
        <v>74011</v>
      </c>
      <c r="D2909" t="s">
        <v>5822</v>
      </c>
      <c r="E2909" s="3" t="str">
        <f>HYPERLINK("http://genome.ucsc.edu/cgi-bin/hgTracks?db=mm10&amp;lastVirtModeType=default&amp;lastVirtModeExtraState=&amp;virtModeType=default&amp;virtMode=0&amp;nonVirtPosition=&amp;position=chr17:43641899-43667015","chr17:43641899-43667015")</f>
        <v>chr17:43641899-43667015</v>
      </c>
      <c r="F2909" t="s">
        <v>25</v>
      </c>
      <c r="G2909">
        <v>0.58191002389903201</v>
      </c>
      <c r="H2909">
        <v>0.210264173841477</v>
      </c>
      <c r="I2909">
        <v>2.7675186564961201</v>
      </c>
      <c r="J2909">
        <v>5.6484812380240201E-3</v>
      </c>
      <c r="K2909">
        <v>2.59659499685478E-2</v>
      </c>
      <c r="L2909" t="s">
        <v>26</v>
      </c>
      <c r="M2909" t="s">
        <v>27</v>
      </c>
      <c r="N2909">
        <v>94.653868623243</v>
      </c>
      <c r="O2909">
        <v>73.465632388415997</v>
      </c>
      <c r="P2909">
        <v>110.545045799363</v>
      </c>
      <c r="Q2909">
        <v>71.826238434738499</v>
      </c>
      <c r="R2909">
        <v>80.781297138532395</v>
      </c>
      <c r="S2909">
        <v>67.789361591976999</v>
      </c>
      <c r="T2909">
        <v>91.659094311625296</v>
      </c>
      <c r="U2909">
        <v>87.791526581306996</v>
      </c>
      <c r="V2909">
        <v>108.876736334866</v>
      </c>
      <c r="W2909">
        <v>153.85282596965499</v>
      </c>
    </row>
    <row r="2910" spans="1:23" x14ac:dyDescent="0.2">
      <c r="A2910" t="s">
        <v>5823</v>
      </c>
      <c r="B2910" s="3" t="str">
        <f>HYPERLINK("http://www.ncbi.nlm.nih.gov/gene/20193","S100a1")</f>
        <v>S100a1</v>
      </c>
      <c r="C2910">
        <v>20193</v>
      </c>
      <c r="D2910" t="s">
        <v>5824</v>
      </c>
      <c r="E2910" s="3" t="str">
        <f>HYPERLINK("http://genome.ucsc.edu/cgi-bin/hgTracks?db=mm10&amp;lastVirtModeType=default&amp;lastVirtModeExtraState=&amp;virtModeType=default&amp;virtMode=0&amp;nonVirtPosition=&amp;position=chr3:90511033-90514330","chr3:90511033-90514330")</f>
        <v>chr3:90511033-90514330</v>
      </c>
      <c r="F2910" t="s">
        <v>25</v>
      </c>
      <c r="G2910">
        <v>-0.97338896962553001</v>
      </c>
      <c r="H2910">
        <v>0.35178691003784801</v>
      </c>
      <c r="I2910">
        <v>-2.7669846200951702</v>
      </c>
      <c r="J2910">
        <v>5.6577424221405997E-3</v>
      </c>
      <c r="K2910">
        <v>2.59933973434734E-2</v>
      </c>
      <c r="L2910" t="s">
        <v>26</v>
      </c>
      <c r="M2910" t="s">
        <v>27</v>
      </c>
      <c r="N2910">
        <v>214.00622492761801</v>
      </c>
      <c r="O2910">
        <v>325.35772158077299</v>
      </c>
      <c r="P2910">
        <v>130.492602437752</v>
      </c>
      <c r="Q2910">
        <v>567.37160437983403</v>
      </c>
      <c r="R2910">
        <v>231.724753763584</v>
      </c>
      <c r="S2910">
        <v>176.97680659890199</v>
      </c>
      <c r="T2910">
        <v>137.48864146743799</v>
      </c>
      <c r="U2910">
        <v>104.92158054839101</v>
      </c>
      <c r="V2910">
        <v>166.25771899783601</v>
      </c>
      <c r="W2910">
        <v>113.30246873734301</v>
      </c>
    </row>
    <row r="2911" spans="1:23" x14ac:dyDescent="0.2">
      <c r="A2911" t="s">
        <v>5825</v>
      </c>
      <c r="B2911" s="3" t="str">
        <f>HYPERLINK("http://www.ncbi.nlm.nih.gov/gene/19157","Cyth1")</f>
        <v>Cyth1</v>
      </c>
      <c r="C2911">
        <v>19157</v>
      </c>
      <c r="D2911" t="s">
        <v>5826</v>
      </c>
      <c r="E2911" s="3" t="str">
        <f>HYPERLINK("http://genome.ucsc.edu/cgi-bin/hgTracks?db=mm10&amp;lastVirtModeType=default&amp;lastVirtModeExtraState=&amp;virtModeType=default&amp;virtMode=0&amp;nonVirtPosition=&amp;position=chr11:118164165-118248592","chr11:118164165-118248592")</f>
        <v>chr11:118164165-118248592</v>
      </c>
      <c r="F2911" t="s">
        <v>25</v>
      </c>
      <c r="G2911">
        <v>0.42037911762819002</v>
      </c>
      <c r="H2911">
        <v>0.151936223930248</v>
      </c>
      <c r="I2911">
        <v>2.7668129874096401</v>
      </c>
      <c r="J2911">
        <v>5.6607217591761296E-3</v>
      </c>
      <c r="K2911">
        <v>2.59933973434734E-2</v>
      </c>
      <c r="L2911" t="s">
        <v>26</v>
      </c>
      <c r="M2911" t="s">
        <v>27</v>
      </c>
      <c r="N2911">
        <v>142.35301259371499</v>
      </c>
      <c r="O2911">
        <v>117.500818004126</v>
      </c>
      <c r="P2911">
        <v>160.99215853590701</v>
      </c>
      <c r="Q2911">
        <v>119.153604845225</v>
      </c>
      <c r="R2911">
        <v>112.25945517843</v>
      </c>
      <c r="S2911">
        <v>121.08939398872199</v>
      </c>
      <c r="T2911">
        <v>187.90114333883199</v>
      </c>
      <c r="U2911">
        <v>132.75791824490301</v>
      </c>
      <c r="V2911">
        <v>161.108143630646</v>
      </c>
      <c r="W2911">
        <v>162.201428929249</v>
      </c>
    </row>
    <row r="2912" spans="1:23" x14ac:dyDescent="0.2">
      <c r="A2912" t="s">
        <v>5827</v>
      </c>
      <c r="B2912" s="3" t="str">
        <f>HYPERLINK("http://www.ncbi.nlm.nih.gov/gene/330192","Vps37b")</f>
        <v>Vps37b</v>
      </c>
      <c r="C2912">
        <v>330192</v>
      </c>
      <c r="D2912" t="s">
        <v>5828</v>
      </c>
      <c r="E2912" s="3" t="str">
        <f>HYPERLINK("http://genome.ucsc.edu/cgi-bin/hgTracks?db=mm10&amp;lastVirtModeType=default&amp;lastVirtModeExtraState=&amp;virtModeType=default&amp;virtMode=0&amp;nonVirtPosition=&amp;position=chr5:124004640-124032260","chr5:124004640-124032260")</f>
        <v>chr5:124004640-124032260</v>
      </c>
      <c r="F2912" t="s">
        <v>25</v>
      </c>
      <c r="G2912">
        <v>0.48999894570535801</v>
      </c>
      <c r="H2912">
        <v>0.17710112901622899</v>
      </c>
      <c r="I2912">
        <v>2.76677482762098</v>
      </c>
      <c r="J2912">
        <v>5.6613843594955004E-3</v>
      </c>
      <c r="K2912">
        <v>2.59933973434734E-2</v>
      </c>
      <c r="L2912" t="s">
        <v>26</v>
      </c>
      <c r="M2912" t="s">
        <v>27</v>
      </c>
      <c r="N2912">
        <v>105.24283877185</v>
      </c>
      <c r="O2912">
        <v>85.591423310769002</v>
      </c>
      <c r="P2912">
        <v>119.98140036766</v>
      </c>
      <c r="Q2912">
        <v>92.984355182956094</v>
      </c>
      <c r="R2912">
        <v>71.6791791510921</v>
      </c>
      <c r="S2912">
        <v>92.110735598258898</v>
      </c>
      <c r="T2912">
        <v>105.407958458369</v>
      </c>
      <c r="U2912">
        <v>126.33414800724699</v>
      </c>
      <c r="V2912">
        <v>126.532423308088</v>
      </c>
      <c r="W2912">
        <v>121.651071696936</v>
      </c>
    </row>
    <row r="2913" spans="1:23" x14ac:dyDescent="0.2">
      <c r="A2913" t="s">
        <v>5829</v>
      </c>
      <c r="B2913" s="3" t="str">
        <f>HYPERLINK("http://www.ncbi.nlm.nih.gov/gene/13199","Ddn")</f>
        <v>Ddn</v>
      </c>
      <c r="C2913">
        <v>13199</v>
      </c>
      <c r="D2913" t="s">
        <v>5830</v>
      </c>
      <c r="E2913" s="3" t="str">
        <f>HYPERLINK("http://genome.ucsc.edu/cgi-bin/hgTracks?db=mm10&amp;lastVirtModeType=default&amp;lastVirtModeExtraState=&amp;virtModeType=default&amp;virtMode=0&amp;nonVirtPosition=&amp;position=chr15:98803781-98807925","chr15:98803781-98807925")</f>
        <v>chr15:98803781-98807925</v>
      </c>
      <c r="F2913" t="s">
        <v>25</v>
      </c>
      <c r="G2913">
        <v>0.92440796553291105</v>
      </c>
      <c r="H2913">
        <v>0.33413046322538698</v>
      </c>
      <c r="I2913">
        <v>2.7666078591264398</v>
      </c>
      <c r="J2913">
        <v>5.6642843959270198E-3</v>
      </c>
      <c r="K2913">
        <v>2.59933973434734E-2</v>
      </c>
      <c r="L2913" t="s">
        <v>26</v>
      </c>
      <c r="M2913" t="s">
        <v>27</v>
      </c>
      <c r="N2913">
        <v>18.0585031679772</v>
      </c>
      <c r="O2913">
        <v>10.7007744761049</v>
      </c>
      <c r="P2913">
        <v>23.576799686881401</v>
      </c>
      <c r="Q2913">
        <v>7.2383030980744296</v>
      </c>
      <c r="R2913">
        <v>15.549451561877101</v>
      </c>
      <c r="S2913">
        <v>9.3145687683632605</v>
      </c>
      <c r="T2913">
        <v>13.7488641467438</v>
      </c>
      <c r="U2913">
        <v>27.836337696512</v>
      </c>
      <c r="V2913">
        <v>26.483530459832298</v>
      </c>
      <c r="W2913">
        <v>26.2384664444373</v>
      </c>
    </row>
    <row r="2914" spans="1:23" x14ac:dyDescent="0.2">
      <c r="A2914" t="s">
        <v>5831</v>
      </c>
      <c r="B2914" s="3" t="str">
        <f>HYPERLINK("http://www.ncbi.nlm.nih.gov/gene/72462","Rrp1b")</f>
        <v>Rrp1b</v>
      </c>
      <c r="C2914">
        <v>72462</v>
      </c>
      <c r="D2914" t="s">
        <v>5832</v>
      </c>
      <c r="E2914" s="3" t="str">
        <f>HYPERLINK("http://genome.ucsc.edu/cgi-bin/hgTracks?db=mm10&amp;lastVirtModeType=default&amp;lastVirtModeExtraState=&amp;virtModeType=default&amp;virtMode=0&amp;nonVirtPosition=&amp;position=chr17:32036161-32062862","chr17:32036161-32062862")</f>
        <v>chr17:32036161-32062862</v>
      </c>
      <c r="F2914" t="s">
        <v>30</v>
      </c>
      <c r="G2914">
        <v>0.64055110235360202</v>
      </c>
      <c r="H2914">
        <v>0.231536665382028</v>
      </c>
      <c r="I2914">
        <v>2.7665212388574201</v>
      </c>
      <c r="J2914">
        <v>5.6657894108128699E-3</v>
      </c>
      <c r="K2914">
        <v>2.59933973434734E-2</v>
      </c>
      <c r="L2914" t="s">
        <v>26</v>
      </c>
      <c r="M2914" t="s">
        <v>27</v>
      </c>
      <c r="N2914">
        <v>158.47554327870401</v>
      </c>
      <c r="O2914">
        <v>114.908185229563</v>
      </c>
      <c r="P2914">
        <v>191.15106181556001</v>
      </c>
      <c r="Q2914">
        <v>67.371898066692694</v>
      </c>
      <c r="R2914">
        <v>139.18655422460699</v>
      </c>
      <c r="S2914">
        <v>138.16610339738801</v>
      </c>
      <c r="T2914">
        <v>229.147735779063</v>
      </c>
      <c r="U2914">
        <v>203.419390859126</v>
      </c>
      <c r="V2914">
        <v>166.25771899783601</v>
      </c>
      <c r="W2914">
        <v>165.77940162621701</v>
      </c>
    </row>
    <row r="2915" spans="1:23" x14ac:dyDescent="0.2">
      <c r="A2915" t="s">
        <v>5833</v>
      </c>
      <c r="B2915" s="3" t="str">
        <f>HYPERLINK("http://www.ncbi.nlm.nih.gov/gene/100417675","Nlrp5-ps")</f>
        <v>Nlrp5-ps</v>
      </c>
      <c r="C2915">
        <v>100417675</v>
      </c>
      <c r="D2915" t="s">
        <v>5834</v>
      </c>
      <c r="E2915" s="3" t="str">
        <f>HYPERLINK("http://genome.ucsc.edu/cgi-bin/hgTracks?db=mm10&amp;lastVirtModeType=default&amp;lastVirtModeExtraState=&amp;virtModeType=default&amp;virtMode=0&amp;nonVirtPosition=&amp;position=chr7:14530653-14622478","chr7:14530653-14622478")</f>
        <v>chr7:14530653-14622478</v>
      </c>
      <c r="F2915" t="s">
        <v>25</v>
      </c>
      <c r="G2915">
        <v>1.0830957942683801</v>
      </c>
      <c r="H2915">
        <v>0.39150350474976398</v>
      </c>
      <c r="I2915">
        <v>2.7665034441024101</v>
      </c>
      <c r="J2915">
        <v>5.6660986368156797E-3</v>
      </c>
      <c r="K2915">
        <v>2.59933973434734E-2</v>
      </c>
      <c r="L2915" t="s">
        <v>26</v>
      </c>
      <c r="M2915" t="s">
        <v>27</v>
      </c>
      <c r="N2915">
        <v>28.978992148494999</v>
      </c>
      <c r="O2915">
        <v>11.257477868057499</v>
      </c>
      <c r="P2915">
        <v>42.270127858823201</v>
      </c>
      <c r="Q2915">
        <v>20.601324202211799</v>
      </c>
      <c r="R2915">
        <v>12.136157316586999</v>
      </c>
      <c r="S2915">
        <v>1.0349520853737</v>
      </c>
      <c r="T2915">
        <v>82.493184880462707</v>
      </c>
      <c r="U2915">
        <v>25.695080950626402</v>
      </c>
      <c r="V2915">
        <v>28.690491331484999</v>
      </c>
      <c r="W2915">
        <v>32.201754272718503</v>
      </c>
    </row>
    <row r="2916" spans="1:23" x14ac:dyDescent="0.2">
      <c r="A2916" t="s">
        <v>5835</v>
      </c>
      <c r="B2916" s="3" t="str">
        <f>HYPERLINK("http://www.ncbi.nlm.nih.gov/gene/13822","Epb41l2")</f>
        <v>Epb41l2</v>
      </c>
      <c r="C2916">
        <v>13822</v>
      </c>
      <c r="D2916" t="s">
        <v>5836</v>
      </c>
      <c r="E2916" s="3" t="str">
        <f>HYPERLINK("http://genome.ucsc.edu/cgi-bin/hgTracks?db=mm10&amp;lastVirtModeType=default&amp;lastVirtModeExtraState=&amp;virtModeType=default&amp;virtMode=0&amp;nonVirtPosition=&amp;position=chr10:25359797-25523518","chr10:25359797-25523518")</f>
        <v>chr10:25359797-25523518</v>
      </c>
      <c r="F2916" t="s">
        <v>30</v>
      </c>
      <c r="G2916">
        <v>0.37687262038541902</v>
      </c>
      <c r="H2916">
        <v>0.136237037457864</v>
      </c>
      <c r="I2916">
        <v>2.76630076092178</v>
      </c>
      <c r="J2916">
        <v>5.6696218113364803E-3</v>
      </c>
      <c r="K2916">
        <v>2.6000652628632499E-2</v>
      </c>
      <c r="L2916" t="s">
        <v>26</v>
      </c>
      <c r="M2916" t="s">
        <v>27</v>
      </c>
      <c r="N2916">
        <v>1069.31271624387</v>
      </c>
      <c r="O2916">
        <v>909.512171409492</v>
      </c>
      <c r="P2916">
        <v>1189.1631248696599</v>
      </c>
      <c r="Q2916">
        <v>936.52506238162903</v>
      </c>
      <c r="R2916">
        <v>876.07885629112604</v>
      </c>
      <c r="S2916">
        <v>915.93259555572001</v>
      </c>
      <c r="T2916">
        <v>1264.8955015004301</v>
      </c>
      <c r="U2916">
        <v>942.152968189636</v>
      </c>
      <c r="V2916">
        <v>1371.2583549202</v>
      </c>
      <c r="W2916">
        <v>1178.34567486836</v>
      </c>
    </row>
    <row r="2917" spans="1:23" x14ac:dyDescent="0.2">
      <c r="A2917" t="s">
        <v>5837</v>
      </c>
      <c r="B2917" s="3" t="str">
        <f>HYPERLINK("http://www.ncbi.nlm.nih.gov/gene/27401","Skp2")</f>
        <v>Skp2</v>
      </c>
      <c r="C2917">
        <v>27401</v>
      </c>
      <c r="D2917" t="s">
        <v>5838</v>
      </c>
      <c r="E2917" s="3" t="str">
        <f>HYPERLINK("http://genome.ucsc.edu/cgi-bin/hgTracks?db=mm10&amp;lastVirtModeType=default&amp;lastVirtModeExtraState=&amp;virtModeType=default&amp;virtMode=0&amp;nonVirtPosition=&amp;position=chr15:9111981-9140454","chr15:9111981-9140454")</f>
        <v>chr15:9111981-9140454</v>
      </c>
      <c r="F2917" t="s">
        <v>25</v>
      </c>
      <c r="G2917">
        <v>0.56570256116296103</v>
      </c>
      <c r="H2917">
        <v>0.20452492044940801</v>
      </c>
      <c r="I2917">
        <v>2.7659346348597902</v>
      </c>
      <c r="J2917">
        <v>5.6759910683918903E-3</v>
      </c>
      <c r="K2917">
        <v>2.60209504953221E-2</v>
      </c>
      <c r="L2917" t="s">
        <v>26</v>
      </c>
      <c r="M2917" t="s">
        <v>27</v>
      </c>
      <c r="N2917">
        <v>147.64088297254301</v>
      </c>
      <c r="O2917">
        <v>111.61747719991099</v>
      </c>
      <c r="P2917">
        <v>174.65843730201601</v>
      </c>
      <c r="Q2917">
        <v>77.950956440801505</v>
      </c>
      <c r="R2917">
        <v>128.567416572594</v>
      </c>
      <c r="S2917">
        <v>128.33405858633799</v>
      </c>
      <c r="T2917">
        <v>210.81591691673799</v>
      </c>
      <c r="U2917">
        <v>184.14808014615599</v>
      </c>
      <c r="V2917">
        <v>158.16552913510901</v>
      </c>
      <c r="W2917">
        <v>145.504223010061</v>
      </c>
    </row>
    <row r="2918" spans="1:23" x14ac:dyDescent="0.2">
      <c r="A2918" t="s">
        <v>5839</v>
      </c>
      <c r="B2918" s="3" t="str">
        <f>HYPERLINK("http://www.ncbi.nlm.nih.gov/gene/68493","Ndufaf4")</f>
        <v>Ndufaf4</v>
      </c>
      <c r="C2918">
        <v>68493</v>
      </c>
      <c r="D2918" t="s">
        <v>5840</v>
      </c>
      <c r="E2918" s="3" t="str">
        <f>HYPERLINK("http://genome.ucsc.edu/cgi-bin/hgTracks?db=mm10&amp;lastVirtModeType=default&amp;lastVirtModeExtraState=&amp;virtModeType=default&amp;virtMode=0&amp;nonVirtPosition=&amp;position=chr4:24898082-24905001","chr4:24898082-24905001")</f>
        <v>chr4:24898082-24905001</v>
      </c>
      <c r="F2918" t="s">
        <v>30</v>
      </c>
      <c r="G2918">
        <v>-0.54404089571650405</v>
      </c>
      <c r="H2918">
        <v>0.19673717919786801</v>
      </c>
      <c r="I2918">
        <v>-2.7653181667779001</v>
      </c>
      <c r="J2918">
        <v>5.6867299463060298E-3</v>
      </c>
      <c r="K2918">
        <v>2.6061259654683099E-2</v>
      </c>
      <c r="L2918" t="s">
        <v>26</v>
      </c>
      <c r="M2918" t="s">
        <v>27</v>
      </c>
      <c r="N2918">
        <v>101.722545549863</v>
      </c>
      <c r="O2918">
        <v>125.051579941604</v>
      </c>
      <c r="P2918">
        <v>84.225769756057005</v>
      </c>
      <c r="Q2918">
        <v>100.222658281031</v>
      </c>
      <c r="R2918">
        <v>148.667927128191</v>
      </c>
      <c r="S2918">
        <v>126.26415441559099</v>
      </c>
      <c r="T2918">
        <v>82.493184880462707</v>
      </c>
      <c r="U2918">
        <v>94.215296818963594</v>
      </c>
      <c r="V2918">
        <v>83.864513122802194</v>
      </c>
      <c r="W2918">
        <v>76.330084201999398</v>
      </c>
    </row>
    <row r="2919" spans="1:23" x14ac:dyDescent="0.2">
      <c r="A2919" t="s">
        <v>5841</v>
      </c>
      <c r="B2919" s="3" t="str">
        <f>HYPERLINK("http://www.ncbi.nlm.nih.gov/gene/16513","Kcnj10")</f>
        <v>Kcnj10</v>
      </c>
      <c r="C2919">
        <v>16513</v>
      </c>
      <c r="D2919" t="s">
        <v>5842</v>
      </c>
      <c r="E2919" s="3" t="str">
        <f>HYPERLINK("http://genome.ucsc.edu/cgi-bin/hgTracks?db=mm10&amp;lastVirtModeType=default&amp;lastVirtModeExtraState=&amp;virtModeType=default&amp;virtMode=0&amp;nonVirtPosition=&amp;position=chr1:172341209-172374085","chr1:172341209-172374085")</f>
        <v>chr1:172341209-172374085</v>
      </c>
      <c r="F2919" t="s">
        <v>30</v>
      </c>
      <c r="G2919">
        <v>-0.58596609323964099</v>
      </c>
      <c r="H2919">
        <v>0.211996107101422</v>
      </c>
      <c r="I2919">
        <v>-2.7640417611975598</v>
      </c>
      <c r="J2919">
        <v>5.7090232134934899E-3</v>
      </c>
      <c r="K2919">
        <v>2.61470080047751E-2</v>
      </c>
      <c r="L2919" t="s">
        <v>26</v>
      </c>
      <c r="M2919" t="s">
        <v>27</v>
      </c>
      <c r="N2919">
        <v>1348.1900618853899</v>
      </c>
      <c r="O2919">
        <v>1694.8464293799</v>
      </c>
      <c r="P2919">
        <v>1088.1977862645099</v>
      </c>
      <c r="Q2919">
        <v>2434.29701113703</v>
      </c>
      <c r="R2919">
        <v>1197.6870251806799</v>
      </c>
      <c r="S2919">
        <v>1452.5552518219799</v>
      </c>
      <c r="T2919">
        <v>916.59094311625302</v>
      </c>
      <c r="U2919">
        <v>995.68438683677402</v>
      </c>
      <c r="V2919">
        <v>1210.8858649134399</v>
      </c>
      <c r="W2919">
        <v>1229.6299501915801</v>
      </c>
    </row>
    <row r="2920" spans="1:23" x14ac:dyDescent="0.2">
      <c r="A2920" t="s">
        <v>5843</v>
      </c>
      <c r="B2920" s="3" t="str">
        <f>HYPERLINK("http://www.ncbi.nlm.nih.gov/gene/12837","Col8a1")</f>
        <v>Col8a1</v>
      </c>
      <c r="C2920">
        <v>12837</v>
      </c>
      <c r="D2920" t="s">
        <v>5844</v>
      </c>
      <c r="E2920" s="3" t="str">
        <f>HYPERLINK("http://genome.ucsc.edu/cgi-bin/hgTracks?db=mm10&amp;lastVirtModeType=default&amp;lastVirtModeExtraState=&amp;virtModeType=default&amp;virtMode=0&amp;nonVirtPosition=&amp;position=chr16:57624255-57754737","chr16:57624255-57754737")</f>
        <v>chr16:57624255-57754737</v>
      </c>
      <c r="F2920" t="s">
        <v>25</v>
      </c>
      <c r="G2920">
        <v>-1.0867480895263599</v>
      </c>
      <c r="H2920">
        <v>0.39317616567386798</v>
      </c>
      <c r="I2920">
        <v>-2.7640233167841601</v>
      </c>
      <c r="J2920">
        <v>5.7093459342814198E-3</v>
      </c>
      <c r="K2920">
        <v>2.61470080047751E-2</v>
      </c>
      <c r="L2920" t="s">
        <v>26</v>
      </c>
      <c r="M2920" t="s">
        <v>27</v>
      </c>
      <c r="N2920">
        <v>131.424961193592</v>
      </c>
      <c r="O2920">
        <v>224.24792553998401</v>
      </c>
      <c r="P2920">
        <v>61.8077379337984</v>
      </c>
      <c r="Q2920">
        <v>361.91515490372097</v>
      </c>
      <c r="R2920">
        <v>118.327533836724</v>
      </c>
      <c r="S2920">
        <v>192.501087879507</v>
      </c>
      <c r="T2920">
        <v>27.497728293487601</v>
      </c>
      <c r="U2920">
        <v>32.118851188283003</v>
      </c>
      <c r="V2920">
        <v>118.440233445361</v>
      </c>
      <c r="W2920">
        <v>69.174138808061898</v>
      </c>
    </row>
    <row r="2921" spans="1:23" x14ac:dyDescent="0.2">
      <c r="A2921" t="s">
        <v>5845</v>
      </c>
      <c r="B2921" s="3" t="str">
        <f>HYPERLINK("http://www.ncbi.nlm.nih.gov/gene/56612","Pfdn5")</f>
        <v>Pfdn5</v>
      </c>
      <c r="C2921">
        <v>56612</v>
      </c>
      <c r="D2921" t="s">
        <v>5846</v>
      </c>
      <c r="E2921" s="3" t="str">
        <f>HYPERLINK("http://genome.ucsc.edu/cgi-bin/hgTracks?db=mm10&amp;lastVirtModeType=default&amp;lastVirtModeExtraState=&amp;virtModeType=default&amp;virtMode=0&amp;nonVirtPosition=&amp;position=chr15:102326115-102331489","chr15:102326115-102331489")</f>
        <v>chr15:102326115-102331489</v>
      </c>
      <c r="F2921" t="s">
        <v>30</v>
      </c>
      <c r="G2921">
        <v>-0.40425685471018402</v>
      </c>
      <c r="H2921">
        <v>0.14639458978735101</v>
      </c>
      <c r="I2921">
        <v>-2.76141936185891</v>
      </c>
      <c r="J2921">
        <v>5.7550726453865202E-3</v>
      </c>
      <c r="K2921">
        <v>2.6339626876797501E-2</v>
      </c>
      <c r="L2921" t="s">
        <v>26</v>
      </c>
      <c r="M2921" t="s">
        <v>27</v>
      </c>
      <c r="N2921">
        <v>228.93734690587601</v>
      </c>
      <c r="O2921">
        <v>266.56814076506998</v>
      </c>
      <c r="P2921">
        <v>200.714251511481</v>
      </c>
      <c r="Q2921">
        <v>305.12231521113699</v>
      </c>
      <c r="R2921">
        <v>265.85769621648501</v>
      </c>
      <c r="S2921">
        <v>228.72441086758701</v>
      </c>
      <c r="T2921">
        <v>215.39887163231899</v>
      </c>
      <c r="U2921">
        <v>190.571850383813</v>
      </c>
      <c r="V2921">
        <v>200.09778569651101</v>
      </c>
      <c r="W2921">
        <v>196.78849833327999</v>
      </c>
    </row>
    <row r="2922" spans="1:23" x14ac:dyDescent="0.2">
      <c r="A2922" t="s">
        <v>5847</v>
      </c>
      <c r="B2922" s="3" t="str">
        <f>HYPERLINK("http://www.ncbi.nlm.nih.gov/gene/29810","Bag3")</f>
        <v>Bag3</v>
      </c>
      <c r="C2922">
        <v>29810</v>
      </c>
      <c r="D2922" t="s">
        <v>5848</v>
      </c>
      <c r="E2922" s="3" t="str">
        <f>HYPERLINK("http://genome.ucsc.edu/cgi-bin/hgTracks?db=mm10&amp;lastVirtModeType=default&amp;lastVirtModeExtraState=&amp;virtModeType=default&amp;virtMode=0&amp;nonVirtPosition=&amp;position=chr7:128523582-128546979","chr7:128523582-128546979")</f>
        <v>chr7:128523582-128546979</v>
      </c>
      <c r="F2922" t="s">
        <v>30</v>
      </c>
      <c r="G2922">
        <v>0.57652838115116001</v>
      </c>
      <c r="H2922">
        <v>0.20878087106503801</v>
      </c>
      <c r="I2922">
        <v>2.7614042331088999</v>
      </c>
      <c r="J2922">
        <v>5.7553392757456103E-3</v>
      </c>
      <c r="K2922">
        <v>2.6339626876797501E-2</v>
      </c>
      <c r="L2922" t="s">
        <v>26</v>
      </c>
      <c r="M2922" t="s">
        <v>27</v>
      </c>
      <c r="N2922">
        <v>176.62291855001999</v>
      </c>
      <c r="O2922">
        <v>135.445940073526</v>
      </c>
      <c r="P2922">
        <v>207.50565240739101</v>
      </c>
      <c r="Q2922">
        <v>101.336243373042</v>
      </c>
      <c r="R2922">
        <v>113.01796501071701</v>
      </c>
      <c r="S2922">
        <v>191.98361183681999</v>
      </c>
      <c r="T2922">
        <v>197.06705276999401</v>
      </c>
      <c r="U2922">
        <v>207.701904350897</v>
      </c>
      <c r="V2922">
        <v>208.18997555923701</v>
      </c>
      <c r="W2922">
        <v>217.063676949436</v>
      </c>
    </row>
    <row r="2923" spans="1:23" x14ac:dyDescent="0.2">
      <c r="A2923" t="s">
        <v>5849</v>
      </c>
      <c r="B2923" s="3" t="str">
        <f>HYPERLINK("http://www.ncbi.nlm.nih.gov/gene/70601","Ecd")</f>
        <v>Ecd</v>
      </c>
      <c r="C2923">
        <v>70601</v>
      </c>
      <c r="D2923" t="s">
        <v>5850</v>
      </c>
      <c r="E2923" s="3" t="str">
        <f>HYPERLINK("http://genome.ucsc.edu/cgi-bin/hgTracks?db=mm10&amp;lastVirtModeType=default&amp;lastVirtModeExtraState=&amp;virtModeType=default&amp;virtMode=0&amp;nonVirtPosition=&amp;position=chr14:20319858-20348121","chr14:20319858-20348121")</f>
        <v>chr14:20319858-20348121</v>
      </c>
      <c r="F2923" t="s">
        <v>25</v>
      </c>
      <c r="G2923">
        <v>-0.485355290677908</v>
      </c>
      <c r="H2923">
        <v>0.17577732816039901</v>
      </c>
      <c r="I2923">
        <v>-2.76119392504939</v>
      </c>
      <c r="J2923">
        <v>5.7590469165157698E-3</v>
      </c>
      <c r="K2923">
        <v>2.63475904540699E-2</v>
      </c>
      <c r="L2923" t="s">
        <v>26</v>
      </c>
      <c r="M2923" t="s">
        <v>27</v>
      </c>
      <c r="N2923">
        <v>248.779034581536</v>
      </c>
      <c r="O2923">
        <v>303.30379454195401</v>
      </c>
      <c r="P2923">
        <v>207.885464611223</v>
      </c>
      <c r="Q2923">
        <v>245.545512788525</v>
      </c>
      <c r="R2923">
        <v>352.32781709716699</v>
      </c>
      <c r="S2923">
        <v>312.038053740169</v>
      </c>
      <c r="T2923">
        <v>160.40341504534399</v>
      </c>
      <c r="U2923">
        <v>220.54944482620999</v>
      </c>
      <c r="V2923">
        <v>253.80050024005899</v>
      </c>
      <c r="W2923">
        <v>196.78849833327999</v>
      </c>
    </row>
    <row r="2924" spans="1:23" x14ac:dyDescent="0.2">
      <c r="A2924" t="s">
        <v>5851</v>
      </c>
      <c r="B2924" s="3" t="str">
        <f>HYPERLINK("http://www.ncbi.nlm.nih.gov/gene/70028","Dopey2")</f>
        <v>Dopey2</v>
      </c>
      <c r="C2924">
        <v>70028</v>
      </c>
      <c r="D2924" t="s">
        <v>5852</v>
      </c>
      <c r="E2924" s="3" t="str">
        <f>HYPERLINK("http://genome.ucsc.edu/cgi-bin/hgTracks?db=mm10&amp;lastVirtModeType=default&amp;lastVirtModeExtraState=&amp;virtModeType=default&amp;virtMode=0&amp;nonVirtPosition=&amp;position=chr16:93711906-93810588","chr16:93711906-93810588")</f>
        <v>chr16:93711906-93810588</v>
      </c>
      <c r="F2924" t="s">
        <v>30</v>
      </c>
      <c r="G2924">
        <v>0.40901913335731299</v>
      </c>
      <c r="H2924">
        <v>0.14817859848482801</v>
      </c>
      <c r="I2924">
        <v>2.7603117963029802</v>
      </c>
      <c r="J2924">
        <v>5.7746219419786797E-3</v>
      </c>
      <c r="K2924">
        <v>2.6409823232594401E-2</v>
      </c>
      <c r="L2924" t="s">
        <v>26</v>
      </c>
      <c r="M2924" t="s">
        <v>27</v>
      </c>
      <c r="N2924">
        <v>185.447191919321</v>
      </c>
      <c r="O2924">
        <v>155.83318830739501</v>
      </c>
      <c r="P2924">
        <v>207.657694628266</v>
      </c>
      <c r="Q2924">
        <v>172.04889671576899</v>
      </c>
      <c r="R2924">
        <v>161.94184919320799</v>
      </c>
      <c r="S2924">
        <v>133.50881901320699</v>
      </c>
      <c r="T2924">
        <v>192.48409805441301</v>
      </c>
      <c r="U2924">
        <v>222.690701572096</v>
      </c>
      <c r="V2924">
        <v>216.28216542196401</v>
      </c>
      <c r="W2924">
        <v>199.173813464592</v>
      </c>
    </row>
    <row r="2925" spans="1:23" x14ac:dyDescent="0.2">
      <c r="A2925" t="s">
        <v>5853</v>
      </c>
      <c r="B2925" s="3" t="str">
        <f>HYPERLINK("http://www.ncbi.nlm.nih.gov/gene/12449","Ccnf")</f>
        <v>Ccnf</v>
      </c>
      <c r="C2925">
        <v>12449</v>
      </c>
      <c r="D2925" t="s">
        <v>5854</v>
      </c>
      <c r="E2925" s="3" t="str">
        <f>HYPERLINK("http://genome.ucsc.edu/cgi-bin/hgTracks?db=mm10&amp;lastVirtModeType=default&amp;lastVirtModeExtraState=&amp;virtModeType=default&amp;virtMode=0&amp;nonVirtPosition=&amp;position=chr17:24223231-24251409","chr17:24223231-24251409")</f>
        <v>chr17:24223231-24251409</v>
      </c>
      <c r="F2925" t="s">
        <v>25</v>
      </c>
      <c r="G2925">
        <v>0.67876504893303402</v>
      </c>
      <c r="H2925">
        <v>0.24600758247738899</v>
      </c>
      <c r="I2925">
        <v>2.7591224713385398</v>
      </c>
      <c r="J2925">
        <v>5.7956810020835499E-3</v>
      </c>
      <c r="K2925">
        <v>2.6497085796825099E-2</v>
      </c>
      <c r="L2925" t="s">
        <v>26</v>
      </c>
      <c r="M2925" t="s">
        <v>27</v>
      </c>
      <c r="N2925">
        <v>201.03546911356301</v>
      </c>
      <c r="O2925">
        <v>142.55152113176399</v>
      </c>
      <c r="P2925">
        <v>244.898430099911</v>
      </c>
      <c r="Q2925">
        <v>76.837371348790001</v>
      </c>
      <c r="R2925">
        <v>167.63067293535801</v>
      </c>
      <c r="S2925">
        <v>183.18651911114401</v>
      </c>
      <c r="T2925">
        <v>320.80683009068798</v>
      </c>
      <c r="U2925">
        <v>196.99562062146899</v>
      </c>
      <c r="V2925">
        <v>218.48912629361601</v>
      </c>
      <c r="W2925">
        <v>243.302143393873</v>
      </c>
    </row>
    <row r="2926" spans="1:23" x14ac:dyDescent="0.2">
      <c r="A2926" t="s">
        <v>5855</v>
      </c>
      <c r="B2926" s="3" t="str">
        <f>HYPERLINK("http://www.ncbi.nlm.nih.gov/gene/27883","Tango2")</f>
        <v>Tango2</v>
      </c>
      <c r="C2926">
        <v>27883</v>
      </c>
      <c r="D2926" t="s">
        <v>5856</v>
      </c>
      <c r="E2926" s="3" t="str">
        <f>HYPERLINK("http://genome.ucsc.edu/cgi-bin/hgTracks?db=mm10&amp;lastVirtModeType=default&amp;lastVirtModeExtraState=&amp;virtModeType=default&amp;virtMode=0&amp;nonVirtPosition=&amp;position=chr16:18300824-18343932","chr16:18300824-18343932")</f>
        <v>chr16:18300824-18343932</v>
      </c>
      <c r="F2926" t="s">
        <v>25</v>
      </c>
      <c r="G2926">
        <v>0.60584882411487395</v>
      </c>
      <c r="H2926">
        <v>0.21965054838650999</v>
      </c>
      <c r="I2926">
        <v>2.75823952439575</v>
      </c>
      <c r="J2926">
        <v>5.8113598658660398E-3</v>
      </c>
      <c r="K2926">
        <v>2.6559699646352301E-2</v>
      </c>
      <c r="L2926" t="s">
        <v>26</v>
      </c>
      <c r="M2926" t="s">
        <v>27</v>
      </c>
      <c r="N2926">
        <v>81.792556602416695</v>
      </c>
      <c r="O2926">
        <v>62.5574450462138</v>
      </c>
      <c r="P2926">
        <v>96.218890269568902</v>
      </c>
      <c r="Q2926">
        <v>55.679254600572499</v>
      </c>
      <c r="R2926">
        <v>53.854198092354899</v>
      </c>
      <c r="S2926">
        <v>78.138882445714003</v>
      </c>
      <c r="T2926">
        <v>73.327275449300203</v>
      </c>
      <c r="U2926">
        <v>98.497810310734593</v>
      </c>
      <c r="V2926">
        <v>89.014088489991806</v>
      </c>
      <c r="W2926">
        <v>124.03638682824899</v>
      </c>
    </row>
    <row r="2927" spans="1:23" x14ac:dyDescent="0.2">
      <c r="A2927" t="s">
        <v>5857</v>
      </c>
      <c r="B2927" s="3" t="str">
        <f>HYPERLINK("http://www.ncbi.nlm.nih.gov/gene/67035","Dnajb4")</f>
        <v>Dnajb4</v>
      </c>
      <c r="C2927">
        <v>67035</v>
      </c>
      <c r="D2927" t="s">
        <v>5858</v>
      </c>
      <c r="E2927" s="3" t="str">
        <f>HYPERLINK("http://genome.ucsc.edu/cgi-bin/hgTracks?db=mm10&amp;lastVirtModeType=default&amp;lastVirtModeExtraState=&amp;virtModeType=default&amp;virtMode=0&amp;nonVirtPosition=&amp;position=chr3:152183870-152210083","chr3:152183870-152210083")</f>
        <v>chr3:152183870-152210083</v>
      </c>
      <c r="F2927" t="s">
        <v>25</v>
      </c>
      <c r="G2927">
        <v>-0.50281628885945995</v>
      </c>
      <c r="H2927">
        <v>0.18231961301004801</v>
      </c>
      <c r="I2927">
        <v>-2.7578836997188398</v>
      </c>
      <c r="J2927">
        <v>5.81768919901698E-3</v>
      </c>
      <c r="K2927">
        <v>2.6579555122496198E-2</v>
      </c>
      <c r="L2927" t="s">
        <v>26</v>
      </c>
      <c r="M2927" t="s">
        <v>27</v>
      </c>
      <c r="N2927">
        <v>206.023860787823</v>
      </c>
      <c r="O2927">
        <v>253.936577014753</v>
      </c>
      <c r="P2927">
        <v>170.08932361762601</v>
      </c>
      <c r="Q2927">
        <v>302.33835248110898</v>
      </c>
      <c r="R2927">
        <v>251.44600940303701</v>
      </c>
      <c r="S2927">
        <v>208.025369160113</v>
      </c>
      <c r="T2927">
        <v>128.322732036275</v>
      </c>
      <c r="U2927">
        <v>169.15928292495701</v>
      </c>
      <c r="V2927">
        <v>211.132590054774</v>
      </c>
      <c r="W2927">
        <v>171.74268945449899</v>
      </c>
    </row>
    <row r="2928" spans="1:23" x14ac:dyDescent="0.2">
      <c r="A2928" t="s">
        <v>5859</v>
      </c>
      <c r="B2928" s="3" t="str">
        <f>HYPERLINK("http://www.ncbi.nlm.nih.gov/gene/67841","Atg3")</f>
        <v>Atg3</v>
      </c>
      <c r="C2928">
        <v>67841</v>
      </c>
      <c r="D2928" t="s">
        <v>5860</v>
      </c>
      <c r="E2928" s="3" t="str">
        <f>HYPERLINK("http://genome.ucsc.edu/cgi-bin/hgTracks?db=mm10&amp;lastVirtModeType=default&amp;lastVirtModeExtraState=&amp;virtModeType=default&amp;virtMode=0&amp;nonVirtPosition=&amp;position=chr16:45158828-45188538","chr16:45158828-45188538")</f>
        <v>chr16:45158828-45188538</v>
      </c>
      <c r="F2928" t="s">
        <v>30</v>
      </c>
      <c r="G2928">
        <v>-0.405495438329597</v>
      </c>
      <c r="H2928">
        <v>0.14707384334877999</v>
      </c>
      <c r="I2928">
        <v>-2.7570873861505101</v>
      </c>
      <c r="J2928">
        <v>5.8318763770380602E-3</v>
      </c>
      <c r="K2928">
        <v>2.66352853222772E-2</v>
      </c>
      <c r="L2928" t="s">
        <v>26</v>
      </c>
      <c r="M2928" t="s">
        <v>27</v>
      </c>
      <c r="N2928">
        <v>189.285899604842</v>
      </c>
      <c r="O2928">
        <v>223.04768438436699</v>
      </c>
      <c r="P2928">
        <v>163.964561020199</v>
      </c>
      <c r="Q2928">
        <v>225.500981132319</v>
      </c>
      <c r="R2928">
        <v>242.343891415597</v>
      </c>
      <c r="S2928">
        <v>201.298180605184</v>
      </c>
      <c r="T2928">
        <v>155.82046032976299</v>
      </c>
      <c r="U2928">
        <v>149.88797221198701</v>
      </c>
      <c r="V2928">
        <v>183.177752347173</v>
      </c>
      <c r="W2928">
        <v>166.972059191874</v>
      </c>
    </row>
    <row r="2929" spans="1:23" x14ac:dyDescent="0.2">
      <c r="A2929" t="s">
        <v>5861</v>
      </c>
      <c r="B2929" s="3" t="str">
        <f>HYPERLINK("http://www.ncbi.nlm.nih.gov/gene/230316","Megf9")</f>
        <v>Megf9</v>
      </c>
      <c r="C2929">
        <v>230316</v>
      </c>
      <c r="D2929" t="s">
        <v>5862</v>
      </c>
      <c r="E2929" s="3" t="str">
        <f>HYPERLINK("http://genome.ucsc.edu/cgi-bin/hgTracks?db=mm10&amp;lastVirtModeType=default&amp;lastVirtModeExtraState=&amp;virtModeType=default&amp;virtMode=0&amp;nonVirtPosition=&amp;position=chr4:70431926-70534928","chr4:70431926-70534928")</f>
        <v>chr4:70431926-70534928</v>
      </c>
      <c r="F2929" t="s">
        <v>25</v>
      </c>
      <c r="G2929">
        <v>-0.36284767875184498</v>
      </c>
      <c r="H2929">
        <v>0.131645359423121</v>
      </c>
      <c r="I2929">
        <v>-2.7562511913968599</v>
      </c>
      <c r="J2929">
        <v>5.8468076459791702E-3</v>
      </c>
      <c r="K2929">
        <v>2.6694374765532599E-2</v>
      </c>
      <c r="L2929" t="s">
        <v>26</v>
      </c>
      <c r="M2929" t="s">
        <v>27</v>
      </c>
      <c r="N2929">
        <v>651.10976325569095</v>
      </c>
      <c r="O2929">
        <v>754.23788291217704</v>
      </c>
      <c r="P2929">
        <v>573.76367351332601</v>
      </c>
      <c r="Q2929">
        <v>706.56974088126503</v>
      </c>
      <c r="R2929">
        <v>821.84540328262801</v>
      </c>
      <c r="S2929">
        <v>734.29850457263694</v>
      </c>
      <c r="T2929">
        <v>485.79319985161402</v>
      </c>
      <c r="U2929">
        <v>541.73795670903996</v>
      </c>
      <c r="V2929">
        <v>672.38741223018599</v>
      </c>
      <c r="W2929">
        <v>595.13612526246402</v>
      </c>
    </row>
    <row r="2930" spans="1:23" x14ac:dyDescent="0.2">
      <c r="A2930" t="s">
        <v>5863</v>
      </c>
      <c r="B2930" s="3" t="str">
        <f>HYPERLINK("http://www.ncbi.nlm.nih.gov/gene/268706","Slc38a9")</f>
        <v>Slc38a9</v>
      </c>
      <c r="C2930">
        <v>268706</v>
      </c>
      <c r="D2930" t="s">
        <v>5864</v>
      </c>
      <c r="E2930" s="3" t="str">
        <f>HYPERLINK("http://genome.ucsc.edu/cgi-bin/hgTracks?db=mm10&amp;lastVirtModeType=default&amp;lastVirtModeExtraState=&amp;virtModeType=default&amp;virtMode=0&amp;nonVirtPosition=&amp;position=chr13:112660765-112738752","chr13:112660765-112738752")</f>
        <v>chr13:112660765-112738752</v>
      </c>
      <c r="F2930" t="s">
        <v>30</v>
      </c>
      <c r="G2930">
        <v>0.41104171345704599</v>
      </c>
      <c r="H2930">
        <v>0.14916142426038201</v>
      </c>
      <c r="I2930">
        <v>2.7556837533242899</v>
      </c>
      <c r="J2930">
        <v>5.8569595573652903E-3</v>
      </c>
      <c r="K2930">
        <v>2.6724998235751699E-2</v>
      </c>
      <c r="L2930" t="s">
        <v>26</v>
      </c>
      <c r="M2930" t="s">
        <v>27</v>
      </c>
      <c r="N2930">
        <v>173.49218135858499</v>
      </c>
      <c r="O2930">
        <v>144.84807954844999</v>
      </c>
      <c r="P2930">
        <v>194.97525771618601</v>
      </c>
      <c r="Q2930">
        <v>149.22040232953401</v>
      </c>
      <c r="R2930">
        <v>135.773259979317</v>
      </c>
      <c r="S2930">
        <v>149.55057633649901</v>
      </c>
      <c r="T2930">
        <v>219.98182634790101</v>
      </c>
      <c r="U2930">
        <v>156.31174244964399</v>
      </c>
      <c r="V2930">
        <v>210.39693643089001</v>
      </c>
      <c r="W2930">
        <v>193.21052563631099</v>
      </c>
    </row>
    <row r="2931" spans="1:23" x14ac:dyDescent="0.2">
      <c r="A2931" t="s">
        <v>5865</v>
      </c>
      <c r="B2931" s="3" t="str">
        <f>HYPERLINK("http://www.ncbi.nlm.nih.gov/gene/60425","Doc2g")</f>
        <v>Doc2g</v>
      </c>
      <c r="C2931">
        <v>60425</v>
      </c>
      <c r="D2931" t="s">
        <v>5866</v>
      </c>
      <c r="E2931" s="3" t="str">
        <f>HYPERLINK("http://genome.ucsc.edu/cgi-bin/hgTracks?db=mm10&amp;lastVirtModeType=default&amp;lastVirtModeExtraState=&amp;virtModeType=default&amp;virtMode=0&amp;nonVirtPosition=&amp;position=chr19:4003384-4007005","chr19:4003384-4007005")</f>
        <v>chr19:4003384-4007005</v>
      </c>
      <c r="F2931" t="s">
        <v>30</v>
      </c>
      <c r="G2931">
        <v>0.96394760276031699</v>
      </c>
      <c r="H2931">
        <v>0.34980729818040102</v>
      </c>
      <c r="I2931">
        <v>2.7556532061352099</v>
      </c>
      <c r="J2931">
        <v>5.8575065209417803E-3</v>
      </c>
      <c r="K2931">
        <v>2.6724998235751699E-2</v>
      </c>
      <c r="L2931" t="s">
        <v>26</v>
      </c>
      <c r="M2931" t="s">
        <v>27</v>
      </c>
      <c r="N2931">
        <v>12.3048250670283</v>
      </c>
      <c r="O2931">
        <v>6.51342464167623</v>
      </c>
      <c r="P2931">
        <v>16.6483753860423</v>
      </c>
      <c r="Q2931">
        <v>6.1247180060629702</v>
      </c>
      <c r="R2931">
        <v>7.2058434067235497</v>
      </c>
      <c r="S2931">
        <v>6.2097125122421701</v>
      </c>
      <c r="T2931">
        <v>18.3318188623251</v>
      </c>
      <c r="U2931">
        <v>17.130053967084301</v>
      </c>
      <c r="V2931">
        <v>13.241765229916099</v>
      </c>
      <c r="W2931">
        <v>17.889863484843598</v>
      </c>
    </row>
    <row r="2932" spans="1:23" x14ac:dyDescent="0.2">
      <c r="A2932" t="s">
        <v>5867</v>
      </c>
      <c r="B2932" s="3" t="str">
        <f>HYPERLINK("http://www.ncbi.nlm.nih.gov/gene/102103","Mtus1")</f>
        <v>Mtus1</v>
      </c>
      <c r="C2932">
        <v>102103</v>
      </c>
      <c r="D2932" t="s">
        <v>5868</v>
      </c>
      <c r="E2932" s="3" t="str">
        <f>HYPERLINK("http://genome.ucsc.edu/cgi-bin/hgTracks?db=mm10&amp;lastVirtModeType=default&amp;lastVirtModeExtraState=&amp;virtModeType=default&amp;virtMode=0&amp;nonVirtPosition=&amp;position=chr8:40990911-41054796","chr8:40990911-41054796")</f>
        <v>chr8:40990911-41054796</v>
      </c>
      <c r="F2932" t="s">
        <v>25</v>
      </c>
      <c r="G2932">
        <v>0.69848730608078802</v>
      </c>
      <c r="H2932">
        <v>0.25355792356975898</v>
      </c>
      <c r="I2932">
        <v>2.7547445421819701</v>
      </c>
      <c r="J2932">
        <v>5.8737976999052397E-3</v>
      </c>
      <c r="K2932">
        <v>2.6787515680670601E-2</v>
      </c>
      <c r="L2932" t="s">
        <v>26</v>
      </c>
      <c r="M2932" t="s">
        <v>27</v>
      </c>
      <c r="N2932">
        <v>158.454861434554</v>
      </c>
      <c r="O2932">
        <v>113.388620199649</v>
      </c>
      <c r="P2932">
        <v>192.25454236073301</v>
      </c>
      <c r="Q2932">
        <v>119.710397391231</v>
      </c>
      <c r="R2932">
        <v>154.73600578648501</v>
      </c>
      <c r="S2932">
        <v>65.719457421229606</v>
      </c>
      <c r="T2932">
        <v>132.90568675185699</v>
      </c>
      <c r="U2932">
        <v>171.30053967084299</v>
      </c>
      <c r="V2932">
        <v>215.546511798079</v>
      </c>
      <c r="W2932">
        <v>249.26543122215401</v>
      </c>
    </row>
    <row r="2933" spans="1:23" x14ac:dyDescent="0.2">
      <c r="A2933" t="s">
        <v>5869</v>
      </c>
      <c r="B2933" s="3" t="str">
        <f>HYPERLINK("http://www.ncbi.nlm.nih.gov/gene/15211","Hexa")</f>
        <v>Hexa</v>
      </c>
      <c r="C2933">
        <v>15211</v>
      </c>
      <c r="D2933" t="s">
        <v>5870</v>
      </c>
      <c r="E2933" s="3" t="str">
        <f>HYPERLINK("http://genome.ucsc.edu/cgi-bin/hgTracks?db=mm10&amp;lastVirtModeType=default&amp;lastVirtModeExtraState=&amp;virtModeType=default&amp;virtMode=0&amp;nonVirtPosition=&amp;position=chr9:59539539-59565109","chr9:59539539-59565109")</f>
        <v>chr9:59539539-59565109</v>
      </c>
      <c r="F2933" t="s">
        <v>30</v>
      </c>
      <c r="G2933">
        <v>-0.52663192242677503</v>
      </c>
      <c r="H2933">
        <v>0.19117814765056501</v>
      </c>
      <c r="I2933">
        <v>-2.75466589094352</v>
      </c>
      <c r="J2933">
        <v>5.8752097344581897E-3</v>
      </c>
      <c r="K2933">
        <v>2.6787515680670601E-2</v>
      </c>
      <c r="L2933" t="s">
        <v>26</v>
      </c>
      <c r="M2933" t="s">
        <v>27</v>
      </c>
      <c r="N2933">
        <v>388.19822042337199</v>
      </c>
      <c r="O2933">
        <v>474.73916027962599</v>
      </c>
      <c r="P2933">
        <v>323.292515531182</v>
      </c>
      <c r="Q2933">
        <v>621.38048134238898</v>
      </c>
      <c r="R2933">
        <v>361.429935084607</v>
      </c>
      <c r="S2933">
        <v>441.40706441188098</v>
      </c>
      <c r="T2933">
        <v>352.88751309975697</v>
      </c>
      <c r="U2933">
        <v>291.21091744043298</v>
      </c>
      <c r="V2933">
        <v>272.19184083716499</v>
      </c>
      <c r="W2933">
        <v>376.879790747372</v>
      </c>
    </row>
    <row r="2934" spans="1:23" x14ac:dyDescent="0.2">
      <c r="A2934" t="s">
        <v>5871</v>
      </c>
      <c r="B2934" s="3" t="str">
        <f>HYPERLINK("http://www.ncbi.nlm.nih.gov/gene/66354","Snw1")</f>
        <v>Snw1</v>
      </c>
      <c r="C2934">
        <v>66354</v>
      </c>
      <c r="D2934" t="s">
        <v>5872</v>
      </c>
      <c r="E2934" s="3" t="str">
        <f>HYPERLINK("http://genome.ucsc.edu/cgi-bin/hgTracks?db=mm10&amp;lastVirtModeType=default&amp;lastVirtModeExtraState=&amp;virtModeType=default&amp;virtMode=0&amp;nonVirtPosition=&amp;position=chr12:87449909-87472299","chr12:87449909-87472299")</f>
        <v>chr12:87449909-87472299</v>
      </c>
      <c r="F2934" t="s">
        <v>25</v>
      </c>
      <c r="G2934">
        <v>-0.44998278518783802</v>
      </c>
      <c r="H2934">
        <v>0.163384284624705</v>
      </c>
      <c r="I2934">
        <v>-2.75413749995265</v>
      </c>
      <c r="J2934">
        <v>5.8847039326625997E-3</v>
      </c>
      <c r="K2934">
        <v>2.68216713282113E-2</v>
      </c>
      <c r="L2934" t="s">
        <v>26</v>
      </c>
      <c r="M2934" t="s">
        <v>27</v>
      </c>
      <c r="N2934">
        <v>184.741603775676</v>
      </c>
      <c r="O2934">
        <v>221.97503823151601</v>
      </c>
      <c r="P2934">
        <v>156.816527933797</v>
      </c>
      <c r="Q2934">
        <v>232.182491684387</v>
      </c>
      <c r="R2934">
        <v>239.689107002594</v>
      </c>
      <c r="S2934">
        <v>194.05351600756799</v>
      </c>
      <c r="T2934">
        <v>114.573867889532</v>
      </c>
      <c r="U2934">
        <v>196.99562062146899</v>
      </c>
      <c r="V2934">
        <v>161.84379725453101</v>
      </c>
      <c r="W2934">
        <v>153.85282596965499</v>
      </c>
    </row>
    <row r="2935" spans="1:23" x14ac:dyDescent="0.2">
      <c r="A2935" t="s">
        <v>5873</v>
      </c>
      <c r="B2935" s="3" t="str">
        <f>HYPERLINK("http://www.ncbi.nlm.nih.gov/gene/21975","Top3a")</f>
        <v>Top3a</v>
      </c>
      <c r="C2935">
        <v>21975</v>
      </c>
      <c r="D2935" t="s">
        <v>5874</v>
      </c>
      <c r="E2935" s="3" t="str">
        <f>HYPERLINK("http://genome.ucsc.edu/cgi-bin/hgTracks?db=mm10&amp;lastVirtModeType=default&amp;lastVirtModeExtraState=&amp;virtModeType=default&amp;virtMode=0&amp;nonVirtPosition=&amp;position=chr11:60740058-60777365","chr11:60740058-60777365")</f>
        <v>chr11:60740058-60777365</v>
      </c>
      <c r="F2935" t="s">
        <v>25</v>
      </c>
      <c r="G2935">
        <v>0.47833192055157298</v>
      </c>
      <c r="H2935">
        <v>0.17373060002164001</v>
      </c>
      <c r="I2935">
        <v>2.75329688893029</v>
      </c>
      <c r="J2935">
        <v>5.8998366435185599E-3</v>
      </c>
      <c r="K2935">
        <v>2.68814945537111E-2</v>
      </c>
      <c r="L2935" t="s">
        <v>26</v>
      </c>
      <c r="M2935" t="s">
        <v>27</v>
      </c>
      <c r="N2935">
        <v>93.4730754604835</v>
      </c>
      <c r="O2935">
        <v>74.912962249430905</v>
      </c>
      <c r="P2935">
        <v>107.393160368773</v>
      </c>
      <c r="Q2935">
        <v>78.507748986807201</v>
      </c>
      <c r="R2935">
        <v>70.162159486518803</v>
      </c>
      <c r="S2935">
        <v>76.068978274966597</v>
      </c>
      <c r="T2935">
        <v>109.99091317395001</v>
      </c>
      <c r="U2935">
        <v>113.486607531933</v>
      </c>
      <c r="V2935">
        <v>96.370624728834201</v>
      </c>
      <c r="W2935">
        <v>109.72449604037401</v>
      </c>
    </row>
    <row r="2936" spans="1:23" x14ac:dyDescent="0.2">
      <c r="A2936" t="s">
        <v>5875</v>
      </c>
      <c r="B2936" s="3" t="str">
        <f>HYPERLINK("http://www.ncbi.nlm.nih.gov/gene/20901","Strap")</f>
        <v>Strap</v>
      </c>
      <c r="C2936">
        <v>20901</v>
      </c>
      <c r="D2936" t="s">
        <v>5876</v>
      </c>
      <c r="E2936" s="3" t="str">
        <f>HYPERLINK("http://genome.ucsc.edu/cgi-bin/hgTracks?db=mm10&amp;lastVirtModeType=default&amp;lastVirtModeExtraState=&amp;virtModeType=default&amp;virtMode=0&amp;nonVirtPosition=&amp;position=chr6:137735081-137751930","chr6:137735081-137751930")</f>
        <v>chr6:137735081-137751930</v>
      </c>
      <c r="F2936" t="s">
        <v>30</v>
      </c>
      <c r="G2936">
        <v>-0.450065669080631</v>
      </c>
      <c r="H2936">
        <v>0.16347204475781299</v>
      </c>
      <c r="I2936">
        <v>-2.75316596025585</v>
      </c>
      <c r="J2936">
        <v>5.9021967806369901E-3</v>
      </c>
      <c r="K2936">
        <v>2.6883101050853699E-2</v>
      </c>
      <c r="L2936" t="s">
        <v>26</v>
      </c>
      <c r="M2936" t="s">
        <v>27</v>
      </c>
      <c r="N2936">
        <v>724.23428979516996</v>
      </c>
      <c r="O2936">
        <v>862.37746125895399</v>
      </c>
      <c r="P2936">
        <v>620.62691119732995</v>
      </c>
      <c r="Q2936">
        <v>644.76576827462998</v>
      </c>
      <c r="R2936">
        <v>1030.0563522453201</v>
      </c>
      <c r="S2936">
        <v>912.31026325691198</v>
      </c>
      <c r="T2936">
        <v>577.452294163239</v>
      </c>
      <c r="U2936">
        <v>648.80079400331704</v>
      </c>
      <c r="V2936">
        <v>679.00829484514497</v>
      </c>
      <c r="W2936">
        <v>577.24626177762002</v>
      </c>
    </row>
    <row r="2937" spans="1:23" x14ac:dyDescent="0.2">
      <c r="A2937" t="s">
        <v>5877</v>
      </c>
      <c r="B2937" s="3" t="str">
        <f>HYPERLINK("http://www.ncbi.nlm.nih.gov/gene/381822","Lockd")</f>
        <v>Lockd</v>
      </c>
      <c r="C2937">
        <v>381822</v>
      </c>
      <c r="D2937" t="s">
        <v>5878</v>
      </c>
      <c r="E2937" s="3" t="str">
        <f>HYPERLINK("http://genome.ucsc.edu/cgi-bin/hgTracks?db=mm10&amp;lastVirtModeType=default&amp;lastVirtModeExtraState=&amp;virtModeType=default&amp;virtMode=0&amp;nonVirtPosition=&amp;position=chr6:134929091-134951718","chr6:134929091-134951718")</f>
        <v>chr6:134929091-134951718</v>
      </c>
      <c r="F2937" t="s">
        <v>30</v>
      </c>
      <c r="G2937">
        <v>0.81029340188183896</v>
      </c>
      <c r="H2937">
        <v>0.29432622292569399</v>
      </c>
      <c r="I2937">
        <v>2.7530452224992801</v>
      </c>
      <c r="J2937">
        <v>5.9043739690927801E-3</v>
      </c>
      <c r="K2937">
        <v>2.6883873451248399E-2</v>
      </c>
      <c r="L2937" t="s">
        <v>26</v>
      </c>
      <c r="M2937" t="s">
        <v>27</v>
      </c>
      <c r="N2937">
        <v>60.372542201372298</v>
      </c>
      <c r="O2937">
        <v>38.221435008614598</v>
      </c>
      <c r="P2937">
        <v>76.985872595940606</v>
      </c>
      <c r="Q2937">
        <v>17.817361472183201</v>
      </c>
      <c r="R2937">
        <v>40.959530943481198</v>
      </c>
      <c r="S2937">
        <v>55.887412610179503</v>
      </c>
      <c r="T2937">
        <v>96.242049027206505</v>
      </c>
      <c r="U2937">
        <v>81.367756343650299</v>
      </c>
      <c r="V2937">
        <v>64.737518901812294</v>
      </c>
      <c r="W2937">
        <v>65.596166111093197</v>
      </c>
    </row>
    <row r="2938" spans="1:23" x14ac:dyDescent="0.2">
      <c r="A2938" t="s">
        <v>5879</v>
      </c>
      <c r="B2938" s="3" t="str">
        <f>HYPERLINK("http://www.ncbi.nlm.nih.gov/gene/320916","Wscd2")</f>
        <v>Wscd2</v>
      </c>
      <c r="C2938">
        <v>320916</v>
      </c>
      <c r="D2938" t="s">
        <v>5880</v>
      </c>
      <c r="E2938" s="3" t="str">
        <f>HYPERLINK("http://genome.ucsc.edu/cgi-bin/hgTracks?db=mm10&amp;lastVirtModeType=default&amp;lastVirtModeExtraState=&amp;virtModeType=default&amp;virtMode=0&amp;nonVirtPosition=&amp;position=chr5:113550419-113589725","chr5:113550419-113589725")</f>
        <v>chr5:113550419-113589725</v>
      </c>
      <c r="F2938" t="s">
        <v>30</v>
      </c>
      <c r="G2938">
        <v>-1.05688447364313</v>
      </c>
      <c r="H2938">
        <v>0.383993159988399</v>
      </c>
      <c r="I2938">
        <v>-2.7523523431382499</v>
      </c>
      <c r="J2938">
        <v>5.9168822310966297E-3</v>
      </c>
      <c r="K2938">
        <v>2.69207473628966E-2</v>
      </c>
      <c r="L2938" t="s">
        <v>26</v>
      </c>
      <c r="M2938" t="s">
        <v>27</v>
      </c>
      <c r="N2938">
        <v>31.7774391744695</v>
      </c>
      <c r="O2938">
        <v>51.726207726333499</v>
      </c>
      <c r="P2938">
        <v>16.815862760571498</v>
      </c>
      <c r="Q2938">
        <v>43.429818588446601</v>
      </c>
      <c r="R2938">
        <v>100.88180769413</v>
      </c>
      <c r="S2938">
        <v>10.8669968964238</v>
      </c>
      <c r="T2938">
        <v>18.3318188623251</v>
      </c>
      <c r="U2938">
        <v>19.2713107129698</v>
      </c>
      <c r="V2938">
        <v>11.7704579821477</v>
      </c>
      <c r="W2938">
        <v>17.889863484843598</v>
      </c>
    </row>
    <row r="2939" spans="1:23" x14ac:dyDescent="0.2">
      <c r="A2939" t="s">
        <v>5881</v>
      </c>
      <c r="B2939" s="3" t="str">
        <f>HYPERLINK("http://www.ncbi.nlm.nih.gov/gene/17955","Nap1l4")</f>
        <v>Nap1l4</v>
      </c>
      <c r="C2939">
        <v>17955</v>
      </c>
      <c r="D2939" t="s">
        <v>5882</v>
      </c>
      <c r="E2939" s="3" t="str">
        <f>HYPERLINK("http://genome.ucsc.edu/cgi-bin/hgTracks?db=mm10&amp;lastVirtModeType=default&amp;lastVirtModeExtraState=&amp;virtModeType=default&amp;virtMode=0&amp;nonVirtPosition=&amp;position=chr7:143513578-143549120","chr7:143513578-143549120")</f>
        <v>chr7:143513578-143549120</v>
      </c>
      <c r="F2939" t="s">
        <v>25</v>
      </c>
      <c r="G2939">
        <v>-0.29631479722516502</v>
      </c>
      <c r="H2939">
        <v>0.10766622312442301</v>
      </c>
      <c r="I2939">
        <v>-2.7521611571971998</v>
      </c>
      <c r="J2939">
        <v>5.9203378325213699E-3</v>
      </c>
      <c r="K2939">
        <v>2.69207473628966E-2</v>
      </c>
      <c r="L2939" t="s">
        <v>26</v>
      </c>
      <c r="M2939" t="s">
        <v>27</v>
      </c>
      <c r="N2939">
        <v>606.92421444770298</v>
      </c>
      <c r="O2939">
        <v>681.05544998237599</v>
      </c>
      <c r="P2939">
        <v>551.325787796697</v>
      </c>
      <c r="Q2939">
        <v>633.07312480850896</v>
      </c>
      <c r="R2939">
        <v>738.40932173109195</v>
      </c>
      <c r="S2939">
        <v>671.68390340752796</v>
      </c>
      <c r="T2939">
        <v>527.03979229184495</v>
      </c>
      <c r="U2939">
        <v>569.574294405552</v>
      </c>
      <c r="V2939">
        <v>542.17672080267801</v>
      </c>
      <c r="W2939">
        <v>566.51234368671396</v>
      </c>
    </row>
    <row r="2940" spans="1:23" x14ac:dyDescent="0.2">
      <c r="A2940" t="s">
        <v>5883</v>
      </c>
      <c r="B2940" s="3" t="str">
        <f>HYPERLINK("http://www.ncbi.nlm.nih.gov/gene/22414","Wnt2b")</f>
        <v>Wnt2b</v>
      </c>
      <c r="C2940">
        <v>22414</v>
      </c>
      <c r="D2940" t="s">
        <v>5884</v>
      </c>
      <c r="E2940" s="3" t="str">
        <f>HYPERLINK("http://genome.ucsc.edu/cgi-bin/hgTracks?db=mm10&amp;lastVirtModeType=default&amp;lastVirtModeExtraState=&amp;virtModeType=default&amp;virtMode=0&amp;nonVirtPosition=&amp;position=chr3:104944804-104961709","chr3:104944804-104961709")</f>
        <v>chr3:104944804-104961709</v>
      </c>
      <c r="F2940" t="s">
        <v>25</v>
      </c>
      <c r="G2940">
        <v>0.76526995233335904</v>
      </c>
      <c r="H2940">
        <v>0.27807177243186598</v>
      </c>
      <c r="I2940">
        <v>2.7520591020106702</v>
      </c>
      <c r="J2940">
        <v>5.9221831794164497E-3</v>
      </c>
      <c r="K2940">
        <v>2.69207473628966E-2</v>
      </c>
      <c r="L2940" t="s">
        <v>26</v>
      </c>
      <c r="M2940" t="s">
        <v>27</v>
      </c>
      <c r="N2940">
        <v>34.063949936789399</v>
      </c>
      <c r="O2940">
        <v>22.868741519859999</v>
      </c>
      <c r="P2940">
        <v>42.460356249486402</v>
      </c>
      <c r="Q2940">
        <v>20.0445316562061</v>
      </c>
      <c r="R2940">
        <v>20.1005105555973</v>
      </c>
      <c r="S2940">
        <v>28.461182347776599</v>
      </c>
      <c r="T2940">
        <v>50.4125018713939</v>
      </c>
      <c r="U2940">
        <v>34.260107934168602</v>
      </c>
      <c r="V2940">
        <v>52.967060919664597</v>
      </c>
      <c r="W2940">
        <v>32.201754272718503</v>
      </c>
    </row>
    <row r="2941" spans="1:23" x14ac:dyDescent="0.2">
      <c r="A2941" t="s">
        <v>5885</v>
      </c>
      <c r="B2941" s="3" t="str">
        <f>HYPERLINK("http://www.ncbi.nlm.nih.gov/gene/12825","Col3a1")</f>
        <v>Col3a1</v>
      </c>
      <c r="C2941">
        <v>12825</v>
      </c>
      <c r="D2941" t="s">
        <v>5886</v>
      </c>
      <c r="E2941" s="3" t="str">
        <f>HYPERLINK("http://genome.ucsc.edu/cgi-bin/hgTracks?db=mm10&amp;lastVirtModeType=default&amp;lastVirtModeExtraState=&amp;virtModeType=default&amp;virtMode=0&amp;nonVirtPosition=&amp;position=chr1:45311537-45349706","chr1:45311537-45349706")</f>
        <v>chr1:45311537-45349706</v>
      </c>
      <c r="F2941" t="s">
        <v>30</v>
      </c>
      <c r="G2941">
        <v>-1.0749921928961399</v>
      </c>
      <c r="H2941">
        <v>0.39062451807937398</v>
      </c>
      <c r="I2941">
        <v>-2.7519834089822899</v>
      </c>
      <c r="J2941">
        <v>5.9235521844382003E-3</v>
      </c>
      <c r="K2941">
        <v>2.69207473628966E-2</v>
      </c>
      <c r="L2941" t="s">
        <v>26</v>
      </c>
      <c r="M2941" t="s">
        <v>27</v>
      </c>
      <c r="N2941">
        <v>494.11066218619902</v>
      </c>
      <c r="O2941">
        <v>828.31855878294596</v>
      </c>
      <c r="P2941">
        <v>243.45473973863801</v>
      </c>
      <c r="Q2941">
        <v>1257.23756888093</v>
      </c>
      <c r="R2941">
        <v>420.97295691911302</v>
      </c>
      <c r="S2941">
        <v>806.745150548796</v>
      </c>
      <c r="T2941">
        <v>100.825003742788</v>
      </c>
      <c r="U2941">
        <v>173.44179641672801</v>
      </c>
      <c r="V2941">
        <v>478.91050914863399</v>
      </c>
      <c r="W2941">
        <v>220.64164964640401</v>
      </c>
    </row>
    <row r="2942" spans="1:23" x14ac:dyDescent="0.2">
      <c r="A2942" t="s">
        <v>5887</v>
      </c>
      <c r="B2942" s="3" t="str">
        <f>HYPERLINK("http://www.ncbi.nlm.nih.gov/gene/60599","Trp53inp1")</f>
        <v>Trp53inp1</v>
      </c>
      <c r="C2942">
        <v>60599</v>
      </c>
      <c r="D2942" t="s">
        <v>5888</v>
      </c>
      <c r="E2942" s="3" t="str">
        <f>HYPERLINK("http://genome.ucsc.edu/cgi-bin/hgTracks?db=mm10&amp;lastVirtModeType=default&amp;lastVirtModeExtraState=&amp;virtModeType=default&amp;virtMode=0&amp;nonVirtPosition=&amp;position=chr4:11156440-11174377","chr4:11156440-11174377")</f>
        <v>chr4:11156440-11174377</v>
      </c>
      <c r="F2942" t="s">
        <v>30</v>
      </c>
      <c r="G2942">
        <v>-0.65828255852273598</v>
      </c>
      <c r="H2942">
        <v>0.23920434538998001</v>
      </c>
      <c r="I2942">
        <v>-2.7519673919364802</v>
      </c>
      <c r="J2942">
        <v>5.9238419097119499E-3</v>
      </c>
      <c r="K2942">
        <v>2.69207473628966E-2</v>
      </c>
      <c r="L2942" t="s">
        <v>26</v>
      </c>
      <c r="M2942" t="s">
        <v>27</v>
      </c>
      <c r="N2942">
        <v>293.56043806158698</v>
      </c>
      <c r="O2942">
        <v>382.32918195582101</v>
      </c>
      <c r="P2942">
        <v>226.983880140911</v>
      </c>
      <c r="Q2942">
        <v>575.16670002391402</v>
      </c>
      <c r="R2942">
        <v>271.16726504249101</v>
      </c>
      <c r="S2942">
        <v>300.65358080105801</v>
      </c>
      <c r="T2942">
        <v>187.90114333883199</v>
      </c>
      <c r="U2942">
        <v>194.854363875584</v>
      </c>
      <c r="V2942">
        <v>294.99710317757598</v>
      </c>
      <c r="W2942">
        <v>230.18291017165399</v>
      </c>
    </row>
    <row r="2943" spans="1:23" x14ac:dyDescent="0.2">
      <c r="A2943" t="s">
        <v>5889</v>
      </c>
      <c r="B2943" s="3" t="str">
        <f>HYPERLINK("http://www.ncbi.nlm.nih.gov/gene/22228","Ucp2")</f>
        <v>Ucp2</v>
      </c>
      <c r="C2943">
        <v>22228</v>
      </c>
      <c r="D2943" t="s">
        <v>5890</v>
      </c>
      <c r="E2943" s="3" t="str">
        <f>HYPERLINK("http://genome.ucsc.edu/cgi-bin/hgTracks?db=mm10&amp;lastVirtModeType=default&amp;lastVirtModeExtraState=&amp;virtModeType=default&amp;virtMode=0&amp;nonVirtPosition=&amp;position=chr7:100493357-100499629","chr7:100493357-100499629")</f>
        <v>chr7:100493357-100499629</v>
      </c>
      <c r="F2943" t="s">
        <v>30</v>
      </c>
      <c r="G2943">
        <v>0.62949659429780103</v>
      </c>
      <c r="H2943">
        <v>0.22874738810436901</v>
      </c>
      <c r="I2943">
        <v>2.75192910185529</v>
      </c>
      <c r="J2943">
        <v>5.9245345738523202E-3</v>
      </c>
      <c r="K2943">
        <v>2.69207473628966E-2</v>
      </c>
      <c r="L2943" t="s">
        <v>26</v>
      </c>
      <c r="M2943" t="s">
        <v>27</v>
      </c>
      <c r="N2943">
        <v>212.24728217462899</v>
      </c>
      <c r="O2943">
        <v>156.43673866697699</v>
      </c>
      <c r="P2943">
        <v>254.10518980536901</v>
      </c>
      <c r="Q2943">
        <v>221.603433310279</v>
      </c>
      <c r="R2943">
        <v>101.261062610273</v>
      </c>
      <c r="S2943">
        <v>146.44572008037801</v>
      </c>
      <c r="T2943">
        <v>311.64092065952599</v>
      </c>
      <c r="U2943">
        <v>203.419390859126</v>
      </c>
      <c r="V2943">
        <v>269.98487996551302</v>
      </c>
      <c r="W2943">
        <v>231.375567737311</v>
      </c>
    </row>
    <row r="2944" spans="1:23" x14ac:dyDescent="0.2">
      <c r="A2944" t="s">
        <v>5891</v>
      </c>
      <c r="B2944" s="3" t="str">
        <f>HYPERLINK("http://www.ncbi.nlm.nih.gov/gene/76936","Hnrnpm")</f>
        <v>Hnrnpm</v>
      </c>
      <c r="C2944">
        <v>76936</v>
      </c>
      <c r="D2944" t="s">
        <v>5892</v>
      </c>
      <c r="E2944" s="3" t="str">
        <f>HYPERLINK("http://genome.ucsc.edu/cgi-bin/hgTracks?db=mm10&amp;lastVirtModeType=default&amp;lastVirtModeExtraState=&amp;virtModeType=default&amp;virtMode=0&amp;nonVirtPosition=&amp;position=chr17:33646232-33685458","chr17:33646232-33685458")</f>
        <v>chr17:33646232-33685458</v>
      </c>
      <c r="F2944" t="s">
        <v>25</v>
      </c>
      <c r="G2944">
        <v>0.310299992771638</v>
      </c>
      <c r="H2944">
        <v>0.112789171924441</v>
      </c>
      <c r="I2944">
        <v>2.7511505535257599</v>
      </c>
      <c r="J2944">
        <v>5.9386342830276004E-3</v>
      </c>
      <c r="K2944">
        <v>2.69756620366427E-2</v>
      </c>
      <c r="L2944" t="s">
        <v>26</v>
      </c>
      <c r="M2944" t="s">
        <v>27</v>
      </c>
      <c r="N2944">
        <v>746.21258511222095</v>
      </c>
      <c r="O2944">
        <v>654.11771209876702</v>
      </c>
      <c r="P2944">
        <v>815.28373987231203</v>
      </c>
      <c r="Q2944">
        <v>585.18896585201696</v>
      </c>
      <c r="R2944">
        <v>652.69771068269597</v>
      </c>
      <c r="S2944">
        <v>724.46645976158698</v>
      </c>
      <c r="T2944">
        <v>838.68071295137099</v>
      </c>
      <c r="U2944">
        <v>768.71117177290705</v>
      </c>
      <c r="V2944">
        <v>822.460751502569</v>
      </c>
      <c r="W2944">
        <v>831.28232326239902</v>
      </c>
    </row>
    <row r="2945" spans="1:23" x14ac:dyDescent="0.2">
      <c r="A2945" t="s">
        <v>5893</v>
      </c>
      <c r="B2945" s="3" t="str">
        <f>HYPERLINK("http://www.ncbi.nlm.nih.gov/gene/56417","Adar")</f>
        <v>Adar</v>
      </c>
      <c r="C2945">
        <v>56417</v>
      </c>
      <c r="D2945" t="s">
        <v>5894</v>
      </c>
      <c r="E2945" s="3" t="str">
        <f>HYPERLINK("http://genome.ucsc.edu/cgi-bin/hgTracks?db=mm10&amp;lastVirtModeType=default&amp;lastVirtModeExtraState=&amp;virtModeType=default&amp;virtMode=0&amp;nonVirtPosition=&amp;position=chr3:89715021-89753455","chr3:89715021-89753455")</f>
        <v>chr3:89715021-89753455</v>
      </c>
      <c r="F2945" t="s">
        <v>30</v>
      </c>
      <c r="G2945">
        <v>0.39223497818484299</v>
      </c>
      <c r="H2945">
        <v>0.14258326622278</v>
      </c>
      <c r="I2945">
        <v>2.7509187338435201</v>
      </c>
      <c r="J2945">
        <v>5.9428384353891603E-3</v>
      </c>
      <c r="K2945">
        <v>2.6985605116411099E-2</v>
      </c>
      <c r="L2945" t="s">
        <v>26</v>
      </c>
      <c r="M2945" t="s">
        <v>27</v>
      </c>
      <c r="N2945">
        <v>365.66508696557702</v>
      </c>
      <c r="O2945">
        <v>306.87267735116899</v>
      </c>
      <c r="P2945">
        <v>409.75939417638301</v>
      </c>
      <c r="Q2945">
        <v>294.54325683702899</v>
      </c>
      <c r="R2945">
        <v>291.26777559808897</v>
      </c>
      <c r="S2945">
        <v>334.80699961839002</v>
      </c>
      <c r="T2945">
        <v>458.295471558126</v>
      </c>
      <c r="U2945">
        <v>353.307363071113</v>
      </c>
      <c r="V2945">
        <v>357.527661207736</v>
      </c>
      <c r="W2945">
        <v>469.90708086855801</v>
      </c>
    </row>
    <row r="2946" spans="1:23" x14ac:dyDescent="0.2">
      <c r="A2946" t="s">
        <v>5895</v>
      </c>
      <c r="B2946" s="3" t="str">
        <f>HYPERLINK("http://www.ncbi.nlm.nih.gov/gene/17828","Bloc1s5")</f>
        <v>Bloc1s5</v>
      </c>
      <c r="C2946">
        <v>17828</v>
      </c>
      <c r="D2946" t="s">
        <v>5896</v>
      </c>
      <c r="E2946" s="3" t="str">
        <f>HYPERLINK("http://genome.ucsc.edu/cgi-bin/hgTracks?db=mm10&amp;lastVirtModeType=default&amp;lastVirtModeExtraState=&amp;virtModeType=default&amp;virtMode=0&amp;nonVirtPosition=&amp;position=chr13:38602705-38635109","chr13:38602705-38635109")</f>
        <v>chr13:38602705-38635109</v>
      </c>
      <c r="F2946" t="s">
        <v>25</v>
      </c>
      <c r="G2946">
        <v>-0.60173254785971597</v>
      </c>
      <c r="H2946">
        <v>0.218752224780835</v>
      </c>
      <c r="I2946">
        <v>-2.75074938534949</v>
      </c>
      <c r="J2946">
        <v>5.94591134027173E-3</v>
      </c>
      <c r="K2946">
        <v>2.69904063585013E-2</v>
      </c>
      <c r="L2946" t="s">
        <v>26</v>
      </c>
      <c r="M2946" t="s">
        <v>27</v>
      </c>
      <c r="N2946">
        <v>74.524363126846495</v>
      </c>
      <c r="O2946">
        <v>95.027362017301598</v>
      </c>
      <c r="P2946">
        <v>59.147113959004997</v>
      </c>
      <c r="Q2946">
        <v>108.57454647111599</v>
      </c>
      <c r="R2946">
        <v>92.158944622832706</v>
      </c>
      <c r="S2946">
        <v>84.348594957956195</v>
      </c>
      <c r="T2946">
        <v>59.578411302556397</v>
      </c>
      <c r="U2946">
        <v>53.531418647138402</v>
      </c>
      <c r="V2946">
        <v>75.772323260075694</v>
      </c>
      <c r="W2946">
        <v>47.706302626249602</v>
      </c>
    </row>
    <row r="2947" spans="1:23" x14ac:dyDescent="0.2">
      <c r="A2947" t="s">
        <v>5897</v>
      </c>
      <c r="B2947" s="3" t="str">
        <f>HYPERLINK("http://www.ncbi.nlm.nih.gov/gene/76740","Efr3a")</f>
        <v>Efr3a</v>
      </c>
      <c r="C2947">
        <v>76740</v>
      </c>
      <c r="D2947" t="s">
        <v>5898</v>
      </c>
      <c r="E2947" s="3" t="str">
        <f>HYPERLINK("http://genome.ucsc.edu/cgi-bin/hgTracks?db=mm10&amp;lastVirtModeType=default&amp;lastVirtModeExtraState=&amp;virtModeType=default&amp;virtMode=0&amp;nonVirtPosition=&amp;position=chr15:65787040-65873812","chr15:65787040-65873812")</f>
        <v>chr15:65787040-65873812</v>
      </c>
      <c r="F2947" t="s">
        <v>30</v>
      </c>
      <c r="G2947">
        <v>-0.32337972630373502</v>
      </c>
      <c r="H2947">
        <v>0.11758852387650399</v>
      </c>
      <c r="I2947">
        <v>-2.7500959757209</v>
      </c>
      <c r="J2947">
        <v>5.9577811780089302E-3</v>
      </c>
      <c r="K2947">
        <v>2.7035122926031E-2</v>
      </c>
      <c r="L2947" t="s">
        <v>26</v>
      </c>
      <c r="M2947" t="s">
        <v>27</v>
      </c>
      <c r="N2947">
        <v>573.41413906575701</v>
      </c>
      <c r="O2947">
        <v>651.61912381859099</v>
      </c>
      <c r="P2947">
        <v>514.76040050113102</v>
      </c>
      <c r="Q2947">
        <v>655.90161919474394</v>
      </c>
      <c r="R2947">
        <v>711.10296776877101</v>
      </c>
      <c r="S2947">
        <v>587.85278449225905</v>
      </c>
      <c r="T2947">
        <v>467.46138098928901</v>
      </c>
      <c r="U2947">
        <v>552.444240438468</v>
      </c>
      <c r="V2947">
        <v>537.02714543548802</v>
      </c>
      <c r="W2947">
        <v>502.10883514127698</v>
      </c>
    </row>
    <row r="2948" spans="1:23" x14ac:dyDescent="0.2">
      <c r="A2948" t="s">
        <v>5899</v>
      </c>
      <c r="B2948" s="3" t="str">
        <f>HYPERLINK("http://www.ncbi.nlm.nih.gov/gene/100526540","Mir3093")</f>
        <v>Mir3093</v>
      </c>
      <c r="C2948">
        <v>100526540</v>
      </c>
      <c r="D2948" t="s">
        <v>5900</v>
      </c>
      <c r="E2948" s="3" t="str">
        <f>HYPERLINK("http://genome.ucsc.edu/cgi-bin/hgTracks?db=mm10&amp;lastVirtModeType=default&amp;lastVirtModeExtraState=&amp;virtModeType=default&amp;virtMode=0&amp;nonVirtPosition=&amp;position=chr3:88215170-88215257","chr3:88215170-88215257")</f>
        <v>chr3:88215170-88215257</v>
      </c>
      <c r="F2948" t="s">
        <v>30</v>
      </c>
      <c r="G2948">
        <v>1.09897971915496</v>
      </c>
      <c r="H2948">
        <v>0.39965555747645698</v>
      </c>
      <c r="I2948">
        <v>2.7498171828117099</v>
      </c>
      <c r="J2948">
        <v>5.9628522250838199E-3</v>
      </c>
      <c r="K2948">
        <v>2.7048968206672599E-2</v>
      </c>
      <c r="L2948" t="s">
        <v>26</v>
      </c>
      <c r="M2948" t="s">
        <v>27</v>
      </c>
      <c r="N2948">
        <v>13.8480232284187</v>
      </c>
      <c r="O2948">
        <v>4.6306644720174397</v>
      </c>
      <c r="P2948">
        <v>20.761042295719601</v>
      </c>
      <c r="Q2948">
        <v>2.78396273002862</v>
      </c>
      <c r="R2948">
        <v>0.758509832286689</v>
      </c>
      <c r="S2948">
        <v>10.349520853736999</v>
      </c>
      <c r="T2948">
        <v>13.7488641467438</v>
      </c>
      <c r="U2948">
        <v>38.5426214259396</v>
      </c>
      <c r="V2948">
        <v>8.0921898627265296</v>
      </c>
      <c r="W2948">
        <v>22.6604937474686</v>
      </c>
    </row>
    <row r="2949" spans="1:23" x14ac:dyDescent="0.2">
      <c r="A2949" t="s">
        <v>5901</v>
      </c>
      <c r="B2949" s="3" t="str">
        <f>HYPERLINK("http://www.ncbi.nlm.nih.gov/gene/17979","Ncoa3")</f>
        <v>Ncoa3</v>
      </c>
      <c r="C2949">
        <v>17979</v>
      </c>
      <c r="D2949" t="s">
        <v>5902</v>
      </c>
      <c r="E2949" s="3" t="str">
        <f>HYPERLINK("http://genome.ucsc.edu/cgi-bin/hgTracks?db=mm10&amp;lastVirtModeType=default&amp;lastVirtModeExtraState=&amp;virtModeType=default&amp;virtMode=0&amp;nonVirtPosition=&amp;position=chr2:165992636-166073242","chr2:165992636-166073242")</f>
        <v>chr2:165992636-166073242</v>
      </c>
      <c r="F2949" t="s">
        <v>30</v>
      </c>
      <c r="G2949">
        <v>0.42874631625408799</v>
      </c>
      <c r="H2949">
        <v>0.15593563267161001</v>
      </c>
      <c r="I2949">
        <v>2.7495082997290301</v>
      </c>
      <c r="J2949">
        <v>5.9684751327597598E-3</v>
      </c>
      <c r="K2949">
        <v>2.7065306638261399E-2</v>
      </c>
      <c r="L2949" t="s">
        <v>26</v>
      </c>
      <c r="M2949" t="s">
        <v>27</v>
      </c>
      <c r="N2949">
        <v>355.44329926723998</v>
      </c>
      <c r="O2949">
        <v>295.61500027023402</v>
      </c>
      <c r="P2949">
        <v>400.31452351499598</v>
      </c>
      <c r="Q2949">
        <v>310.690240671195</v>
      </c>
      <c r="R2949">
        <v>235.13804800887399</v>
      </c>
      <c r="S2949">
        <v>341.01671213063298</v>
      </c>
      <c r="T2949">
        <v>403.30001497115097</v>
      </c>
      <c r="U2949">
        <v>344.742336087571</v>
      </c>
      <c r="V2949">
        <v>436.97825258723299</v>
      </c>
      <c r="W2949">
        <v>416.237490414028</v>
      </c>
    </row>
    <row r="2950" spans="1:23" x14ac:dyDescent="0.2">
      <c r="A2950" t="s">
        <v>5903</v>
      </c>
      <c r="B2950" s="3" t="str">
        <f>HYPERLINK("http://www.ncbi.nlm.nih.gov/gene/545681","Gm12992")</f>
        <v>Gm12992</v>
      </c>
      <c r="C2950">
        <v>545681</v>
      </c>
      <c r="D2950" t="s">
        <v>5904</v>
      </c>
      <c r="E2950" s="3" t="str">
        <f>HYPERLINK("http://genome.ucsc.edu/cgi-bin/hgTracks?db=mm10&amp;lastVirtModeType=default&amp;lastVirtModeExtraState=&amp;virtModeType=default&amp;virtMode=0&amp;nonVirtPosition=&amp;position=chr4:131912415-131920029","chr4:131912415-131920029")</f>
        <v>chr4:131912415-131920029</v>
      </c>
      <c r="F2950" t="s">
        <v>25</v>
      </c>
      <c r="G2950">
        <v>0.98554287722812095</v>
      </c>
      <c r="H2950">
        <v>0.35848992800937801</v>
      </c>
      <c r="I2950">
        <v>2.74915081352674</v>
      </c>
      <c r="J2950">
        <v>5.9749887760391302E-3</v>
      </c>
      <c r="K2950">
        <v>2.7085671868632401E-2</v>
      </c>
      <c r="L2950" t="s">
        <v>26</v>
      </c>
      <c r="M2950" t="s">
        <v>27</v>
      </c>
      <c r="N2950">
        <v>11.539759548107201</v>
      </c>
      <c r="O2950">
        <v>5.9105583868226699</v>
      </c>
      <c r="P2950">
        <v>15.7616604190706</v>
      </c>
      <c r="Q2950">
        <v>4.4543403680458002</v>
      </c>
      <c r="R2950">
        <v>7.58509832286689</v>
      </c>
      <c r="S2950">
        <v>5.6922364695553203</v>
      </c>
      <c r="T2950">
        <v>18.3318188623251</v>
      </c>
      <c r="U2950">
        <v>12.847540475313201</v>
      </c>
      <c r="V2950">
        <v>13.977418853800399</v>
      </c>
      <c r="W2950">
        <v>17.889863484843598</v>
      </c>
    </row>
    <row r="2951" spans="1:23" x14ac:dyDescent="0.2">
      <c r="A2951" t="s">
        <v>5905</v>
      </c>
      <c r="B2951" s="3" t="str">
        <f>HYPERLINK("http://www.ncbi.nlm.nih.gov/gene/14151","Fech")</f>
        <v>Fech</v>
      </c>
      <c r="C2951">
        <v>14151</v>
      </c>
      <c r="D2951" t="s">
        <v>5906</v>
      </c>
      <c r="E2951" s="3" t="str">
        <f>HYPERLINK("http://genome.ucsc.edu/cgi-bin/hgTracks?db=mm10&amp;lastVirtModeType=default&amp;lastVirtModeExtraState=&amp;virtModeType=default&amp;virtMode=0&amp;nonVirtPosition=&amp;position=chr18:64456549-64489066","chr18:64456549-64489066")</f>
        <v>chr18:64456549-64489066</v>
      </c>
      <c r="F2951" t="s">
        <v>25</v>
      </c>
      <c r="G2951">
        <v>-0.42674999884158399</v>
      </c>
      <c r="H2951">
        <v>0.15524042526913501</v>
      </c>
      <c r="I2951">
        <v>-2.74896179974863</v>
      </c>
      <c r="J2951">
        <v>5.9784353244891498E-3</v>
      </c>
      <c r="K2951">
        <v>2.70921243418728E-2</v>
      </c>
      <c r="L2951" t="s">
        <v>26</v>
      </c>
      <c r="M2951" t="s">
        <v>27</v>
      </c>
      <c r="N2951">
        <v>162.11060056844701</v>
      </c>
      <c r="O2951">
        <v>192.11358815877401</v>
      </c>
      <c r="P2951">
        <v>139.60835987570101</v>
      </c>
      <c r="Q2951">
        <v>183.74154018188901</v>
      </c>
      <c r="R2951">
        <v>217.69232186628</v>
      </c>
      <c r="S2951">
        <v>174.90690242815401</v>
      </c>
      <c r="T2951">
        <v>132.90568675185699</v>
      </c>
      <c r="U2951">
        <v>134.89917499078899</v>
      </c>
      <c r="V2951">
        <v>152.280300144036</v>
      </c>
      <c r="W2951">
        <v>138.34827761612399</v>
      </c>
    </row>
    <row r="2952" spans="1:23" x14ac:dyDescent="0.2">
      <c r="A2952" t="s">
        <v>5907</v>
      </c>
      <c r="B2952" s="3" t="str">
        <f>HYPERLINK("http://www.ncbi.nlm.nih.gov/gene/11722","Amy1")</f>
        <v>Amy1</v>
      </c>
      <c r="C2952">
        <v>11722</v>
      </c>
      <c r="D2952" t="s">
        <v>5908</v>
      </c>
      <c r="E2952" s="3" t="str">
        <f>HYPERLINK("http://genome.ucsc.edu/cgi-bin/hgTracks?db=mm10&amp;lastVirtModeType=default&amp;lastVirtModeExtraState=&amp;virtModeType=default&amp;virtMode=0&amp;nonVirtPosition=&amp;position=chr3:113555951-113574762","chr3:113555951-113574762")</f>
        <v>chr3:113555951-113574762</v>
      </c>
      <c r="F2952" t="s">
        <v>25</v>
      </c>
      <c r="G2952">
        <v>0.97005284404528103</v>
      </c>
      <c r="H2952">
        <v>0.35296158851529802</v>
      </c>
      <c r="I2952">
        <v>2.7483241112035</v>
      </c>
      <c r="J2952">
        <v>5.9900763984236903E-3</v>
      </c>
      <c r="K2952">
        <v>2.7135694536972801E-2</v>
      </c>
      <c r="L2952" t="s">
        <v>26</v>
      </c>
      <c r="M2952" t="s">
        <v>27</v>
      </c>
      <c r="N2952">
        <v>23.825283481494701</v>
      </c>
      <c r="O2952">
        <v>11.8207078636937</v>
      </c>
      <c r="P2952">
        <v>32.828715194845401</v>
      </c>
      <c r="Q2952">
        <v>12.8062285581317</v>
      </c>
      <c r="R2952">
        <v>15.9287064780205</v>
      </c>
      <c r="S2952">
        <v>6.72718855492902</v>
      </c>
      <c r="T2952">
        <v>64.161366018137699</v>
      </c>
      <c r="U2952">
        <v>14.9887972211987</v>
      </c>
      <c r="V2952">
        <v>23.540915964295401</v>
      </c>
      <c r="W2952">
        <v>28.623781575749799</v>
      </c>
    </row>
    <row r="2953" spans="1:23" x14ac:dyDescent="0.2">
      <c r="A2953" t="s">
        <v>5909</v>
      </c>
      <c r="B2953" s="3" t="str">
        <f>HYPERLINK("http://www.ncbi.nlm.nih.gov/gene/67419","3632451O06Rik")</f>
        <v>3632451O06Rik</v>
      </c>
      <c r="C2953">
        <v>67419</v>
      </c>
      <c r="D2953" t="s">
        <v>5910</v>
      </c>
      <c r="E2953" s="3" t="str">
        <f>HYPERLINK("http://genome.ucsc.edu/cgi-bin/hgTracks?db=mm10&amp;lastVirtModeType=default&amp;lastVirtModeExtraState=&amp;virtModeType=default&amp;virtMode=0&amp;nonVirtPosition=&amp;position=chr14:49682018-49783367","chr14:49682018-49783367")</f>
        <v>chr14:49682018-49783367</v>
      </c>
      <c r="F2953" t="s">
        <v>25</v>
      </c>
      <c r="G2953">
        <v>-0.60735090703434202</v>
      </c>
      <c r="H2953">
        <v>0.221014838567061</v>
      </c>
      <c r="I2953">
        <v>-2.7480096403122598</v>
      </c>
      <c r="J2953">
        <v>5.9958246147468102E-3</v>
      </c>
      <c r="K2953">
        <v>2.7152549007803398E-2</v>
      </c>
      <c r="L2953" t="s">
        <v>26</v>
      </c>
      <c r="M2953" t="s">
        <v>27</v>
      </c>
      <c r="N2953">
        <v>1070.4925424379401</v>
      </c>
      <c r="O2953">
        <v>1355.3992105806999</v>
      </c>
      <c r="P2953">
        <v>856.81254133086804</v>
      </c>
      <c r="Q2953">
        <v>2018.37297927075</v>
      </c>
      <c r="R2953">
        <v>1151.0386704950499</v>
      </c>
      <c r="S2953">
        <v>896.78598197630697</v>
      </c>
      <c r="T2953">
        <v>925.75685254741495</v>
      </c>
      <c r="U2953">
        <v>770.85242851879298</v>
      </c>
      <c r="V2953">
        <v>948.25752118677303</v>
      </c>
      <c r="W2953">
        <v>782.38336307049303</v>
      </c>
    </row>
    <row r="2954" spans="1:23" x14ac:dyDescent="0.2">
      <c r="A2954" t="s">
        <v>5911</v>
      </c>
      <c r="B2954" s="3" t="str">
        <f>HYPERLINK("http://www.ncbi.nlm.nih.gov/gene/269389","Tox2")</f>
        <v>Tox2</v>
      </c>
      <c r="C2954">
        <v>269389</v>
      </c>
      <c r="D2954" t="s">
        <v>5912</v>
      </c>
      <c r="E2954" s="3" t="str">
        <f>HYPERLINK("http://genome.ucsc.edu/cgi-bin/hgTracks?db=mm10&amp;lastVirtModeType=default&amp;lastVirtModeExtraState=&amp;virtModeType=default&amp;virtMode=0&amp;nonVirtPosition=&amp;position=chr2:163225453-163323102","chr2:163225453-163323102")</f>
        <v>chr2:163225453-163323102</v>
      </c>
      <c r="F2954" t="s">
        <v>30</v>
      </c>
      <c r="G2954">
        <v>0.86776447256711398</v>
      </c>
      <c r="H2954">
        <v>0.31589528521474503</v>
      </c>
      <c r="I2954">
        <v>2.7470003927953801</v>
      </c>
      <c r="J2954">
        <v>6.0143062456870502E-3</v>
      </c>
      <c r="K2954">
        <v>2.7227036827584601E-2</v>
      </c>
      <c r="L2954" t="s">
        <v>26</v>
      </c>
      <c r="M2954" t="s">
        <v>27</v>
      </c>
      <c r="N2954">
        <v>38.284692667809303</v>
      </c>
      <c r="O2954">
        <v>22.940132460928101</v>
      </c>
      <c r="P2954">
        <v>49.793112822970201</v>
      </c>
      <c r="Q2954">
        <v>16.7037763801717</v>
      </c>
      <c r="R2954">
        <v>17.445726142593902</v>
      </c>
      <c r="S2954">
        <v>34.670894860018798</v>
      </c>
      <c r="T2954">
        <v>68.744320733718993</v>
      </c>
      <c r="U2954">
        <v>29.9775944423975</v>
      </c>
      <c r="V2954">
        <v>36.047027570327302</v>
      </c>
      <c r="W2954">
        <v>64.403508545436907</v>
      </c>
    </row>
    <row r="2955" spans="1:23" x14ac:dyDescent="0.2">
      <c r="A2955" t="s">
        <v>5913</v>
      </c>
      <c r="B2955" s="3" t="str">
        <f>HYPERLINK("http://www.ncbi.nlm.nih.gov/gene/106264","0610012G03Rik")</f>
        <v>0610012G03Rik</v>
      </c>
      <c r="C2955">
        <v>106264</v>
      </c>
      <c r="D2955" t="s">
        <v>5914</v>
      </c>
      <c r="E2955" s="3" t="str">
        <f>HYPERLINK("http://genome.ucsc.edu/cgi-bin/hgTracks?db=mm10&amp;lastVirtModeType=default&amp;lastVirtModeExtraState=&amp;virtModeType=default&amp;virtMode=0&amp;nonVirtPosition=&amp;position=chr16:31947050-31948521","chr16:31947050-31948521")</f>
        <v>chr16:31947050-31948521</v>
      </c>
      <c r="F2955" t="s">
        <v>25</v>
      </c>
      <c r="G2955">
        <v>-0.58605559925803297</v>
      </c>
      <c r="H2955">
        <v>0.213381718582564</v>
      </c>
      <c r="I2955">
        <v>-2.7465126963595501</v>
      </c>
      <c r="J2955">
        <v>6.02325546328473E-3</v>
      </c>
      <c r="K2955">
        <v>2.72563737418565E-2</v>
      </c>
      <c r="L2955" t="s">
        <v>26</v>
      </c>
      <c r="M2955" t="s">
        <v>27</v>
      </c>
      <c r="N2955">
        <v>67.781390579065501</v>
      </c>
      <c r="O2955">
        <v>86.799451876851407</v>
      </c>
      <c r="P2955">
        <v>53.517844605726097</v>
      </c>
      <c r="Q2955">
        <v>82.962089354853006</v>
      </c>
      <c r="R2955">
        <v>96.710003616552896</v>
      </c>
      <c r="S2955">
        <v>80.726262659148205</v>
      </c>
      <c r="T2955">
        <v>32.0806830090688</v>
      </c>
      <c r="U2955">
        <v>70.661472614222703</v>
      </c>
      <c r="V2955">
        <v>58.852289910738399</v>
      </c>
      <c r="W2955">
        <v>52.4769328888746</v>
      </c>
    </row>
    <row r="2956" spans="1:23" x14ac:dyDescent="0.2">
      <c r="A2956" t="s">
        <v>5915</v>
      </c>
      <c r="B2956" s="3" t="str">
        <f>HYPERLINK("http://www.ncbi.nlm.nih.gov/gene/373864","Col27a1")</f>
        <v>Col27a1</v>
      </c>
      <c r="C2956">
        <v>373864</v>
      </c>
      <c r="D2956" t="s">
        <v>5916</v>
      </c>
      <c r="E2956" s="3" t="str">
        <f>HYPERLINK("http://genome.ucsc.edu/cgi-bin/hgTracks?db=mm10&amp;lastVirtModeType=default&amp;lastVirtModeExtraState=&amp;virtModeType=default&amp;virtMode=0&amp;nonVirtPosition=&amp;position=chr4:63215411-63334990","chr4:63215411-63334990")</f>
        <v>chr4:63215411-63334990</v>
      </c>
      <c r="F2956" t="s">
        <v>30</v>
      </c>
      <c r="G2956">
        <v>0.668793666514225</v>
      </c>
      <c r="H2956">
        <v>0.243514224429355</v>
      </c>
      <c r="I2956">
        <v>2.7464254627484701</v>
      </c>
      <c r="J2956">
        <v>6.0248574621682696E-3</v>
      </c>
      <c r="K2956">
        <v>2.72563737418565E-2</v>
      </c>
      <c r="L2956" t="s">
        <v>26</v>
      </c>
      <c r="M2956" t="s">
        <v>27</v>
      </c>
      <c r="N2956">
        <v>132.166321421699</v>
      </c>
      <c r="O2956">
        <v>94.796230698476606</v>
      </c>
      <c r="P2956">
        <v>160.19388946411601</v>
      </c>
      <c r="Q2956">
        <v>141.98209923146001</v>
      </c>
      <c r="R2956">
        <v>62.197806247508503</v>
      </c>
      <c r="S2956">
        <v>80.208786616461396</v>
      </c>
      <c r="T2956">
        <v>187.90114333883199</v>
      </c>
      <c r="U2956">
        <v>143.46420197433099</v>
      </c>
      <c r="V2956">
        <v>141.24549578577199</v>
      </c>
      <c r="W2956">
        <v>168.16471675752999</v>
      </c>
    </row>
    <row r="2957" spans="1:23" x14ac:dyDescent="0.2">
      <c r="A2957" t="s">
        <v>5917</v>
      </c>
      <c r="B2957" s="3" t="str">
        <f>HYPERLINK("http://www.ncbi.nlm.nih.gov/gene/233912","Armc5")</f>
        <v>Armc5</v>
      </c>
      <c r="C2957">
        <v>233912</v>
      </c>
      <c r="D2957" t="s">
        <v>5918</v>
      </c>
      <c r="E2957" s="3" t="str">
        <f>HYPERLINK("http://genome.ucsc.edu/cgi-bin/hgTracks?db=mm10&amp;lastVirtModeType=default&amp;lastVirtModeExtraState=&amp;virtModeType=default&amp;virtMode=0&amp;nonVirtPosition=&amp;position=chr7:128237356-128245100","chr7:128237356-128245100")</f>
        <v>chr7:128237356-128245100</v>
      </c>
      <c r="F2957" t="s">
        <v>30</v>
      </c>
      <c r="G2957">
        <v>0.64241714873774203</v>
      </c>
      <c r="H2957">
        <v>0.23395832572578901</v>
      </c>
      <c r="I2957">
        <v>2.74586145521782</v>
      </c>
      <c r="J2957">
        <v>6.03522442800568E-3</v>
      </c>
      <c r="K2957">
        <v>2.72850070580491E-2</v>
      </c>
      <c r="L2957" t="s">
        <v>26</v>
      </c>
      <c r="M2957" t="s">
        <v>27</v>
      </c>
      <c r="N2957">
        <v>110.48922982927201</v>
      </c>
      <c r="O2957">
        <v>80.497340440296398</v>
      </c>
      <c r="P2957">
        <v>132.98314687100401</v>
      </c>
      <c r="Q2957">
        <v>76.837371348790001</v>
      </c>
      <c r="R2957">
        <v>67.886629989658701</v>
      </c>
      <c r="S2957">
        <v>96.768019982440507</v>
      </c>
      <c r="T2957">
        <v>119.15682260511301</v>
      </c>
      <c r="U2957">
        <v>194.854363875584</v>
      </c>
      <c r="V2957">
        <v>92.692356609412997</v>
      </c>
      <c r="W2957">
        <v>125.229044393905</v>
      </c>
    </row>
    <row r="2958" spans="1:23" x14ac:dyDescent="0.2">
      <c r="A2958" t="s">
        <v>5919</v>
      </c>
      <c r="B2958" s="3" t="str">
        <f>HYPERLINK("http://www.ncbi.nlm.nih.gov/gene/18295","Ogn")</f>
        <v>Ogn</v>
      </c>
      <c r="C2958">
        <v>18295</v>
      </c>
      <c r="D2958" t="s">
        <v>5920</v>
      </c>
      <c r="E2958" s="3" t="str">
        <f>HYPERLINK("http://genome.ucsc.edu/cgi-bin/hgTracks?db=mm10&amp;lastVirtModeType=default&amp;lastVirtModeExtraState=&amp;virtModeType=default&amp;virtMode=0&amp;nonVirtPosition=&amp;position=chr13:49608070-49624500","chr13:49608070-49624500")</f>
        <v>chr13:49608070-49624500</v>
      </c>
      <c r="F2958" t="s">
        <v>30</v>
      </c>
      <c r="G2958">
        <v>0.96281674253540594</v>
      </c>
      <c r="H2958">
        <v>0.350643129966006</v>
      </c>
      <c r="I2958">
        <v>2.7458594230229099</v>
      </c>
      <c r="J2958">
        <v>6.0352618106146996E-3</v>
      </c>
      <c r="K2958">
        <v>2.72850070580491E-2</v>
      </c>
      <c r="L2958" t="s">
        <v>26</v>
      </c>
      <c r="M2958" t="s">
        <v>27</v>
      </c>
      <c r="N2958">
        <v>13.431795432020801</v>
      </c>
      <c r="O2958">
        <v>7.2917971805981701</v>
      </c>
      <c r="P2958">
        <v>18.0367941205877</v>
      </c>
      <c r="Q2958">
        <v>5.0111329140515304</v>
      </c>
      <c r="R2958">
        <v>9.1021179874402698</v>
      </c>
      <c r="S2958">
        <v>7.7621406403027198</v>
      </c>
      <c r="T2958">
        <v>13.7488641467438</v>
      </c>
      <c r="U2958">
        <v>25.695080950626402</v>
      </c>
      <c r="V2958">
        <v>18.391340597105799</v>
      </c>
      <c r="W2958">
        <v>14.3118907878749</v>
      </c>
    </row>
    <row r="2959" spans="1:23" x14ac:dyDescent="0.2">
      <c r="A2959" t="s">
        <v>5921</v>
      </c>
      <c r="B2959" s="3" t="str">
        <f>HYPERLINK("http://www.ncbi.nlm.nih.gov/gene/16519","Kcnj3")</f>
        <v>Kcnj3</v>
      </c>
      <c r="C2959">
        <v>16519</v>
      </c>
      <c r="D2959" t="s">
        <v>5922</v>
      </c>
      <c r="E2959" s="3" t="str">
        <f>HYPERLINK("http://genome.ucsc.edu/cgi-bin/hgTracks?db=mm10&amp;lastVirtModeType=default&amp;lastVirtModeExtraState=&amp;virtModeType=default&amp;virtMode=0&amp;nonVirtPosition=&amp;position=chr2:55435969-55598145","chr2:55435969-55598145")</f>
        <v>chr2:55435969-55598145</v>
      </c>
      <c r="F2959" t="s">
        <v>30</v>
      </c>
      <c r="G2959">
        <v>-0.87943065389880803</v>
      </c>
      <c r="H2959">
        <v>0.32030721411503998</v>
      </c>
      <c r="I2959">
        <v>-2.7455849108130201</v>
      </c>
      <c r="J2959">
        <v>6.0403134322082799E-3</v>
      </c>
      <c r="K2959">
        <v>2.7285269257173901E-2</v>
      </c>
      <c r="L2959" t="s">
        <v>26</v>
      </c>
      <c r="M2959" t="s">
        <v>27</v>
      </c>
      <c r="N2959">
        <v>60.0097378653495</v>
      </c>
      <c r="O2959">
        <v>84.420034887258097</v>
      </c>
      <c r="P2959">
        <v>41.702015098917997</v>
      </c>
      <c r="Q2959">
        <v>119.153604845225</v>
      </c>
      <c r="R2959">
        <v>96.330748700409501</v>
      </c>
      <c r="S2959">
        <v>37.775751116139901</v>
      </c>
      <c r="T2959">
        <v>59.578411302556397</v>
      </c>
      <c r="U2959">
        <v>44.966391663596198</v>
      </c>
      <c r="V2959">
        <v>26.483530459832298</v>
      </c>
      <c r="W2959">
        <v>35.779726969687196</v>
      </c>
    </row>
    <row r="2960" spans="1:23" x14ac:dyDescent="0.2">
      <c r="A2960" t="s">
        <v>5923</v>
      </c>
      <c r="B2960" s="3" t="str">
        <f>HYPERLINK("http://www.ncbi.nlm.nih.gov/gene/67010","Rbm7")</f>
        <v>Rbm7</v>
      </c>
      <c r="C2960">
        <v>67010</v>
      </c>
      <c r="D2960" t="s">
        <v>5924</v>
      </c>
      <c r="E2960" s="3" t="str">
        <f>HYPERLINK("http://genome.ucsc.edu/cgi-bin/hgTracks?db=mm10&amp;lastVirtModeType=default&amp;lastVirtModeExtraState=&amp;virtModeType=default&amp;virtMode=0&amp;nonVirtPosition=&amp;position=chr9:48488696-48495330","chr9:48488696-48495330")</f>
        <v>chr9:48488696-48495330</v>
      </c>
      <c r="F2960" t="s">
        <v>25</v>
      </c>
      <c r="G2960">
        <v>-0.39005204170584301</v>
      </c>
      <c r="H2960">
        <v>0.14206775164523699</v>
      </c>
      <c r="I2960">
        <v>-2.7455354025722798</v>
      </c>
      <c r="J2960">
        <v>6.0412248968256003E-3</v>
      </c>
      <c r="K2960">
        <v>2.7285269257173901E-2</v>
      </c>
      <c r="L2960" t="s">
        <v>26</v>
      </c>
      <c r="M2960" t="s">
        <v>27</v>
      </c>
      <c r="N2960">
        <v>209.368948113832</v>
      </c>
      <c r="O2960">
        <v>241.38337657945399</v>
      </c>
      <c r="P2960">
        <v>185.358126764616</v>
      </c>
      <c r="Q2960">
        <v>216.59230039622699</v>
      </c>
      <c r="R2960">
        <v>258.65185280976101</v>
      </c>
      <c r="S2960">
        <v>248.90597653237401</v>
      </c>
      <c r="T2960">
        <v>206.23296220115699</v>
      </c>
      <c r="U2960">
        <v>182.00682340027001</v>
      </c>
      <c r="V2960">
        <v>189.79863496213099</v>
      </c>
      <c r="W2960">
        <v>163.394086494905</v>
      </c>
    </row>
    <row r="2961" spans="1:23" x14ac:dyDescent="0.2">
      <c r="A2961" t="s">
        <v>5925</v>
      </c>
      <c r="B2961" s="3" t="str">
        <f>HYPERLINK("http://www.ncbi.nlm.nih.gov/gene/73422","Prox2")</f>
        <v>Prox2</v>
      </c>
      <c r="C2961">
        <v>73422</v>
      </c>
      <c r="D2961" t="s">
        <v>5926</v>
      </c>
      <c r="E2961" s="3" t="str">
        <f>HYPERLINK("http://genome.ucsc.edu/cgi-bin/hgTracks?db=mm10&amp;lastVirtModeType=default&amp;lastVirtModeExtraState=&amp;virtModeType=default&amp;virtMode=0&amp;nonVirtPosition=&amp;position=chr12:85086813-85106431","chr12:85086813-85106431")</f>
        <v>chr12:85086813-85106431</v>
      </c>
      <c r="F2961" t="s">
        <v>25</v>
      </c>
      <c r="G2961">
        <v>0.79726481682343897</v>
      </c>
      <c r="H2961">
        <v>0.29038711036290699</v>
      </c>
      <c r="I2961">
        <v>2.74552412408068</v>
      </c>
      <c r="J2961">
        <v>6.0414325552625298E-3</v>
      </c>
      <c r="K2961">
        <v>2.7285269257173901E-2</v>
      </c>
      <c r="L2961" t="s">
        <v>26</v>
      </c>
      <c r="M2961" t="s">
        <v>27</v>
      </c>
      <c r="N2961">
        <v>29.316651362279099</v>
      </c>
      <c r="O2961">
        <v>20.429673664236201</v>
      </c>
      <c r="P2961">
        <v>35.981884635811298</v>
      </c>
      <c r="Q2961">
        <v>23.385286932240501</v>
      </c>
      <c r="R2961">
        <v>16.6872163103072</v>
      </c>
      <c r="S2961">
        <v>21.216517750160801</v>
      </c>
      <c r="T2961">
        <v>13.7488641467438</v>
      </c>
      <c r="U2961">
        <v>42.825134917710699</v>
      </c>
      <c r="V2961">
        <v>45.610524680822301</v>
      </c>
      <c r="W2961">
        <v>41.743014797968399</v>
      </c>
    </row>
    <row r="2962" spans="1:23" x14ac:dyDescent="0.2">
      <c r="A2962" t="s">
        <v>5927</v>
      </c>
      <c r="B2962" s="3" t="str">
        <f>HYPERLINK("http://www.ncbi.nlm.nih.gov/gene/14763","Gpr37")</f>
        <v>Gpr37</v>
      </c>
      <c r="C2962">
        <v>14763</v>
      </c>
      <c r="D2962" t="s">
        <v>5928</v>
      </c>
      <c r="E2962" s="3" t="str">
        <f>HYPERLINK("http://genome.ucsc.edu/cgi-bin/hgTracks?db=mm10&amp;lastVirtModeType=default&amp;lastVirtModeExtraState=&amp;virtModeType=default&amp;virtMode=0&amp;nonVirtPosition=&amp;position=chr6:25668522-25689980","chr6:25668522-25689980")</f>
        <v>chr6:25668522-25689980</v>
      </c>
      <c r="F2962" t="s">
        <v>25</v>
      </c>
      <c r="G2962">
        <v>-1.03557120544991</v>
      </c>
      <c r="H2962">
        <v>0.377203409155277</v>
      </c>
      <c r="I2962">
        <v>-2.7453919564751801</v>
      </c>
      <c r="J2962">
        <v>6.0438664909762798E-3</v>
      </c>
      <c r="K2962">
        <v>2.7287058725779901E-2</v>
      </c>
      <c r="L2962" t="s">
        <v>26</v>
      </c>
      <c r="M2962" t="s">
        <v>27</v>
      </c>
      <c r="N2962">
        <v>28.0209541968817</v>
      </c>
      <c r="O2962">
        <v>45.572065235340197</v>
      </c>
      <c r="P2962">
        <v>14.857620918037799</v>
      </c>
      <c r="Q2962">
        <v>63.474350244652598</v>
      </c>
      <c r="R2962">
        <v>54.612707924641597</v>
      </c>
      <c r="S2962">
        <v>18.6291375367265</v>
      </c>
      <c r="T2962">
        <v>9.1659094311625307</v>
      </c>
      <c r="U2962">
        <v>10.7062837294277</v>
      </c>
      <c r="V2962">
        <v>7.3565362388422999</v>
      </c>
      <c r="W2962">
        <v>32.201754272718503</v>
      </c>
    </row>
    <row r="2963" spans="1:23" x14ac:dyDescent="0.2">
      <c r="A2963" t="s">
        <v>5929</v>
      </c>
      <c r="B2963" s="3" t="str">
        <f>HYPERLINK("http://www.ncbi.nlm.nih.gov/gene/53334","Gosr1")</f>
        <v>Gosr1</v>
      </c>
      <c r="C2963">
        <v>53334</v>
      </c>
      <c r="D2963" t="s">
        <v>5930</v>
      </c>
      <c r="E2963" s="3" t="str">
        <f>HYPERLINK("http://genome.ucsc.edu/cgi-bin/hgTracks?db=mm10&amp;lastVirtModeType=default&amp;lastVirtModeExtraState=&amp;virtModeType=default&amp;virtMode=0&amp;nonVirtPosition=&amp;position=chr11:76726601-76763555","chr11:76726601-76763555")</f>
        <v>chr11:76726601-76763555</v>
      </c>
      <c r="F2963" t="s">
        <v>25</v>
      </c>
      <c r="G2963">
        <v>-0.32204288826532901</v>
      </c>
      <c r="H2963">
        <v>0.117320780847378</v>
      </c>
      <c r="I2963">
        <v>-2.7449773683681098</v>
      </c>
      <c r="J2963">
        <v>6.0515070807294997E-3</v>
      </c>
      <c r="K2963">
        <v>2.7295220196212999E-2</v>
      </c>
      <c r="L2963" t="s">
        <v>26</v>
      </c>
      <c r="M2963" t="s">
        <v>27</v>
      </c>
      <c r="N2963">
        <v>296.39400958298597</v>
      </c>
      <c r="O2963">
        <v>335.10444491924602</v>
      </c>
      <c r="P2963">
        <v>267.36118308079102</v>
      </c>
      <c r="Q2963">
        <v>352.44968162162399</v>
      </c>
      <c r="R2963">
        <v>318.57412956040901</v>
      </c>
      <c r="S2963">
        <v>334.28952357570398</v>
      </c>
      <c r="T2963">
        <v>270.39432821929501</v>
      </c>
      <c r="U2963">
        <v>276.222120219234</v>
      </c>
      <c r="V2963">
        <v>269.98487996551302</v>
      </c>
      <c r="W2963">
        <v>252.84340391912301</v>
      </c>
    </row>
    <row r="2964" spans="1:23" x14ac:dyDescent="0.2">
      <c r="A2964" t="s">
        <v>5931</v>
      </c>
      <c r="B2964" s="3" t="str">
        <f>HYPERLINK("http://www.ncbi.nlm.nih.gov/gene/67608","Narf")</f>
        <v>Narf</v>
      </c>
      <c r="C2964">
        <v>67608</v>
      </c>
      <c r="D2964" t="s">
        <v>5932</v>
      </c>
      <c r="E2964" s="3" t="str">
        <f>HYPERLINK("http://genome.ucsc.edu/cgi-bin/hgTracks?db=mm10&amp;lastVirtModeType=default&amp;lastVirtModeExtraState=&amp;virtModeType=default&amp;virtMode=0&amp;nonVirtPosition=&amp;position=chr11:121237235-121255856","chr11:121237235-121255856")</f>
        <v>chr11:121237235-121255856</v>
      </c>
      <c r="F2964" t="s">
        <v>30</v>
      </c>
      <c r="G2964">
        <v>-0.53490111357845904</v>
      </c>
      <c r="H2964">
        <v>0.19486559768126999</v>
      </c>
      <c r="I2964">
        <v>-2.7449745873223002</v>
      </c>
      <c r="J2964">
        <v>6.0515583629654904E-3</v>
      </c>
      <c r="K2964">
        <v>2.7295220196212999E-2</v>
      </c>
      <c r="L2964" t="s">
        <v>26</v>
      </c>
      <c r="M2964" t="s">
        <v>27</v>
      </c>
      <c r="N2964">
        <v>197.196112979204</v>
      </c>
      <c r="O2964">
        <v>244.02703454340599</v>
      </c>
      <c r="P2964">
        <v>162.07292180605199</v>
      </c>
      <c r="Q2964">
        <v>177.616822175826</v>
      </c>
      <c r="R2964">
        <v>277.61459861692799</v>
      </c>
      <c r="S2964">
        <v>276.84968283746298</v>
      </c>
      <c r="T2964">
        <v>155.82046032976299</v>
      </c>
      <c r="U2964">
        <v>132.75791824490301</v>
      </c>
      <c r="V2964">
        <v>192.741249457668</v>
      </c>
      <c r="W2964">
        <v>166.972059191874</v>
      </c>
    </row>
    <row r="2965" spans="1:23" x14ac:dyDescent="0.2">
      <c r="A2965" t="s">
        <v>5933</v>
      </c>
      <c r="B2965" s="3" t="str">
        <f>HYPERLINK("http://www.ncbi.nlm.nih.gov/gene/67881","Mdp1")</f>
        <v>Mdp1</v>
      </c>
      <c r="C2965">
        <v>67881</v>
      </c>
      <c r="D2965" t="s">
        <v>5934</v>
      </c>
      <c r="E2965" s="3" t="str">
        <f>HYPERLINK("http://genome.ucsc.edu/cgi-bin/hgTracks?db=mm10&amp;lastVirtModeType=default&amp;lastVirtModeExtraState=&amp;virtModeType=default&amp;virtMode=0&amp;nonVirtPosition=&amp;position=chr14:55657878-55660508","chr14:55657878-55660508")</f>
        <v>chr14:55657878-55660508</v>
      </c>
      <c r="F2965" t="s">
        <v>25</v>
      </c>
      <c r="G2965">
        <v>-0.40808049962297999</v>
      </c>
      <c r="H2965">
        <v>0.14866525987562601</v>
      </c>
      <c r="I2965">
        <v>-2.7449620709262099</v>
      </c>
      <c r="J2965">
        <v>6.0517891690356597E-3</v>
      </c>
      <c r="K2965">
        <v>2.7295220196212999E-2</v>
      </c>
      <c r="L2965" t="s">
        <v>26</v>
      </c>
      <c r="M2965" t="s">
        <v>27</v>
      </c>
      <c r="N2965">
        <v>146.267644750877</v>
      </c>
      <c r="O2965">
        <v>171.90589294502001</v>
      </c>
      <c r="P2965">
        <v>127.03895860527</v>
      </c>
      <c r="Q2965">
        <v>160.356253249649</v>
      </c>
      <c r="R2965">
        <v>183.55937941337899</v>
      </c>
      <c r="S2965">
        <v>171.80204617203299</v>
      </c>
      <c r="T2965">
        <v>119.15682260511301</v>
      </c>
      <c r="U2965">
        <v>130.61666149901799</v>
      </c>
      <c r="V2965">
        <v>133.15330592304599</v>
      </c>
      <c r="W2965">
        <v>125.229044393905</v>
      </c>
    </row>
    <row r="2966" spans="1:23" x14ac:dyDescent="0.2">
      <c r="A2966" t="s">
        <v>5935</v>
      </c>
      <c r="B2966" s="3" t="str">
        <f>HYPERLINK("http://www.ncbi.nlm.nih.gov/gene/20911","Stxbp2")</f>
        <v>Stxbp2</v>
      </c>
      <c r="C2966">
        <v>20911</v>
      </c>
      <c r="D2966" t="s">
        <v>5936</v>
      </c>
      <c r="E2966" s="3" t="str">
        <f>HYPERLINK("http://genome.ucsc.edu/cgi-bin/hgTracks?db=mm10&amp;lastVirtModeType=default&amp;lastVirtModeExtraState=&amp;virtModeType=default&amp;virtMode=0&amp;nonVirtPosition=&amp;position=chr8:3631159-3643644","chr8:3631159-3643644")</f>
        <v>chr8:3631159-3643644</v>
      </c>
      <c r="F2966" t="s">
        <v>30</v>
      </c>
      <c r="G2966">
        <v>0.67675376698961198</v>
      </c>
      <c r="H2966">
        <v>0.24658826580788001</v>
      </c>
      <c r="I2966">
        <v>2.7444686581999802</v>
      </c>
      <c r="J2966">
        <v>6.0608941670407899E-3</v>
      </c>
      <c r="K2966">
        <v>2.7327082084459001E-2</v>
      </c>
      <c r="L2966" t="s">
        <v>26</v>
      </c>
      <c r="M2966" t="s">
        <v>27</v>
      </c>
      <c r="N2966">
        <v>45.5770617857983</v>
      </c>
      <c r="O2966">
        <v>31.6817861607617</v>
      </c>
      <c r="P2966">
        <v>55.9985185045756</v>
      </c>
      <c r="Q2966">
        <v>34.521137852354897</v>
      </c>
      <c r="R2966">
        <v>34.132942452900998</v>
      </c>
      <c r="S2966">
        <v>26.3912781770292</v>
      </c>
      <c r="T2966">
        <v>73.327275449300203</v>
      </c>
      <c r="U2966">
        <v>44.966391663596198</v>
      </c>
      <c r="V2966">
        <v>44.874871056937998</v>
      </c>
      <c r="W2966">
        <v>60.825535848468199</v>
      </c>
    </row>
    <row r="2967" spans="1:23" x14ac:dyDescent="0.2">
      <c r="A2967" t="s">
        <v>5937</v>
      </c>
      <c r="B2967" s="3" t="str">
        <f>HYPERLINK("http://www.ncbi.nlm.nih.gov/gene/229541","Dennd4b")</f>
        <v>Dennd4b</v>
      </c>
      <c r="C2967">
        <v>229541</v>
      </c>
      <c r="D2967" t="s">
        <v>5938</v>
      </c>
      <c r="E2967" s="3" t="str">
        <f>HYPERLINK("http://genome.ucsc.edu/cgi-bin/hgTracks?db=mm10&amp;lastVirtModeType=default&amp;lastVirtModeExtraState=&amp;virtModeType=default&amp;virtMode=0&amp;nonVirtPosition=&amp;position=chr3:90266513-90280665","chr3:90266513-90280665")</f>
        <v>chr3:90266513-90280665</v>
      </c>
      <c r="F2967" t="s">
        <v>30</v>
      </c>
      <c r="G2967">
        <v>0.47962726630238001</v>
      </c>
      <c r="H2967">
        <v>0.17477958925388001</v>
      </c>
      <c r="I2967">
        <v>2.7441835076387999</v>
      </c>
      <c r="J2967">
        <v>6.0661617055132499E-3</v>
      </c>
      <c r="K2967">
        <v>2.7333856647470001E-2</v>
      </c>
      <c r="L2967" t="s">
        <v>26</v>
      </c>
      <c r="M2967" t="s">
        <v>27</v>
      </c>
      <c r="N2967">
        <v>199.65504705679399</v>
      </c>
      <c r="O2967">
        <v>158.84495108208901</v>
      </c>
      <c r="P2967">
        <v>230.26261903782299</v>
      </c>
      <c r="Q2967">
        <v>124.721530305282</v>
      </c>
      <c r="R2967">
        <v>174.83651634208201</v>
      </c>
      <c r="S2967">
        <v>176.97680659890199</v>
      </c>
      <c r="T2967">
        <v>256.64546407255102</v>
      </c>
      <c r="U2967">
        <v>259.09206625215</v>
      </c>
      <c r="V2967">
        <v>194.21255670543701</v>
      </c>
      <c r="W2967">
        <v>211.100389121154</v>
      </c>
    </row>
    <row r="2968" spans="1:23" x14ac:dyDescent="0.2">
      <c r="A2968" t="s">
        <v>5939</v>
      </c>
      <c r="B2968" s="3" t="str">
        <f>HYPERLINK("http://www.ncbi.nlm.nih.gov/gene/18408","Slc25a15")</f>
        <v>Slc25a15</v>
      </c>
      <c r="C2968">
        <v>18408</v>
      </c>
      <c r="D2968" t="s">
        <v>5940</v>
      </c>
      <c r="E2968" s="3" t="str">
        <f>HYPERLINK("http://genome.ucsc.edu/cgi-bin/hgTracks?db=mm10&amp;lastVirtModeType=default&amp;lastVirtModeExtraState=&amp;virtModeType=default&amp;virtMode=0&amp;nonVirtPosition=&amp;position=chr8:22375549-22398621","chr8:22375549-22398621")</f>
        <v>chr8:22375549-22398621</v>
      </c>
      <c r="F2968" t="s">
        <v>25</v>
      </c>
      <c r="G2968">
        <v>-0.39610095083319802</v>
      </c>
      <c r="H2968">
        <v>0.144342908901198</v>
      </c>
      <c r="I2968">
        <v>-2.7441663317477301</v>
      </c>
      <c r="J2968">
        <v>6.0664791245075697E-3</v>
      </c>
      <c r="K2968">
        <v>2.7333856647470001E-2</v>
      </c>
      <c r="L2968" t="s">
        <v>26</v>
      </c>
      <c r="M2968" t="s">
        <v>27</v>
      </c>
      <c r="N2968">
        <v>182.72258562754001</v>
      </c>
      <c r="O2968">
        <v>214.59182505065101</v>
      </c>
      <c r="P2968">
        <v>158.82065606020799</v>
      </c>
      <c r="Q2968">
        <v>213.80833766619801</v>
      </c>
      <c r="R2968">
        <v>207.45243913041</v>
      </c>
      <c r="S2968">
        <v>222.51469835534499</v>
      </c>
      <c r="T2968">
        <v>151.237505614182</v>
      </c>
      <c r="U2968">
        <v>154.170485703759</v>
      </c>
      <c r="V2968">
        <v>183.177752347173</v>
      </c>
      <c r="W2968">
        <v>146.69688057571801</v>
      </c>
    </row>
    <row r="2969" spans="1:23" x14ac:dyDescent="0.2">
      <c r="A2969" t="s">
        <v>5941</v>
      </c>
      <c r="B2969" s="3" t="str">
        <f>HYPERLINK("http://www.ncbi.nlm.nih.gov/gene/214763","Mb21d1")</f>
        <v>Mb21d1</v>
      </c>
      <c r="C2969">
        <v>214763</v>
      </c>
      <c r="D2969" t="s">
        <v>5942</v>
      </c>
      <c r="E2969" s="3" t="str">
        <f>HYPERLINK("http://genome.ucsc.edu/cgi-bin/hgTracks?db=mm10&amp;lastVirtModeType=default&amp;lastVirtModeExtraState=&amp;virtModeType=default&amp;virtMode=0&amp;nonVirtPosition=&amp;position=chr9:78430517-78443237","chr9:78430517-78443237")</f>
        <v>chr9:78430517-78443237</v>
      </c>
      <c r="F2969" t="s">
        <v>25</v>
      </c>
      <c r="G2969">
        <v>0.65841810789049005</v>
      </c>
      <c r="H2969">
        <v>0.24008379921227599</v>
      </c>
      <c r="I2969">
        <v>2.7424512193275201</v>
      </c>
      <c r="J2969">
        <v>6.0982506936201903E-3</v>
      </c>
      <c r="K2969">
        <v>2.7467768260433199E-2</v>
      </c>
      <c r="L2969" t="s">
        <v>26</v>
      </c>
      <c r="M2969" t="s">
        <v>27</v>
      </c>
      <c r="N2969">
        <v>44.3299422462335</v>
      </c>
      <c r="O2969">
        <v>32.060721321006604</v>
      </c>
      <c r="P2969">
        <v>53.5318579401536</v>
      </c>
      <c r="Q2969">
        <v>26.726042208274801</v>
      </c>
      <c r="R2969">
        <v>39.442511278907801</v>
      </c>
      <c r="S2969">
        <v>30.013610475837201</v>
      </c>
      <c r="T2969">
        <v>50.4125018713939</v>
      </c>
      <c r="U2969">
        <v>57.8139321389095</v>
      </c>
      <c r="V2969">
        <v>52.231407295780301</v>
      </c>
      <c r="W2969">
        <v>53.669590454530798</v>
      </c>
    </row>
    <row r="2970" spans="1:23" x14ac:dyDescent="0.2">
      <c r="A2970" t="s">
        <v>5943</v>
      </c>
      <c r="B2970" s="3" t="str">
        <f>HYPERLINK("http://www.ncbi.nlm.nih.gov/gene/14799","Gria1")</f>
        <v>Gria1</v>
      </c>
      <c r="C2970">
        <v>14799</v>
      </c>
      <c r="D2970" t="s">
        <v>5944</v>
      </c>
      <c r="E2970" s="3" t="str">
        <f>HYPERLINK("http://genome.ucsc.edu/cgi-bin/hgTracks?db=mm10&amp;lastVirtModeType=default&amp;lastVirtModeExtraState=&amp;virtModeType=default&amp;virtMode=0&amp;nonVirtPosition=&amp;position=chr11:57011617-57330244","chr11:57011617-57330244")</f>
        <v>chr11:57011617-57330244</v>
      </c>
      <c r="F2970" t="s">
        <v>30</v>
      </c>
      <c r="G2970">
        <v>-1.0938993896618201</v>
      </c>
      <c r="H2970">
        <v>0.39898321800120401</v>
      </c>
      <c r="I2970">
        <v>-2.7417177974100202</v>
      </c>
      <c r="J2970">
        <v>6.1118826423344104E-3</v>
      </c>
      <c r="K2970">
        <v>2.7519912731506401E-2</v>
      </c>
      <c r="L2970" t="s">
        <v>26</v>
      </c>
      <c r="M2970" t="s">
        <v>27</v>
      </c>
      <c r="N2970">
        <v>172.591200701361</v>
      </c>
      <c r="O2970">
        <v>303.756345144855</v>
      </c>
      <c r="P2970">
        <v>74.217342368740404</v>
      </c>
      <c r="Q2970">
        <v>298.99759720507399</v>
      </c>
      <c r="R2970">
        <v>527.92284327153595</v>
      </c>
      <c r="S2970">
        <v>84.348594957956195</v>
      </c>
      <c r="T2970">
        <v>41.246592440231403</v>
      </c>
      <c r="U2970">
        <v>89.932783327192496</v>
      </c>
      <c r="V2970">
        <v>40.460949313632703</v>
      </c>
      <c r="W2970">
        <v>125.229044393905</v>
      </c>
    </row>
    <row r="2971" spans="1:23" x14ac:dyDescent="0.2">
      <c r="A2971" t="s">
        <v>5945</v>
      </c>
      <c r="B2971" s="3" t="str">
        <f>HYPERLINK("http://www.ncbi.nlm.nih.gov/gene/622320","Kctd21")</f>
        <v>Kctd21</v>
      </c>
      <c r="C2971">
        <v>622320</v>
      </c>
      <c r="D2971" t="s">
        <v>5946</v>
      </c>
      <c r="E2971" s="3" t="str">
        <f>HYPERLINK("http://genome.ucsc.edu/cgi-bin/hgTracks?db=mm10&amp;lastVirtModeType=default&amp;lastVirtModeExtraState=&amp;virtModeType=default&amp;virtMode=0&amp;nonVirtPosition=&amp;position=chr7:97332322-97350216","chr7:97332322-97350216")</f>
        <v>chr7:97332322-97350216</v>
      </c>
      <c r="F2971" t="s">
        <v>30</v>
      </c>
      <c r="G2971">
        <v>-0.914292951868099</v>
      </c>
      <c r="H2971">
        <v>0.33352623379671997</v>
      </c>
      <c r="I2971">
        <v>-2.7412924658434799</v>
      </c>
      <c r="J2971">
        <v>6.1198007522033698E-3</v>
      </c>
      <c r="K2971">
        <v>2.7546303150506001E-2</v>
      </c>
      <c r="L2971" t="s">
        <v>26</v>
      </c>
      <c r="M2971" t="s">
        <v>27</v>
      </c>
      <c r="N2971">
        <v>43.242741363619302</v>
      </c>
      <c r="O2971">
        <v>62.520697042468697</v>
      </c>
      <c r="P2971">
        <v>28.784274604482299</v>
      </c>
      <c r="Q2971">
        <v>109.688131563128</v>
      </c>
      <c r="R2971">
        <v>39.063256362764498</v>
      </c>
      <c r="S2971">
        <v>38.810703201513597</v>
      </c>
      <c r="T2971">
        <v>41.246592440231403</v>
      </c>
      <c r="U2971">
        <v>23.553824204740899</v>
      </c>
      <c r="V2971">
        <v>26.483530459832298</v>
      </c>
      <c r="W2971">
        <v>23.853151313124801</v>
      </c>
    </row>
    <row r="2972" spans="1:23" x14ac:dyDescent="0.2">
      <c r="A2972" t="s">
        <v>5947</v>
      </c>
      <c r="B2972" s="3" t="str">
        <f>HYPERLINK("http://www.ncbi.nlm.nih.gov/gene/19241","Tmsb4x")</f>
        <v>Tmsb4x</v>
      </c>
      <c r="C2972">
        <v>19241</v>
      </c>
      <c r="D2972" t="s">
        <v>5948</v>
      </c>
      <c r="E2972" s="3" t="str">
        <f>HYPERLINK("http://genome.ucsc.edu/cgi-bin/hgTracks?db=mm10&amp;lastVirtModeType=default&amp;lastVirtModeExtraState=&amp;virtModeType=default&amp;virtMode=0&amp;nonVirtPosition=&amp;position=chrX:167207093-167209218","chrX:167207093-167209218")</f>
        <v>chrX:167207093-167209218</v>
      </c>
      <c r="F2972" t="s">
        <v>25</v>
      </c>
      <c r="G2972">
        <v>-0.473898427985812</v>
      </c>
      <c r="H2972">
        <v>0.172893924020361</v>
      </c>
      <c r="I2972">
        <v>-2.7409779185184302</v>
      </c>
      <c r="J2972">
        <v>6.1256624081312602E-3</v>
      </c>
      <c r="K2972">
        <v>2.7563422482286899E-2</v>
      </c>
      <c r="L2972" t="s">
        <v>26</v>
      </c>
      <c r="M2972" t="s">
        <v>27</v>
      </c>
      <c r="N2972">
        <v>2209.3665630806299</v>
      </c>
      <c r="O2972">
        <v>2649.6589814788399</v>
      </c>
      <c r="P2972">
        <v>1879.1472492819601</v>
      </c>
      <c r="Q2972">
        <v>3193.2052513428298</v>
      </c>
      <c r="R2972">
        <v>2309.66243931297</v>
      </c>
      <c r="S2972">
        <v>2446.1092537807299</v>
      </c>
      <c r="T2972">
        <v>2259.3966747815598</v>
      </c>
      <c r="U2972">
        <v>1423.9357360138799</v>
      </c>
      <c r="V2972">
        <v>1996.5639352218</v>
      </c>
      <c r="W2972">
        <v>1836.6926511106101</v>
      </c>
    </row>
    <row r="2973" spans="1:23" x14ac:dyDescent="0.2">
      <c r="A2973" t="s">
        <v>5949</v>
      </c>
      <c r="B2973" s="3" t="str">
        <f>HYPERLINK("http://www.ncbi.nlm.nih.gov/gene/216345","Zfc3h1")</f>
        <v>Zfc3h1</v>
      </c>
      <c r="C2973">
        <v>216345</v>
      </c>
      <c r="D2973" t="s">
        <v>5950</v>
      </c>
      <c r="E2973" s="3" t="str">
        <f>HYPERLINK("http://genome.ucsc.edu/cgi-bin/hgTracks?db=mm10&amp;lastVirtModeType=default&amp;lastVirtModeExtraState=&amp;virtModeType=default&amp;virtMode=0&amp;nonVirtPosition=&amp;position=chr10:115384958-115432771","chr10:115384958-115432771")</f>
        <v>chr10:115384958-115432771</v>
      </c>
      <c r="F2973" t="s">
        <v>30</v>
      </c>
      <c r="G2973">
        <v>0.40203800937981998</v>
      </c>
      <c r="H2973">
        <v>0.146702991944131</v>
      </c>
      <c r="I2973">
        <v>2.74048950230633</v>
      </c>
      <c r="J2973">
        <v>6.1347741692746203E-3</v>
      </c>
      <c r="K2973">
        <v>2.7591052557169302E-2</v>
      </c>
      <c r="L2973" t="s">
        <v>26</v>
      </c>
      <c r="M2973" t="s">
        <v>27</v>
      </c>
      <c r="N2973">
        <v>506.85853326155598</v>
      </c>
      <c r="O2973">
        <v>425.86330788964602</v>
      </c>
      <c r="P2973">
        <v>567.604952290489</v>
      </c>
      <c r="Q2973">
        <v>443.763659166563</v>
      </c>
      <c r="R2973">
        <v>402.76872094423197</v>
      </c>
      <c r="S2973">
        <v>431.057543558144</v>
      </c>
      <c r="T2973">
        <v>604.95002245672697</v>
      </c>
      <c r="U2973">
        <v>430.39260592299303</v>
      </c>
      <c r="V2973">
        <v>567.18894401474097</v>
      </c>
      <c r="W2973">
        <v>667.88823676749405</v>
      </c>
    </row>
    <row r="2974" spans="1:23" x14ac:dyDescent="0.2">
      <c r="A2974" t="s">
        <v>5951</v>
      </c>
      <c r="B2974" s="3" t="str">
        <f>HYPERLINK("http://www.ncbi.nlm.nih.gov/gene/319953","Ttll1")</f>
        <v>Ttll1</v>
      </c>
      <c r="C2974">
        <v>319953</v>
      </c>
      <c r="D2974" t="s">
        <v>5952</v>
      </c>
      <c r="E2974" s="3" t="str">
        <f>HYPERLINK("http://genome.ucsc.edu/cgi-bin/hgTracks?db=mm10&amp;lastVirtModeType=default&amp;lastVirtModeExtraState=&amp;virtModeType=default&amp;virtMode=0&amp;nonVirtPosition=&amp;position=chr15:83483768-83510907","chr15:83483768-83510907")</f>
        <v>chr15:83483768-83510907</v>
      </c>
      <c r="F2974" t="s">
        <v>25</v>
      </c>
      <c r="G2974">
        <v>-0.49950147138546802</v>
      </c>
      <c r="H2974">
        <v>0.18227134017486499</v>
      </c>
      <c r="I2974">
        <v>-2.7404279296254899</v>
      </c>
      <c r="J2974">
        <v>6.1359237185609899E-3</v>
      </c>
      <c r="K2974">
        <v>2.7591052557169302E-2</v>
      </c>
      <c r="L2974" t="s">
        <v>26</v>
      </c>
      <c r="M2974" t="s">
        <v>27</v>
      </c>
      <c r="N2974">
        <v>103.231299034782</v>
      </c>
      <c r="O2974">
        <v>127.455535433289</v>
      </c>
      <c r="P2974">
        <v>85.063121735901802</v>
      </c>
      <c r="Q2974">
        <v>135.30058867939101</v>
      </c>
      <c r="R2974">
        <v>134.25624031474399</v>
      </c>
      <c r="S2974">
        <v>112.80977730573299</v>
      </c>
      <c r="T2974">
        <v>59.578411302556397</v>
      </c>
      <c r="U2974">
        <v>100.63906705661999</v>
      </c>
      <c r="V2974">
        <v>94.163663857181504</v>
      </c>
      <c r="W2974">
        <v>85.871344727249294</v>
      </c>
    </row>
    <row r="2975" spans="1:23" x14ac:dyDescent="0.2">
      <c r="A2975" t="s">
        <v>5953</v>
      </c>
      <c r="B2975" s="3" t="str">
        <f>HYPERLINK("http://www.ncbi.nlm.nih.gov/gene/319594","Hif1an")</f>
        <v>Hif1an</v>
      </c>
      <c r="C2975">
        <v>319594</v>
      </c>
      <c r="D2975" t="s">
        <v>5954</v>
      </c>
      <c r="E2975" s="3" t="str">
        <f>HYPERLINK("http://genome.ucsc.edu/cgi-bin/hgTracks?db=mm10&amp;lastVirtModeType=default&amp;lastVirtModeExtraState=&amp;virtModeType=default&amp;virtMode=0&amp;nonVirtPosition=&amp;position=chr19:44562853-44576274","chr19:44562853-44576274")</f>
        <v>chr19:44562853-44576274</v>
      </c>
      <c r="F2975" t="s">
        <v>30</v>
      </c>
      <c r="G2975">
        <v>0.46790785597032097</v>
      </c>
      <c r="H2975">
        <v>0.170755307638744</v>
      </c>
      <c r="I2975">
        <v>2.7402243739342098</v>
      </c>
      <c r="J2975">
        <v>6.1397254423181599E-3</v>
      </c>
      <c r="K2975">
        <v>2.75988799590744E-2</v>
      </c>
      <c r="L2975" t="s">
        <v>26</v>
      </c>
      <c r="M2975" t="s">
        <v>27</v>
      </c>
      <c r="N2975">
        <v>263.46026473824202</v>
      </c>
      <c r="O2975">
        <v>214.458002327136</v>
      </c>
      <c r="P2975">
        <v>300.21196154657099</v>
      </c>
      <c r="Q2975">
        <v>189.30946564194701</v>
      </c>
      <c r="R2975">
        <v>178.249810587372</v>
      </c>
      <c r="S2975">
        <v>275.81473075208999</v>
      </c>
      <c r="T2975">
        <v>279.560237650457</v>
      </c>
      <c r="U2975">
        <v>329.75353886637203</v>
      </c>
      <c r="V2975">
        <v>305.296253911956</v>
      </c>
      <c r="W2975">
        <v>286.23781575749803</v>
      </c>
    </row>
    <row r="2976" spans="1:23" x14ac:dyDescent="0.2">
      <c r="A2976" t="s">
        <v>5955</v>
      </c>
      <c r="B2976" s="3" t="str">
        <f>HYPERLINK("http://www.ncbi.nlm.nih.gov/gene/68634","Tm2d3")</f>
        <v>Tm2d3</v>
      </c>
      <c r="C2976">
        <v>68634</v>
      </c>
      <c r="D2976" t="s">
        <v>5956</v>
      </c>
      <c r="E2976" s="3" t="str">
        <f>HYPERLINK("http://genome.ucsc.edu/cgi-bin/hgTracks?db=mm10&amp;lastVirtModeType=default&amp;lastVirtModeExtraState=&amp;virtModeType=default&amp;virtMode=0&amp;nonVirtPosition=&amp;position=chr7:65693416-65701913","chr7:65693416-65701913")</f>
        <v>chr7:65693416-65701913</v>
      </c>
      <c r="F2976" t="s">
        <v>30</v>
      </c>
      <c r="G2976">
        <v>-0.56946040937213405</v>
      </c>
      <c r="H2976">
        <v>0.207836874203155</v>
      </c>
      <c r="I2976">
        <v>-2.7399392507005298</v>
      </c>
      <c r="J2976">
        <v>6.1450541352843302E-3</v>
      </c>
      <c r="K2976">
        <v>2.7613563733420301E-2</v>
      </c>
      <c r="L2976" t="s">
        <v>26</v>
      </c>
      <c r="M2976" t="s">
        <v>27</v>
      </c>
      <c r="N2976">
        <v>72.506796555603799</v>
      </c>
      <c r="O2976">
        <v>89.280507093385097</v>
      </c>
      <c r="P2976">
        <v>59.9265136522679</v>
      </c>
      <c r="Q2976">
        <v>101.336243373042</v>
      </c>
      <c r="R2976">
        <v>88.366395461399307</v>
      </c>
      <c r="S2976">
        <v>78.138882445714003</v>
      </c>
      <c r="T2976">
        <v>64.161366018137699</v>
      </c>
      <c r="U2976">
        <v>64.237702376566105</v>
      </c>
      <c r="V2976">
        <v>49.288792800243399</v>
      </c>
      <c r="W2976">
        <v>62.018193414124497</v>
      </c>
    </row>
    <row r="2977" spans="1:23" x14ac:dyDescent="0.2">
      <c r="A2977" t="s">
        <v>5957</v>
      </c>
      <c r="B2977" s="3" t="str">
        <f>HYPERLINK("http://www.ncbi.nlm.nih.gov/gene/14960","H2-Aa")</f>
        <v>H2-Aa</v>
      </c>
      <c r="C2977">
        <v>14960</v>
      </c>
      <c r="D2977" t="s">
        <v>5958</v>
      </c>
      <c r="E2977" s="3" t="str">
        <f>HYPERLINK("http://genome.ucsc.edu/cgi-bin/hgTracks?db=mm10&amp;lastVirtModeType=default&amp;lastVirtModeExtraState=&amp;virtModeType=default&amp;virtMode=0&amp;nonVirtPosition=&amp;position=chr17:34282750-34287771","chr17:34282750-34287771")</f>
        <v>chr17:34282750-34287771</v>
      </c>
      <c r="F2977" t="s">
        <v>25</v>
      </c>
      <c r="G2977">
        <v>1.08066648390804</v>
      </c>
      <c r="H2977">
        <v>0.39450191984850103</v>
      </c>
      <c r="I2977">
        <v>2.73931869412205</v>
      </c>
      <c r="J2977">
        <v>6.1566661705256698E-3</v>
      </c>
      <c r="K2977">
        <v>2.7656463163203301E-2</v>
      </c>
      <c r="L2977" t="s">
        <v>26</v>
      </c>
      <c r="M2977" t="s">
        <v>27</v>
      </c>
      <c r="N2977">
        <v>360.61345636043097</v>
      </c>
      <c r="O2977">
        <v>74.760107321030901</v>
      </c>
      <c r="P2977">
        <v>575.00346813997999</v>
      </c>
      <c r="Q2977">
        <v>162.02663088766599</v>
      </c>
      <c r="R2977">
        <v>26.5478441300341</v>
      </c>
      <c r="S2977">
        <v>35.705846945392501</v>
      </c>
      <c r="T2977">
        <v>1278.6443656471699</v>
      </c>
      <c r="U2977">
        <v>143.46420197433099</v>
      </c>
      <c r="V2977">
        <v>362.67723657492502</v>
      </c>
      <c r="W2977">
        <v>515.22806836349605</v>
      </c>
    </row>
    <row r="2978" spans="1:23" x14ac:dyDescent="0.2">
      <c r="A2978" t="s">
        <v>5959</v>
      </c>
      <c r="B2978" s="3" t="str">
        <f>HYPERLINK("http://www.ncbi.nlm.nih.gov/gene/110596","Arhgef28")</f>
        <v>Arhgef28</v>
      </c>
      <c r="C2978">
        <v>110596</v>
      </c>
      <c r="D2978" t="s">
        <v>5960</v>
      </c>
      <c r="E2978" s="3" t="str">
        <f>HYPERLINK("http://genome.ucsc.edu/cgi-bin/hgTracks?db=mm10&amp;lastVirtModeType=default&amp;lastVirtModeExtraState=&amp;virtModeType=default&amp;virtMode=0&amp;nonVirtPosition=&amp;position=chr13:97898594-98206165","chr13:97898594-98206165")</f>
        <v>chr13:97898594-98206165</v>
      </c>
      <c r="F2978" t="s">
        <v>25</v>
      </c>
      <c r="G2978">
        <v>-0.61115472956098105</v>
      </c>
      <c r="H2978">
        <v>0.22317932399755899</v>
      </c>
      <c r="I2978">
        <v>-2.7384021002217298</v>
      </c>
      <c r="J2978">
        <v>6.1738538918899499E-3</v>
      </c>
      <c r="K2978">
        <v>2.7724372054425999E-2</v>
      </c>
      <c r="L2978" t="s">
        <v>26</v>
      </c>
      <c r="M2978" t="s">
        <v>27</v>
      </c>
      <c r="N2978">
        <v>87.3858129770327</v>
      </c>
      <c r="O2978">
        <v>110.83693684844199</v>
      </c>
      <c r="P2978">
        <v>69.797470073475594</v>
      </c>
      <c r="Q2978">
        <v>147.550024691517</v>
      </c>
      <c r="R2978">
        <v>90.262670042116</v>
      </c>
      <c r="S2978">
        <v>94.6981158116931</v>
      </c>
      <c r="T2978">
        <v>73.327275449300203</v>
      </c>
      <c r="U2978">
        <v>64.237702376566105</v>
      </c>
      <c r="V2978">
        <v>67.680133397349195</v>
      </c>
      <c r="W2978">
        <v>73.944769070686903</v>
      </c>
    </row>
    <row r="2979" spans="1:23" x14ac:dyDescent="0.2">
      <c r="A2979" t="s">
        <v>5961</v>
      </c>
      <c r="B2979" s="3" t="str">
        <f>HYPERLINK("http://www.ncbi.nlm.nih.gov/gene/231668","Vsig10")</f>
        <v>Vsig10</v>
      </c>
      <c r="C2979">
        <v>231668</v>
      </c>
      <c r="D2979" t="s">
        <v>5962</v>
      </c>
      <c r="E2979" s="3" t="str">
        <f>HYPERLINK("http://genome.ucsc.edu/cgi-bin/hgTracks?db=mm10&amp;lastVirtModeType=default&amp;lastVirtModeExtraState=&amp;virtModeType=default&amp;virtMode=0&amp;nonVirtPosition=&amp;position=chr5:117319265-117355006","chr5:117319265-117355006")</f>
        <v>chr5:117319265-117355006</v>
      </c>
      <c r="F2979" t="s">
        <v>30</v>
      </c>
      <c r="G2979">
        <v>0.61184884426300701</v>
      </c>
      <c r="H2979">
        <v>0.22344527960351701</v>
      </c>
      <c r="I2979">
        <v>2.73824913799332</v>
      </c>
      <c r="J2979">
        <v>6.1767264014916199E-3</v>
      </c>
      <c r="K2979">
        <v>2.7727972927379899E-2</v>
      </c>
      <c r="L2979" t="s">
        <v>26</v>
      </c>
      <c r="M2979" t="s">
        <v>27</v>
      </c>
      <c r="N2979">
        <v>89.691923552567303</v>
      </c>
      <c r="O2979">
        <v>65.956472558245906</v>
      </c>
      <c r="P2979">
        <v>107.49351179830801</v>
      </c>
      <c r="Q2979">
        <v>85.746052084881697</v>
      </c>
      <c r="R2979">
        <v>51.578668595494896</v>
      </c>
      <c r="S2979">
        <v>60.544696994361203</v>
      </c>
      <c r="T2979">
        <v>123.739777320694</v>
      </c>
      <c r="U2979">
        <v>124.192891261361</v>
      </c>
      <c r="V2979">
        <v>89.014088489991806</v>
      </c>
      <c r="W2979">
        <v>93.027290121186695</v>
      </c>
    </row>
    <row r="2980" spans="1:23" x14ac:dyDescent="0.2">
      <c r="A2980" t="s">
        <v>5963</v>
      </c>
      <c r="B2980" s="3" t="str">
        <f>HYPERLINK("http://www.ncbi.nlm.nih.gov/gene/70472","Atad2")</f>
        <v>Atad2</v>
      </c>
      <c r="C2980">
        <v>70472</v>
      </c>
      <c r="D2980" t="s">
        <v>5964</v>
      </c>
      <c r="E2980" s="3" t="str">
        <f>HYPERLINK("http://genome.ucsc.edu/cgi-bin/hgTracks?db=mm10&amp;lastVirtModeType=default&amp;lastVirtModeExtraState=&amp;virtModeType=default&amp;virtMode=0&amp;nonVirtPosition=&amp;position=chr15:58094046-58135082","chr15:58094046-58135082")</f>
        <v>chr15:58094046-58135082</v>
      </c>
      <c r="F2980" t="s">
        <v>25</v>
      </c>
      <c r="G2980">
        <v>0.63489638704142903</v>
      </c>
      <c r="H2980">
        <v>0.23192170316521801</v>
      </c>
      <c r="I2980">
        <v>2.73754624244518</v>
      </c>
      <c r="J2980">
        <v>6.1899417008486404E-3</v>
      </c>
      <c r="K2980">
        <v>2.7777985695731901E-2</v>
      </c>
      <c r="L2980" t="s">
        <v>26</v>
      </c>
      <c r="M2980" t="s">
        <v>27</v>
      </c>
      <c r="N2980">
        <v>533.84289774808406</v>
      </c>
      <c r="O2980">
        <v>392.09734361437899</v>
      </c>
      <c r="P2980">
        <v>640.15206334836205</v>
      </c>
      <c r="Q2980">
        <v>213.80833766619801</v>
      </c>
      <c r="R2980">
        <v>438.79793797784998</v>
      </c>
      <c r="S2980">
        <v>523.68575519908995</v>
      </c>
      <c r="T2980">
        <v>728.68979977742094</v>
      </c>
      <c r="U2980">
        <v>698.04969915868401</v>
      </c>
      <c r="V2980">
        <v>520.842765710035</v>
      </c>
      <c r="W2980">
        <v>613.025988747307</v>
      </c>
    </row>
    <row r="2981" spans="1:23" x14ac:dyDescent="0.2">
      <c r="A2981" t="s">
        <v>5965</v>
      </c>
      <c r="B2981" s="3" t="str">
        <f>HYPERLINK("http://www.ncbi.nlm.nih.gov/gene/216850","Kdm6b")</f>
        <v>Kdm6b</v>
      </c>
      <c r="C2981">
        <v>216850</v>
      </c>
      <c r="D2981" t="s">
        <v>5966</v>
      </c>
      <c r="E2981" s="3" t="str">
        <f>HYPERLINK("http://genome.ucsc.edu/cgi-bin/hgTracks?db=mm10&amp;lastVirtModeType=default&amp;lastVirtModeExtraState=&amp;virtModeType=default&amp;virtMode=0&amp;nonVirtPosition=&amp;position=chr11:69398517-69413675","chr11:69398517-69413675")</f>
        <v>chr11:69398517-69413675</v>
      </c>
      <c r="F2981" t="s">
        <v>25</v>
      </c>
      <c r="G2981">
        <v>0.93852264387610096</v>
      </c>
      <c r="H2981">
        <v>0.34287784995842102</v>
      </c>
      <c r="I2981">
        <v>2.73719239662146</v>
      </c>
      <c r="J2981">
        <v>6.1966040661878804E-3</v>
      </c>
      <c r="K2981">
        <v>2.7798567856054199E-2</v>
      </c>
      <c r="L2981" t="s">
        <v>26</v>
      </c>
      <c r="M2981" t="s">
        <v>27</v>
      </c>
      <c r="N2981">
        <v>477.08405258459402</v>
      </c>
      <c r="O2981">
        <v>267.82895400887298</v>
      </c>
      <c r="P2981">
        <v>634.02537651638499</v>
      </c>
      <c r="Q2981">
        <v>153.67474269758</v>
      </c>
      <c r="R2981">
        <v>172.18173192907801</v>
      </c>
      <c r="S2981">
        <v>477.63038739996</v>
      </c>
      <c r="T2981">
        <v>586.61820359440196</v>
      </c>
      <c r="U2981">
        <v>728.02729360108196</v>
      </c>
      <c r="V2981">
        <v>627.512541173248</v>
      </c>
      <c r="W2981">
        <v>593.94346769680703</v>
      </c>
    </row>
    <row r="2982" spans="1:23" x14ac:dyDescent="0.2">
      <c r="A2982" t="s">
        <v>5967</v>
      </c>
      <c r="B2982" s="3" t="str">
        <f>HYPERLINK("http://www.ncbi.nlm.nih.gov/gene/216965","Taok1")</f>
        <v>Taok1</v>
      </c>
      <c r="C2982">
        <v>216965</v>
      </c>
      <c r="D2982" t="s">
        <v>5968</v>
      </c>
      <c r="E2982" s="3" t="str">
        <f>HYPERLINK("http://genome.ucsc.edu/cgi-bin/hgTracks?db=mm10&amp;lastVirtModeType=default&amp;lastVirtModeExtraState=&amp;virtModeType=default&amp;virtMode=0&amp;nonVirtPosition=&amp;position=chr11:77529161-77607815","chr11:77529161-77607815")</f>
        <v>chr11:77529161-77607815</v>
      </c>
      <c r="F2982" t="s">
        <v>25</v>
      </c>
      <c r="G2982">
        <v>-0.330516648026</v>
      </c>
      <c r="H2982">
        <v>0.120774232549785</v>
      </c>
      <c r="I2982">
        <v>-2.7366487126279799</v>
      </c>
      <c r="J2982">
        <v>6.2068533706902997E-3</v>
      </c>
      <c r="K2982">
        <v>2.7835222199234299E-2</v>
      </c>
      <c r="L2982" t="s">
        <v>26</v>
      </c>
      <c r="M2982" t="s">
        <v>27</v>
      </c>
      <c r="N2982">
        <v>2365.3063916382098</v>
      </c>
      <c r="O2982">
        <v>2686.9592394224801</v>
      </c>
      <c r="P2982">
        <v>2124.06675580001</v>
      </c>
      <c r="Q2982">
        <v>2895.8780317757801</v>
      </c>
      <c r="R2982">
        <v>2468.9495040931702</v>
      </c>
      <c r="S2982">
        <v>2696.05018239848</v>
      </c>
      <c r="T2982">
        <v>2213.5671276257499</v>
      </c>
      <c r="U2982">
        <v>1839.3395447156699</v>
      </c>
      <c r="V2982">
        <v>2318.0445688592099</v>
      </c>
      <c r="W2982">
        <v>2125.3157819994199</v>
      </c>
    </row>
    <row r="2983" spans="1:23" x14ac:dyDescent="0.2">
      <c r="A2983" t="s">
        <v>5969</v>
      </c>
      <c r="B2983" s="3" t="str">
        <f>HYPERLINK("http://www.ncbi.nlm.nih.gov/gene/58248","1700123O20Rik")</f>
        <v>1700123O20Rik</v>
      </c>
      <c r="C2983">
        <v>58248</v>
      </c>
      <c r="D2983" t="s">
        <v>5970</v>
      </c>
      <c r="E2983" s="3" t="str">
        <f>HYPERLINK("http://genome.ucsc.edu/cgi-bin/hgTracks?db=mm10&amp;lastVirtModeType=default&amp;lastVirtModeExtraState=&amp;virtModeType=default&amp;virtMode=0&amp;nonVirtPosition=&amp;position=chr14:54686170-54690742","chr14:54686170-54690742")</f>
        <v>chr14:54686170-54690742</v>
      </c>
      <c r="F2983" t="s">
        <v>30</v>
      </c>
      <c r="G2983">
        <v>-0.51279749754022996</v>
      </c>
      <c r="H2983">
        <v>0.18739053350906601</v>
      </c>
      <c r="I2983">
        <v>-2.7365176241169098</v>
      </c>
      <c r="J2983">
        <v>6.2093268794308999E-3</v>
      </c>
      <c r="K2983">
        <v>2.7836992381138001E-2</v>
      </c>
      <c r="L2983" t="s">
        <v>26</v>
      </c>
      <c r="M2983" t="s">
        <v>27</v>
      </c>
      <c r="N2983">
        <v>89.394922756042902</v>
      </c>
      <c r="O2983">
        <v>110.545292250752</v>
      </c>
      <c r="P2983">
        <v>73.532145635011304</v>
      </c>
      <c r="Q2983">
        <v>123.60794521327099</v>
      </c>
      <c r="R2983">
        <v>110.742435513857</v>
      </c>
      <c r="S2983">
        <v>97.285496025127401</v>
      </c>
      <c r="T2983">
        <v>59.578411302556397</v>
      </c>
      <c r="U2983">
        <v>79.2264995977648</v>
      </c>
      <c r="V2983">
        <v>80.186245003381103</v>
      </c>
      <c r="W2983">
        <v>75.137426636343093</v>
      </c>
    </row>
    <row r="2984" spans="1:23" x14ac:dyDescent="0.2">
      <c r="A2984" t="s">
        <v>5971</v>
      </c>
      <c r="B2984" s="3" t="str">
        <f>HYPERLINK("http://www.ncbi.nlm.nih.gov/gene/15108","Hsd17b10")</f>
        <v>Hsd17b10</v>
      </c>
      <c r="C2984">
        <v>15108</v>
      </c>
      <c r="D2984" t="s">
        <v>5972</v>
      </c>
      <c r="E2984" s="3" t="str">
        <f>HYPERLINK("http://genome.ucsc.edu/cgi-bin/hgTracks?db=mm10&amp;lastVirtModeType=default&amp;lastVirtModeExtraState=&amp;virtModeType=default&amp;virtMode=0&amp;nonVirtPosition=&amp;position=chrX:152001895-152004442","chrX:152001895-152004442")</f>
        <v>chrX:152001895-152004442</v>
      </c>
      <c r="F2984" t="s">
        <v>30</v>
      </c>
      <c r="G2984">
        <v>-0.52962220451837605</v>
      </c>
      <c r="H2984">
        <v>0.19362579854235001</v>
      </c>
      <c r="I2984">
        <v>-2.7352873868330998</v>
      </c>
      <c r="J2984">
        <v>6.23258350681091E-3</v>
      </c>
      <c r="K2984">
        <v>2.7931902858000301E-2</v>
      </c>
      <c r="L2984" t="s">
        <v>26</v>
      </c>
      <c r="M2984" t="s">
        <v>27</v>
      </c>
      <c r="N2984">
        <v>89.426213157728398</v>
      </c>
      <c r="O2984">
        <v>108.163052503389</v>
      </c>
      <c r="P2984">
        <v>75.373583648482594</v>
      </c>
      <c r="Q2984">
        <v>115.25605702318499</v>
      </c>
      <c r="R2984">
        <v>114.53498467529</v>
      </c>
      <c r="S2984">
        <v>94.6981158116931</v>
      </c>
      <c r="T2984">
        <v>82.493184880462707</v>
      </c>
      <c r="U2984">
        <v>79.2264995977648</v>
      </c>
      <c r="V2984">
        <v>61.059250782391103</v>
      </c>
      <c r="W2984">
        <v>78.715399333311794</v>
      </c>
    </row>
    <row r="2985" spans="1:23" x14ac:dyDescent="0.2">
      <c r="A2985" t="s">
        <v>5973</v>
      </c>
      <c r="B2985" s="3" t="str">
        <f>HYPERLINK("http://www.ncbi.nlm.nih.gov/gene/20415","Shbg")</f>
        <v>Shbg</v>
      </c>
      <c r="C2985">
        <v>20415</v>
      </c>
      <c r="D2985" t="s">
        <v>5974</v>
      </c>
      <c r="E2985" s="3" t="str">
        <f>HYPERLINK("http://genome.ucsc.edu/cgi-bin/hgTracks?db=mm10&amp;lastVirtModeType=default&amp;lastVirtModeExtraState=&amp;virtModeType=default&amp;virtMode=0&amp;nonVirtPosition=&amp;position=chr11:69614815-69617905","chr11:69614815-69617905")</f>
        <v>chr11:69614815-69617905</v>
      </c>
      <c r="F2985" t="s">
        <v>25</v>
      </c>
      <c r="G2985">
        <v>1.00298036718267</v>
      </c>
      <c r="H2985">
        <v>0.36677652297938301</v>
      </c>
      <c r="I2985">
        <v>2.73458169851031</v>
      </c>
      <c r="J2985">
        <v>6.2459593318539199E-3</v>
      </c>
      <c r="K2985">
        <v>2.79824829082823E-2</v>
      </c>
      <c r="L2985" t="s">
        <v>26</v>
      </c>
      <c r="M2985" t="s">
        <v>27</v>
      </c>
      <c r="N2985">
        <v>10.2529752304239</v>
      </c>
      <c r="O2985">
        <v>5.29026968107949</v>
      </c>
      <c r="P2985">
        <v>13.975004392432201</v>
      </c>
      <c r="Q2985">
        <v>4.4543403680458002</v>
      </c>
      <c r="R2985">
        <v>4.1718040775767902</v>
      </c>
      <c r="S2985">
        <v>7.2446645976158699</v>
      </c>
      <c r="T2985">
        <v>13.7488641467438</v>
      </c>
      <c r="U2985">
        <v>12.847540475313201</v>
      </c>
      <c r="V2985">
        <v>16.184379725453098</v>
      </c>
      <c r="W2985">
        <v>13.1192332222186</v>
      </c>
    </row>
    <row r="2986" spans="1:23" x14ac:dyDescent="0.2">
      <c r="A2986" t="s">
        <v>5975</v>
      </c>
      <c r="B2986" s="3" t="str">
        <f>HYPERLINK("http://www.ncbi.nlm.nih.gov/gene/72043","Sulf2")</f>
        <v>Sulf2</v>
      </c>
      <c r="C2986">
        <v>72043</v>
      </c>
      <c r="D2986" t="s">
        <v>5976</v>
      </c>
      <c r="E2986" s="3" t="str">
        <f>HYPERLINK("http://genome.ucsc.edu/cgi-bin/hgTracks?db=mm10&amp;lastVirtModeType=default&amp;lastVirtModeExtraState=&amp;virtModeType=default&amp;virtMode=0&amp;nonVirtPosition=&amp;position=chr2:166073898-166155285","chr2:166073898-166155285")</f>
        <v>chr2:166073898-166155285</v>
      </c>
      <c r="F2986" t="s">
        <v>25</v>
      </c>
      <c r="G2986">
        <v>-0.62438411166524099</v>
      </c>
      <c r="H2986">
        <v>0.228345138248716</v>
      </c>
      <c r="I2986">
        <v>-2.7343875873772898</v>
      </c>
      <c r="J2986">
        <v>6.2496431007033103E-3</v>
      </c>
      <c r="K2986">
        <v>2.7985838424829299E-2</v>
      </c>
      <c r="L2986" t="s">
        <v>26</v>
      </c>
      <c r="M2986" t="s">
        <v>27</v>
      </c>
      <c r="N2986">
        <v>3563.0425964137899</v>
      </c>
      <c r="O2986">
        <v>4548.1401600696099</v>
      </c>
      <c r="P2986">
        <v>2824.2194236719301</v>
      </c>
      <c r="Q2986">
        <v>6772.2677370676302</v>
      </c>
      <c r="R2986">
        <v>3217.2194536439902</v>
      </c>
      <c r="S2986">
        <v>3654.9332894971999</v>
      </c>
      <c r="T2986">
        <v>2300.6432672217902</v>
      </c>
      <c r="U2986">
        <v>2659.4408783898298</v>
      </c>
      <c r="V2986">
        <v>3244.2324813294499</v>
      </c>
      <c r="W2986">
        <v>3092.5610677466302</v>
      </c>
    </row>
    <row r="2987" spans="1:23" x14ac:dyDescent="0.2">
      <c r="A2987" t="s">
        <v>5977</v>
      </c>
      <c r="B2987" s="3" t="str">
        <f>HYPERLINK("http://www.ncbi.nlm.nih.gov/gene/319832","Tmem229a")</f>
        <v>Tmem229a</v>
      </c>
      <c r="C2987">
        <v>319832</v>
      </c>
      <c r="D2987" t="s">
        <v>5978</v>
      </c>
      <c r="E2987" s="3" t="str">
        <f>HYPERLINK("http://genome.ucsc.edu/cgi-bin/hgTracks?db=mm10&amp;lastVirtModeType=default&amp;lastVirtModeExtraState=&amp;virtModeType=default&amp;virtMode=0&amp;nonVirtPosition=&amp;position=chr6:24951140-24956125","chr6:24951140-24956125")</f>
        <v>chr6:24951140-24956125</v>
      </c>
      <c r="F2987" t="s">
        <v>25</v>
      </c>
      <c r="G2987">
        <v>-0.66841001849081905</v>
      </c>
      <c r="H2987">
        <v>0.244451830077106</v>
      </c>
      <c r="I2987">
        <v>-2.7343220064254998</v>
      </c>
      <c r="J2987">
        <v>6.2508881135587002E-3</v>
      </c>
      <c r="K2987">
        <v>2.7985838424829299E-2</v>
      </c>
      <c r="L2987" t="s">
        <v>26</v>
      </c>
      <c r="M2987" t="s">
        <v>27</v>
      </c>
      <c r="N2987">
        <v>227.10837658868999</v>
      </c>
      <c r="O2987">
        <v>292.259836291032</v>
      </c>
      <c r="P2987">
        <v>178.244781811933</v>
      </c>
      <c r="Q2987">
        <v>438.19573370650602</v>
      </c>
      <c r="R2987">
        <v>220.72636119542699</v>
      </c>
      <c r="S2987">
        <v>217.857413971163</v>
      </c>
      <c r="T2987">
        <v>242.89659992580701</v>
      </c>
      <c r="U2987">
        <v>160.59425594141501</v>
      </c>
      <c r="V2987">
        <v>135.36026679469799</v>
      </c>
      <c r="W2987">
        <v>174.128004585811</v>
      </c>
    </row>
    <row r="2988" spans="1:23" x14ac:dyDescent="0.2">
      <c r="A2988" t="s">
        <v>5979</v>
      </c>
      <c r="B2988" s="3" t="str">
        <f>HYPERLINK("http://www.ncbi.nlm.nih.gov/gene/218885","Oxnad1")</f>
        <v>Oxnad1</v>
      </c>
      <c r="C2988">
        <v>218885</v>
      </c>
      <c r="D2988" t="s">
        <v>5980</v>
      </c>
      <c r="E2988" s="3" t="str">
        <f>HYPERLINK("http://genome.ucsc.edu/cgi-bin/hgTracks?db=mm10&amp;lastVirtModeType=default&amp;lastVirtModeExtraState=&amp;virtModeType=default&amp;virtMode=0&amp;nonVirtPosition=&amp;position=chr14:32085727-32103203","chr14:32085727-32103203")</f>
        <v>chr14:32085727-32103203</v>
      </c>
      <c r="F2988" t="s">
        <v>30</v>
      </c>
      <c r="G2988">
        <v>-0.58726337443804899</v>
      </c>
      <c r="H2988">
        <v>0.214793905943961</v>
      </c>
      <c r="I2988">
        <v>-2.73407838019047</v>
      </c>
      <c r="J2988">
        <v>6.2555151590520898E-3</v>
      </c>
      <c r="K2988">
        <v>2.7997193681439301E-2</v>
      </c>
      <c r="L2988" t="s">
        <v>26</v>
      </c>
      <c r="M2988" t="s">
        <v>27</v>
      </c>
      <c r="N2988">
        <v>75.938740999743999</v>
      </c>
      <c r="O2988">
        <v>94.6212670395347</v>
      </c>
      <c r="P2988">
        <v>61.926846469900902</v>
      </c>
      <c r="Q2988">
        <v>85.189259538875902</v>
      </c>
      <c r="R2988">
        <v>117.94827892057999</v>
      </c>
      <c r="S2988">
        <v>80.726262659148205</v>
      </c>
      <c r="T2988">
        <v>68.744320733718993</v>
      </c>
      <c r="U2988">
        <v>57.8139321389095</v>
      </c>
      <c r="V2988">
        <v>60.3235971585069</v>
      </c>
      <c r="W2988">
        <v>60.825535848468199</v>
      </c>
    </row>
    <row r="2989" spans="1:23" x14ac:dyDescent="0.2">
      <c r="A2989" t="s">
        <v>5981</v>
      </c>
      <c r="B2989" s="3" t="str">
        <f>HYPERLINK("http://www.ncbi.nlm.nih.gov/gene/22214","Ube2h")</f>
        <v>Ube2h</v>
      </c>
      <c r="C2989">
        <v>22214</v>
      </c>
      <c r="D2989" t="s">
        <v>5982</v>
      </c>
      <c r="E2989" s="3" t="str">
        <f>HYPERLINK("http://genome.ucsc.edu/cgi-bin/hgTracks?db=mm10&amp;lastVirtModeType=default&amp;lastVirtModeExtraState=&amp;virtModeType=default&amp;virtMode=0&amp;nonVirtPosition=&amp;position=chr6:30211289-30304539","chr6:30211289-30304539")</f>
        <v>chr6:30211289-30304539</v>
      </c>
      <c r="F2989" t="s">
        <v>25</v>
      </c>
      <c r="G2989">
        <v>-0.50866920743147004</v>
      </c>
      <c r="H2989">
        <v>0.18606047263400399</v>
      </c>
      <c r="I2989">
        <v>-2.7338918375858601</v>
      </c>
      <c r="J2989">
        <v>6.2590601337582999E-3</v>
      </c>
      <c r="K2989">
        <v>2.8003700050503601E-2</v>
      </c>
      <c r="L2989" t="s">
        <v>26</v>
      </c>
      <c r="M2989" t="s">
        <v>27</v>
      </c>
      <c r="N2989">
        <v>362.97690139390102</v>
      </c>
      <c r="O2989">
        <v>444.44921541187603</v>
      </c>
      <c r="P2989">
        <v>301.87266588042002</v>
      </c>
      <c r="Q2989">
        <v>551.22462054566802</v>
      </c>
      <c r="R2989">
        <v>328.81401229628</v>
      </c>
      <c r="S2989">
        <v>453.30901339367898</v>
      </c>
      <c r="T2989">
        <v>274.97728293487597</v>
      </c>
      <c r="U2989">
        <v>250.52703926860801</v>
      </c>
      <c r="V2989">
        <v>342.07893510616702</v>
      </c>
      <c r="W2989">
        <v>339.90740621202798</v>
      </c>
    </row>
    <row r="2990" spans="1:23" x14ac:dyDescent="0.2">
      <c r="A2990" t="s">
        <v>5983</v>
      </c>
      <c r="B2990" s="3" t="str">
        <f>HYPERLINK("http://www.ncbi.nlm.nih.gov/gene/11950","Atp5f1")</f>
        <v>Atp5f1</v>
      </c>
      <c r="C2990">
        <v>11950</v>
      </c>
      <c r="D2990" t="s">
        <v>5984</v>
      </c>
      <c r="E2990" s="3" t="str">
        <f>HYPERLINK("http://genome.ucsc.edu/cgi-bin/hgTracks?db=mm10&amp;lastVirtModeType=default&amp;lastVirtModeExtraState=&amp;virtModeType=default&amp;virtMode=0&amp;nonVirtPosition=&amp;position=chr3:105942677-105960248","chr3:105942677-105960248")</f>
        <v>chr3:105942677-105960248</v>
      </c>
      <c r="F2990" t="s">
        <v>25</v>
      </c>
      <c r="G2990">
        <v>-0.40998747660759299</v>
      </c>
      <c r="H2990">
        <v>0.15005929664599801</v>
      </c>
      <c r="I2990">
        <v>-2.7321697873527002</v>
      </c>
      <c r="J2990">
        <v>6.2918707323744803E-3</v>
      </c>
      <c r="K2990">
        <v>2.8141095850777099E-2</v>
      </c>
      <c r="L2990" t="s">
        <v>26</v>
      </c>
      <c r="M2990" t="s">
        <v>27</v>
      </c>
      <c r="N2990">
        <v>425.09838812076202</v>
      </c>
      <c r="O2990">
        <v>499.41904861734599</v>
      </c>
      <c r="P2990">
        <v>369.35789274832399</v>
      </c>
      <c r="Q2990">
        <v>424.275920056362</v>
      </c>
      <c r="R2990">
        <v>555.987707066143</v>
      </c>
      <c r="S2990">
        <v>517.993518729534</v>
      </c>
      <c r="T2990">
        <v>307.05796594394502</v>
      </c>
      <c r="U2990">
        <v>451.80517338184802</v>
      </c>
      <c r="V2990">
        <v>371.50508006153598</v>
      </c>
      <c r="W2990">
        <v>347.06335160596598</v>
      </c>
    </row>
    <row r="2991" spans="1:23" x14ac:dyDescent="0.2">
      <c r="A2991" t="s">
        <v>5985</v>
      </c>
      <c r="B2991" s="3" t="str">
        <f>HYPERLINK("http://www.ncbi.nlm.nih.gov/gene/229900","Gbp7")</f>
        <v>Gbp7</v>
      </c>
      <c r="C2991">
        <v>229900</v>
      </c>
      <c r="D2991" t="s">
        <v>5986</v>
      </c>
      <c r="E2991" s="3" t="str">
        <f>HYPERLINK("http://genome.ucsc.edu/cgi-bin/hgTracks?db=mm10&amp;lastVirtModeType=default&amp;lastVirtModeExtraState=&amp;virtModeType=default&amp;virtMode=0&amp;nonVirtPosition=&amp;position=chr3:142530335-142550151","chr3:142530335-142550151")</f>
        <v>chr3:142530335-142550151</v>
      </c>
      <c r="F2991" t="s">
        <v>30</v>
      </c>
      <c r="G2991">
        <v>1.0385367991672501</v>
      </c>
      <c r="H2991">
        <v>0.38017531119914799</v>
      </c>
      <c r="I2991">
        <v>2.7317313054640602</v>
      </c>
      <c r="J2991">
        <v>6.3002499145147998E-3</v>
      </c>
      <c r="K2991">
        <v>2.8169164141992501E-2</v>
      </c>
      <c r="L2991" t="s">
        <v>26</v>
      </c>
      <c r="M2991" t="s">
        <v>27</v>
      </c>
      <c r="N2991">
        <v>391.73864357987702</v>
      </c>
      <c r="O2991">
        <v>180.25210374029299</v>
      </c>
      <c r="P2991">
        <v>550.35354845956601</v>
      </c>
      <c r="Q2991">
        <v>255.01098607062201</v>
      </c>
      <c r="R2991">
        <v>123.257847746587</v>
      </c>
      <c r="S2991">
        <v>162.48747740367</v>
      </c>
      <c r="T2991">
        <v>999.08412799671498</v>
      </c>
      <c r="U2991">
        <v>205.56064760501101</v>
      </c>
      <c r="V2991">
        <v>426.67910185285399</v>
      </c>
      <c r="W2991">
        <v>570.09031638368299</v>
      </c>
    </row>
    <row r="2992" spans="1:23" x14ac:dyDescent="0.2">
      <c r="A2992" t="s">
        <v>5987</v>
      </c>
      <c r="B2992" s="3" t="str">
        <f>HYPERLINK("http://www.ncbi.nlm.nih.gov/gene/71803","Slc25a18")</f>
        <v>Slc25a18</v>
      </c>
      <c r="C2992">
        <v>71803</v>
      </c>
      <c r="D2992" t="s">
        <v>5988</v>
      </c>
      <c r="E2992" s="3" t="str">
        <f>HYPERLINK("http://genome.ucsc.edu/cgi-bin/hgTracks?db=mm10&amp;lastVirtModeType=default&amp;lastVirtModeExtraState=&amp;virtModeType=default&amp;virtMode=0&amp;nonVirtPosition=&amp;position=chr6:120773767-120793982","chr6:120773767-120793982")</f>
        <v>chr6:120773767-120793982</v>
      </c>
      <c r="F2992" t="s">
        <v>30</v>
      </c>
      <c r="G2992">
        <v>-0.66546775213766396</v>
      </c>
      <c r="H2992">
        <v>0.243667420006175</v>
      </c>
      <c r="I2992">
        <v>-2.73104936277816</v>
      </c>
      <c r="J2992">
        <v>6.3133014763819004E-3</v>
      </c>
      <c r="K2992">
        <v>2.8218097486725598E-2</v>
      </c>
      <c r="L2992" t="s">
        <v>26</v>
      </c>
      <c r="M2992" t="s">
        <v>27</v>
      </c>
      <c r="N2992">
        <v>91.904801542971001</v>
      </c>
      <c r="O2992">
        <v>120.30756580499801</v>
      </c>
      <c r="P2992">
        <v>70.602728346450903</v>
      </c>
      <c r="Q2992">
        <v>152.56115760556901</v>
      </c>
      <c r="R2992">
        <v>129.70518132102401</v>
      </c>
      <c r="S2992">
        <v>78.656358488400798</v>
      </c>
      <c r="T2992">
        <v>54.995456586975202</v>
      </c>
      <c r="U2992">
        <v>77.0852428518793</v>
      </c>
      <c r="V2992">
        <v>63.266211654043801</v>
      </c>
      <c r="W2992">
        <v>87.064002292905499</v>
      </c>
    </row>
    <row r="2993" spans="1:23" x14ac:dyDescent="0.2">
      <c r="A2993" t="s">
        <v>5989</v>
      </c>
      <c r="B2993" s="3" t="str">
        <f>HYPERLINK("http://www.ncbi.nlm.nih.gov/gene/76800","Usp42")</f>
        <v>Usp42</v>
      </c>
      <c r="C2993">
        <v>76800</v>
      </c>
      <c r="D2993" t="s">
        <v>5990</v>
      </c>
      <c r="E2993" s="3" t="str">
        <f>HYPERLINK("http://genome.ucsc.edu/cgi-bin/hgTracks?db=mm10&amp;lastVirtModeType=default&amp;lastVirtModeExtraState=&amp;virtModeType=default&amp;virtMode=0&amp;nonVirtPosition=&amp;position=chr5:143710325-143732280","chr5:143710325-143732280")</f>
        <v>chr5:143710325-143732280</v>
      </c>
      <c r="F2993" t="s">
        <v>25</v>
      </c>
      <c r="G2993">
        <v>0.40721327314098599</v>
      </c>
      <c r="H2993">
        <v>0.14911296403875199</v>
      </c>
      <c r="I2993">
        <v>2.73090455793742</v>
      </c>
      <c r="J2993">
        <v>6.3160759970052899E-3</v>
      </c>
      <c r="K2993">
        <v>2.82210789709369E-2</v>
      </c>
      <c r="L2993" t="s">
        <v>26</v>
      </c>
      <c r="M2993" t="s">
        <v>27</v>
      </c>
      <c r="N2993">
        <v>177.36833459325101</v>
      </c>
      <c r="O2993">
        <v>147.35796433104801</v>
      </c>
      <c r="P2993">
        <v>199.87611228990301</v>
      </c>
      <c r="Q2993">
        <v>145.87964705350001</v>
      </c>
      <c r="R2993">
        <v>130.08443623716701</v>
      </c>
      <c r="S2993">
        <v>166.109809702478</v>
      </c>
      <c r="T2993">
        <v>224.564781063482</v>
      </c>
      <c r="U2993">
        <v>188.43059363792699</v>
      </c>
      <c r="V2993">
        <v>195.68386395320499</v>
      </c>
      <c r="W2993">
        <v>190.82521050499801</v>
      </c>
    </row>
    <row r="2994" spans="1:23" x14ac:dyDescent="0.2">
      <c r="A2994" t="s">
        <v>5991</v>
      </c>
      <c r="B2994" s="3" t="str">
        <f>HYPERLINK("http://www.ncbi.nlm.nih.gov/gene/268564","Zbtb1")</f>
        <v>Zbtb1</v>
      </c>
      <c r="C2994">
        <v>268564</v>
      </c>
      <c r="D2994" t="s">
        <v>5992</v>
      </c>
      <c r="E2994" s="3" t="str">
        <f>HYPERLINK("http://genome.ucsc.edu/cgi-bin/hgTracks?db=mm10&amp;lastVirtModeType=default&amp;lastVirtModeExtraState=&amp;virtModeType=default&amp;virtMode=0&amp;nonVirtPosition=&amp;position=chr12:76370265-76388747","chr12:76370265-76388747")</f>
        <v>chr12:76370265-76388747</v>
      </c>
      <c r="F2994" t="s">
        <v>30</v>
      </c>
      <c r="G2994">
        <v>0.40373674672495802</v>
      </c>
      <c r="H2994">
        <v>0.147854102609556</v>
      </c>
      <c r="I2994">
        <v>2.7306428404703902</v>
      </c>
      <c r="J2994">
        <v>6.3210933962436202E-3</v>
      </c>
      <c r="K2994">
        <v>2.8234076607437701E-2</v>
      </c>
      <c r="L2994" t="s">
        <v>26</v>
      </c>
      <c r="M2994" t="s">
        <v>27</v>
      </c>
      <c r="N2994">
        <v>255.545468556722</v>
      </c>
      <c r="O2994">
        <v>217.35464605044999</v>
      </c>
      <c r="P2994">
        <v>284.18858543642602</v>
      </c>
      <c r="Q2994">
        <v>192.09342837197499</v>
      </c>
      <c r="R2994">
        <v>224.51891035686</v>
      </c>
      <c r="S2994">
        <v>235.45159942251601</v>
      </c>
      <c r="T2994">
        <v>238.31364521022601</v>
      </c>
      <c r="U2994">
        <v>274.08086347334898</v>
      </c>
      <c r="V2994">
        <v>336.92935973897698</v>
      </c>
      <c r="W2994">
        <v>287.43047332315399</v>
      </c>
    </row>
    <row r="2995" spans="1:23" x14ac:dyDescent="0.2">
      <c r="A2995" t="s">
        <v>5993</v>
      </c>
      <c r="B2995" s="3" t="str">
        <f>HYPERLINK("http://www.ncbi.nlm.nih.gov/gene/66264","Ccdc28b")</f>
        <v>Ccdc28b</v>
      </c>
      <c r="C2995">
        <v>66264</v>
      </c>
      <c r="D2995" t="s">
        <v>5994</v>
      </c>
      <c r="E2995" s="3" t="str">
        <f>HYPERLINK("http://genome.ucsc.edu/cgi-bin/hgTracks?db=mm10&amp;lastVirtModeType=default&amp;lastVirtModeExtraState=&amp;virtModeType=default&amp;virtMode=0&amp;nonVirtPosition=&amp;position=chr4:129619273-129623908","chr4:129619273-129623908")</f>
        <v>chr4:129619273-129623908</v>
      </c>
      <c r="F2995" t="s">
        <v>25</v>
      </c>
      <c r="G2995">
        <v>-0.539612553512824</v>
      </c>
      <c r="H2995">
        <v>0.19762490441532399</v>
      </c>
      <c r="I2995">
        <v>-2.73048862494975</v>
      </c>
      <c r="J2995">
        <v>6.3240515494360199E-3</v>
      </c>
      <c r="K2995">
        <v>2.8237870723073599E-2</v>
      </c>
      <c r="L2995" t="s">
        <v>26</v>
      </c>
      <c r="M2995" t="s">
        <v>27</v>
      </c>
      <c r="N2995">
        <v>92.381738535985903</v>
      </c>
      <c r="O2995">
        <v>112.92853857850901</v>
      </c>
      <c r="P2995">
        <v>76.971638504093406</v>
      </c>
      <c r="Q2995">
        <v>94.097940274967499</v>
      </c>
      <c r="R2995">
        <v>130.842946069454</v>
      </c>
      <c r="S2995">
        <v>113.844729391106</v>
      </c>
      <c r="T2995">
        <v>91.659094311625296</v>
      </c>
      <c r="U2995">
        <v>62.096445630680499</v>
      </c>
      <c r="V2995">
        <v>80.186245003381103</v>
      </c>
      <c r="W2995">
        <v>73.944769070686903</v>
      </c>
    </row>
    <row r="2996" spans="1:23" x14ac:dyDescent="0.2">
      <c r="A2996" t="s">
        <v>5995</v>
      </c>
      <c r="B2996" s="3" t="str">
        <f>HYPERLINK("http://www.ncbi.nlm.nih.gov/gene/20273","Scn8a")</f>
        <v>Scn8a</v>
      </c>
      <c r="C2996">
        <v>20273</v>
      </c>
      <c r="D2996" t="s">
        <v>5996</v>
      </c>
      <c r="E2996" s="3" t="str">
        <f>HYPERLINK("http://genome.ucsc.edu/cgi-bin/hgTracks?db=mm10&amp;lastVirtModeType=default&amp;lastVirtModeExtraState=&amp;virtModeType=default&amp;virtMode=0&amp;nonVirtPosition=&amp;position=chr15:100870644-101045938","chr15:100870644-101045938")</f>
        <v>chr15:100870644-101045938</v>
      </c>
      <c r="F2996" t="s">
        <v>30</v>
      </c>
      <c r="G2996">
        <v>0.37644916137239298</v>
      </c>
      <c r="H2996">
        <v>0.13789093969039301</v>
      </c>
      <c r="I2996">
        <v>2.7300500106652099</v>
      </c>
      <c r="J2996">
        <v>6.3324718357284501E-3</v>
      </c>
      <c r="K2996">
        <v>2.8266043450746601E-2</v>
      </c>
      <c r="L2996" t="s">
        <v>26</v>
      </c>
      <c r="M2996" t="s">
        <v>27</v>
      </c>
      <c r="N2996">
        <v>402.63671711734497</v>
      </c>
      <c r="O2996">
        <v>342.87416553421002</v>
      </c>
      <c r="P2996">
        <v>447.45863080469701</v>
      </c>
      <c r="Q2996">
        <v>370.82383563981301</v>
      </c>
      <c r="R2996">
        <v>373.186837485051</v>
      </c>
      <c r="S2996">
        <v>284.61182347776599</v>
      </c>
      <c r="T2996">
        <v>430.797743264639</v>
      </c>
      <c r="U2996">
        <v>432.53386266887799</v>
      </c>
      <c r="V2996">
        <v>430.35736997227502</v>
      </c>
      <c r="W2996">
        <v>496.14554731299597</v>
      </c>
    </row>
    <row r="2997" spans="1:23" x14ac:dyDescent="0.2">
      <c r="A2997" t="s">
        <v>5997</v>
      </c>
      <c r="B2997" s="3" t="str">
        <f>HYPERLINK("http://www.ncbi.nlm.nih.gov/gene/100044509","Tgfbr3l")</f>
        <v>Tgfbr3l</v>
      </c>
      <c r="C2997">
        <v>100044509</v>
      </c>
      <c r="D2997" t="s">
        <v>5998</v>
      </c>
      <c r="E2997" s="3" t="str">
        <f>HYPERLINK("http://genome.ucsc.edu/cgi-bin/hgTracks?db=mm10&amp;lastVirtModeType=default&amp;lastVirtModeExtraState=&amp;virtModeType=default&amp;virtMode=0&amp;nonVirtPosition=&amp;position=chr8:4248213-4251423","chr8:4248213-4251423")</f>
        <v>chr8:4248213-4251423</v>
      </c>
      <c r="F2997" t="s">
        <v>30</v>
      </c>
      <c r="G2997">
        <v>0.91218597026799697</v>
      </c>
      <c r="H2997">
        <v>0.33421427265826997</v>
      </c>
      <c r="I2997">
        <v>2.7293447494407101</v>
      </c>
      <c r="J2997">
        <v>6.3460322272194097E-3</v>
      </c>
      <c r="K2997">
        <v>2.8317133473740499E-2</v>
      </c>
      <c r="L2997" t="s">
        <v>26</v>
      </c>
      <c r="M2997" t="s">
        <v>27</v>
      </c>
      <c r="N2997">
        <v>21.124809055833101</v>
      </c>
      <c r="O2997">
        <v>12.5545531795212</v>
      </c>
      <c r="P2997">
        <v>27.552500963067001</v>
      </c>
      <c r="Q2997">
        <v>7.79509564408015</v>
      </c>
      <c r="R2997">
        <v>11.7569024004437</v>
      </c>
      <c r="S2997">
        <v>18.111661494039701</v>
      </c>
      <c r="T2997">
        <v>13.7488641467438</v>
      </c>
      <c r="U2997">
        <v>42.825134917710699</v>
      </c>
      <c r="V2997">
        <v>25.012223212063802</v>
      </c>
      <c r="W2997">
        <v>28.623781575749799</v>
      </c>
    </row>
    <row r="2998" spans="1:23" x14ac:dyDescent="0.2">
      <c r="A2998" t="s">
        <v>5999</v>
      </c>
      <c r="B2998" s="3" t="str">
        <f>HYPERLINK("http://www.ncbi.nlm.nih.gov/gene/101831","Faap24")</f>
        <v>Faap24</v>
      </c>
      <c r="C2998">
        <v>101831</v>
      </c>
      <c r="D2998" t="s">
        <v>6000</v>
      </c>
      <c r="E2998" s="3" t="str">
        <f>HYPERLINK("http://genome.ucsc.edu/cgi-bin/hgTracks?db=mm10&amp;lastVirtModeType=default&amp;lastVirtModeExtraState=&amp;virtModeType=default&amp;virtMode=0&amp;nonVirtPosition=&amp;position=chr7:35392151-35396767","chr7:35392151-35396767")</f>
        <v>chr7:35392151-35396767</v>
      </c>
      <c r="F2998" t="s">
        <v>25</v>
      </c>
      <c r="G2998">
        <v>-0.75648922544025199</v>
      </c>
      <c r="H2998">
        <v>0.27722037141928602</v>
      </c>
      <c r="I2998">
        <v>-2.728837067663</v>
      </c>
      <c r="J2998">
        <v>6.3558098359932404E-3</v>
      </c>
      <c r="K2998">
        <v>2.8341874629965201E-2</v>
      </c>
      <c r="L2998" t="s">
        <v>26</v>
      </c>
      <c r="M2998" t="s">
        <v>27</v>
      </c>
      <c r="N2998">
        <v>34.607399926529197</v>
      </c>
      <c r="O2998">
        <v>45.775342211338703</v>
      </c>
      <c r="P2998">
        <v>26.231443212922098</v>
      </c>
      <c r="Q2998">
        <v>33.964345306349202</v>
      </c>
      <c r="R2998">
        <v>50.0616489309215</v>
      </c>
      <c r="S2998">
        <v>53.300032396745301</v>
      </c>
      <c r="T2998">
        <v>32.0806830090688</v>
      </c>
      <c r="U2998">
        <v>27.836337696512</v>
      </c>
      <c r="V2998">
        <v>23.540915964295401</v>
      </c>
      <c r="W2998">
        <v>21.467836181812299</v>
      </c>
    </row>
    <row r="2999" spans="1:23" x14ac:dyDescent="0.2">
      <c r="A2999" t="s">
        <v>6001</v>
      </c>
      <c r="B2999" s="3" t="str">
        <f>HYPERLINK("http://www.ncbi.nlm.nih.gov/gene/30928","Zbtb18")</f>
        <v>Zbtb18</v>
      </c>
      <c r="C2999">
        <v>30928</v>
      </c>
      <c r="D2999" t="s">
        <v>6002</v>
      </c>
      <c r="E2999" s="3" t="str">
        <f>HYPERLINK("http://genome.ucsc.edu/cgi-bin/hgTracks?db=mm10&amp;lastVirtModeType=default&amp;lastVirtModeExtraState=&amp;virtModeType=default&amp;virtMode=0&amp;nonVirtPosition=&amp;position=chr1:177445820-177450764","chr1:177445820-177450764")</f>
        <v>chr1:177445820-177450764</v>
      </c>
      <c r="F2999" t="s">
        <v>30</v>
      </c>
      <c r="G2999">
        <v>-0.46901240995987697</v>
      </c>
      <c r="H2999">
        <v>0.17189812373597499</v>
      </c>
      <c r="I2999">
        <v>-2.7284323980187901</v>
      </c>
      <c r="J2999">
        <v>6.3636132082404298E-3</v>
      </c>
      <c r="K2999">
        <v>2.8367225190262201E-2</v>
      </c>
      <c r="L2999" t="s">
        <v>26</v>
      </c>
      <c r="M2999" t="s">
        <v>27</v>
      </c>
      <c r="N2999">
        <v>433.72552539973401</v>
      </c>
      <c r="O2999">
        <v>519.90093953816404</v>
      </c>
      <c r="P2999">
        <v>369.09396479591101</v>
      </c>
      <c r="Q2999">
        <v>444.87724425857402</v>
      </c>
      <c r="R2999">
        <v>673.93598598672304</v>
      </c>
      <c r="S2999">
        <v>440.88958836919397</v>
      </c>
      <c r="T2999">
        <v>362.05342253091999</v>
      </c>
      <c r="U2999">
        <v>376.86118727585398</v>
      </c>
      <c r="V2999">
        <v>408.28776125574802</v>
      </c>
      <c r="W2999">
        <v>329.17348812112198</v>
      </c>
    </row>
    <row r="3000" spans="1:23" x14ac:dyDescent="0.2">
      <c r="A3000" t="s">
        <v>6003</v>
      </c>
      <c r="B3000" s="3" t="str">
        <f>HYPERLINK("http://www.ncbi.nlm.nih.gov/gene/227292","Ctdsp1")</f>
        <v>Ctdsp1</v>
      </c>
      <c r="C3000">
        <v>227292</v>
      </c>
      <c r="D3000" t="s">
        <v>6004</v>
      </c>
      <c r="E3000" s="3" t="str">
        <f>HYPERLINK("http://genome.ucsc.edu/cgi-bin/hgTracks?db=mm10&amp;lastVirtModeType=default&amp;lastVirtModeExtraState=&amp;virtModeType=default&amp;virtMode=0&amp;nonVirtPosition=&amp;position=chr1:74391608-74397285","chr1:74391608-74397285")</f>
        <v>chr1:74391608-74397285</v>
      </c>
      <c r="F3000" t="s">
        <v>30</v>
      </c>
      <c r="G3000">
        <v>0.61943763079603598</v>
      </c>
      <c r="H3000">
        <v>0.227132342372213</v>
      </c>
      <c r="I3000">
        <v>2.7272101556586401</v>
      </c>
      <c r="J3000">
        <v>6.3872344655454298E-3</v>
      </c>
      <c r="K3000">
        <v>2.8456563433763401E-2</v>
      </c>
      <c r="L3000" t="s">
        <v>26</v>
      </c>
      <c r="M3000" t="s">
        <v>27</v>
      </c>
      <c r="N3000">
        <v>104.853611309586</v>
      </c>
      <c r="O3000">
        <v>77.266794544644299</v>
      </c>
      <c r="P3000">
        <v>125.543723883292</v>
      </c>
      <c r="Q3000">
        <v>80.734919170830096</v>
      </c>
      <c r="R3000">
        <v>62.577061163651898</v>
      </c>
      <c r="S3000">
        <v>88.488403299450994</v>
      </c>
      <c r="T3000">
        <v>119.15682260511301</v>
      </c>
      <c r="U3000">
        <v>179.86556665438499</v>
      </c>
      <c r="V3000">
        <v>93.428010233297201</v>
      </c>
      <c r="W3000">
        <v>109.72449604037401</v>
      </c>
    </row>
    <row r="3001" spans="1:23" x14ac:dyDescent="0.2">
      <c r="A3001" t="s">
        <v>6005</v>
      </c>
      <c r="B3001" s="3" t="str">
        <f>HYPERLINK("http://www.ncbi.nlm.nih.gov/gene/19724","Rfx1")</f>
        <v>Rfx1</v>
      </c>
      <c r="C3001">
        <v>19724</v>
      </c>
      <c r="D3001" t="s">
        <v>6006</v>
      </c>
      <c r="E3001" s="3" t="str">
        <f>HYPERLINK("http://genome.ucsc.edu/cgi-bin/hgTracks?db=mm10&amp;lastVirtModeType=default&amp;lastVirtModeExtraState=&amp;virtModeType=default&amp;virtMode=0&amp;nonVirtPosition=&amp;position=chr8:84066835-84096992","chr8:84066835-84096992")</f>
        <v>chr8:84066835-84096992</v>
      </c>
      <c r="F3001" t="s">
        <v>30</v>
      </c>
      <c r="G3001">
        <v>0.52669505402676697</v>
      </c>
      <c r="H3001">
        <v>0.19312978397571601</v>
      </c>
      <c r="I3001">
        <v>2.7271560252611899</v>
      </c>
      <c r="J3001">
        <v>6.3882824206513197E-3</v>
      </c>
      <c r="K3001">
        <v>2.8456563433763401E-2</v>
      </c>
      <c r="L3001" t="s">
        <v>26</v>
      </c>
      <c r="M3001" t="s">
        <v>27</v>
      </c>
      <c r="N3001">
        <v>120.345785164454</v>
      </c>
      <c r="O3001">
        <v>94.999442176771893</v>
      </c>
      <c r="P3001">
        <v>139.355542405216</v>
      </c>
      <c r="Q3001">
        <v>93.541147728961803</v>
      </c>
      <c r="R3001">
        <v>72.437688983378806</v>
      </c>
      <c r="S3001">
        <v>119.019489817975</v>
      </c>
      <c r="T3001">
        <v>137.48864146743799</v>
      </c>
      <c r="U3001">
        <v>137.04043173667401</v>
      </c>
      <c r="V3001">
        <v>139.77418853800401</v>
      </c>
      <c r="W3001">
        <v>143.11890787874901</v>
      </c>
    </row>
    <row r="3002" spans="1:23" x14ac:dyDescent="0.2">
      <c r="A3002" t="s">
        <v>6007</v>
      </c>
      <c r="B3002" s="3" t="str">
        <f>HYPERLINK("http://www.ncbi.nlm.nih.gov/gene/69440","Dennd6b")</f>
        <v>Dennd6b</v>
      </c>
      <c r="C3002">
        <v>69440</v>
      </c>
      <c r="D3002" t="s">
        <v>6008</v>
      </c>
      <c r="E3002" s="3" t="str">
        <f>HYPERLINK("http://genome.ucsc.edu/cgi-bin/hgTracks?db=mm10&amp;lastVirtModeType=default&amp;lastVirtModeExtraState=&amp;virtModeType=default&amp;virtMode=0&amp;nonVirtPosition=&amp;position=chr15:89182212-89196474","chr15:89182212-89196474")</f>
        <v>chr15:89182212-89196474</v>
      </c>
      <c r="F3002" t="s">
        <v>25</v>
      </c>
      <c r="G3002">
        <v>0.59181063146869906</v>
      </c>
      <c r="H3002">
        <v>0.21701369742187601</v>
      </c>
      <c r="I3002">
        <v>2.7270657958433602</v>
      </c>
      <c r="J3002">
        <v>6.3900295904209103E-3</v>
      </c>
      <c r="K3002">
        <v>2.8456563433763401E-2</v>
      </c>
      <c r="L3002" t="s">
        <v>26</v>
      </c>
      <c r="M3002" t="s">
        <v>27</v>
      </c>
      <c r="N3002">
        <v>108.37931919456901</v>
      </c>
      <c r="O3002">
        <v>79.783942297583906</v>
      </c>
      <c r="P3002">
        <v>129.82585186730699</v>
      </c>
      <c r="Q3002">
        <v>70.712653342727094</v>
      </c>
      <c r="R3002">
        <v>96.710003616552896</v>
      </c>
      <c r="S3002">
        <v>71.929169933471798</v>
      </c>
      <c r="T3002">
        <v>160.40341504534399</v>
      </c>
      <c r="U3002">
        <v>143.46420197433099</v>
      </c>
      <c r="V3002">
        <v>89.014088489991806</v>
      </c>
      <c r="W3002">
        <v>126.42170195956101</v>
      </c>
    </row>
    <row r="3003" spans="1:23" x14ac:dyDescent="0.2">
      <c r="A3003" t="s">
        <v>6009</v>
      </c>
      <c r="B3003" s="3" t="str">
        <f>HYPERLINK("http://www.ncbi.nlm.nih.gov/gene/16508","Kcnd2")</f>
        <v>Kcnd2</v>
      </c>
      <c r="C3003">
        <v>16508</v>
      </c>
      <c r="D3003" t="s">
        <v>6010</v>
      </c>
      <c r="E3003" s="3" t="str">
        <f>HYPERLINK("http://genome.ucsc.edu/cgi-bin/hgTracks?db=mm10&amp;lastVirtModeType=default&amp;lastVirtModeExtraState=&amp;virtModeType=default&amp;virtMode=0&amp;nonVirtPosition=&amp;position=chr6:21216108-21729805","chr6:21216108-21729805")</f>
        <v>chr6:21216108-21729805</v>
      </c>
      <c r="F3003" t="s">
        <v>30</v>
      </c>
      <c r="G3003">
        <v>-0.466456300608871</v>
      </c>
      <c r="H3003">
        <v>0.17107672753865499</v>
      </c>
      <c r="I3003">
        <v>-2.72659120454286</v>
      </c>
      <c r="J3003">
        <v>6.3992264850493003E-3</v>
      </c>
      <c r="K3003">
        <v>2.8488045831547602E-2</v>
      </c>
      <c r="L3003" t="s">
        <v>26</v>
      </c>
      <c r="M3003" t="s">
        <v>27</v>
      </c>
      <c r="N3003">
        <v>1214.5422898279701</v>
      </c>
      <c r="O3003">
        <v>1451.8576235774001</v>
      </c>
      <c r="P3003">
        <v>1036.5557895159</v>
      </c>
      <c r="Q3003">
        <v>1885.8563533213901</v>
      </c>
      <c r="R3003">
        <v>1305.3954213653899</v>
      </c>
      <c r="S3003">
        <v>1164.3210960454101</v>
      </c>
      <c r="T3003">
        <v>1090.7432223083399</v>
      </c>
      <c r="U3003">
        <v>1145.5723590487601</v>
      </c>
      <c r="V3003">
        <v>909.26787912090902</v>
      </c>
      <c r="W3003">
        <v>1000.6396975855901</v>
      </c>
    </row>
    <row r="3004" spans="1:23" x14ac:dyDescent="0.2">
      <c r="A3004" t="s">
        <v>6011</v>
      </c>
      <c r="B3004" s="3" t="str">
        <f>HYPERLINK("http://www.ncbi.nlm.nih.gov/gene/230972","Arhgef16")</f>
        <v>Arhgef16</v>
      </c>
      <c r="C3004">
        <v>230972</v>
      </c>
      <c r="D3004" t="s">
        <v>6012</v>
      </c>
      <c r="E3004" s="3" t="str">
        <f>HYPERLINK("http://genome.ucsc.edu/cgi-bin/hgTracks?db=mm10&amp;lastVirtModeType=default&amp;lastVirtModeExtraState=&amp;virtModeType=default&amp;virtMode=0&amp;nonVirtPosition=&amp;position=chr4:154278469-154299895","chr4:154278469-154299895")</f>
        <v>chr4:154278469-154299895</v>
      </c>
      <c r="F3004" t="s">
        <v>25</v>
      </c>
      <c r="G3004">
        <v>1.00585863782375</v>
      </c>
      <c r="H3004">
        <v>0.36894516579355002</v>
      </c>
      <c r="I3004">
        <v>2.72630930306482</v>
      </c>
      <c r="J3004">
        <v>6.4046949656956101E-3</v>
      </c>
      <c r="K3004">
        <v>2.8502914684489799E-2</v>
      </c>
      <c r="L3004" t="s">
        <v>26</v>
      </c>
      <c r="M3004" t="s">
        <v>27</v>
      </c>
      <c r="N3004">
        <v>17.835195278165401</v>
      </c>
      <c r="O3004">
        <v>8.44006207024667</v>
      </c>
      <c r="P3004">
        <v>24.8815451841044</v>
      </c>
      <c r="Q3004">
        <v>4.4543403680458002</v>
      </c>
      <c r="R3004">
        <v>9.4813729035836207</v>
      </c>
      <c r="S3004">
        <v>11.3844729391106</v>
      </c>
      <c r="T3004">
        <v>27.497728293487601</v>
      </c>
      <c r="U3004">
        <v>42.825134917710699</v>
      </c>
      <c r="V3004">
        <v>12.506111606031901</v>
      </c>
      <c r="W3004">
        <v>16.6972059191874</v>
      </c>
    </row>
    <row r="3005" spans="1:23" x14ac:dyDescent="0.2">
      <c r="A3005" t="s">
        <v>6013</v>
      </c>
      <c r="B3005" s="3" t="str">
        <f>HYPERLINK("http://www.ncbi.nlm.nih.gov/gene/18041","Nfs1")</f>
        <v>Nfs1</v>
      </c>
      <c r="C3005">
        <v>18041</v>
      </c>
      <c r="D3005" t="s">
        <v>6014</v>
      </c>
      <c r="E3005" s="3" t="str">
        <f>HYPERLINK("http://genome.ucsc.edu/cgi-bin/hgTracks?db=mm10&amp;lastVirtModeType=default&amp;lastVirtModeExtraState=&amp;virtModeType=default&amp;virtMode=0&amp;nonVirtPosition=&amp;position=chr2:156123636-156144186","chr2:156123636-156144186")</f>
        <v>chr2:156123636-156144186</v>
      </c>
      <c r="F3005" t="s">
        <v>25</v>
      </c>
      <c r="G3005">
        <v>-0.445151740576267</v>
      </c>
      <c r="H3005">
        <v>0.16334993771929801</v>
      </c>
      <c r="I3005">
        <v>-2.7251417832874898</v>
      </c>
      <c r="J3005">
        <v>6.42738795585991E-3</v>
      </c>
      <c r="K3005">
        <v>2.85944026966512E-2</v>
      </c>
      <c r="L3005" t="s">
        <v>26</v>
      </c>
      <c r="M3005" t="s">
        <v>27</v>
      </c>
      <c r="N3005">
        <v>130.80249811431401</v>
      </c>
      <c r="O3005">
        <v>155.52963082971701</v>
      </c>
      <c r="P3005">
        <v>112.257148577762</v>
      </c>
      <c r="Q3005">
        <v>173.16248180778001</v>
      </c>
      <c r="R3005">
        <v>143.358358302184</v>
      </c>
      <c r="S3005">
        <v>150.06805237918601</v>
      </c>
      <c r="T3005">
        <v>100.825003742788</v>
      </c>
      <c r="U3005">
        <v>130.61666149901799</v>
      </c>
      <c r="V3005">
        <v>106.669775463213</v>
      </c>
      <c r="W3005">
        <v>110.91715360603</v>
      </c>
    </row>
    <row r="3006" spans="1:23" x14ac:dyDescent="0.2">
      <c r="A3006" t="s">
        <v>6015</v>
      </c>
      <c r="B3006" s="3" t="str">
        <f>HYPERLINK("http://www.ncbi.nlm.nih.gov/gene/66425","Pcp4l1")</f>
        <v>Pcp4l1</v>
      </c>
      <c r="C3006">
        <v>66425</v>
      </c>
      <c r="D3006" t="s">
        <v>6016</v>
      </c>
      <c r="E3006" s="3" t="str">
        <f>HYPERLINK("http://genome.ucsc.edu/cgi-bin/hgTracks?db=mm10&amp;lastVirtModeType=default&amp;lastVirtModeExtraState=&amp;virtModeType=default&amp;virtMode=0&amp;nonVirtPosition=&amp;position=chr1:171173263-171196268","chr1:171173263-171196268")</f>
        <v>chr1:171173263-171196268</v>
      </c>
      <c r="F3006" t="s">
        <v>25</v>
      </c>
      <c r="G3006">
        <v>-1.0531750549875001</v>
      </c>
      <c r="H3006">
        <v>0.38668712713554898</v>
      </c>
      <c r="I3006">
        <v>-2.7235844719969799</v>
      </c>
      <c r="J3006">
        <v>6.4577698897620396E-3</v>
      </c>
      <c r="K3006">
        <v>2.8720025437995199E-2</v>
      </c>
      <c r="L3006" t="s">
        <v>26</v>
      </c>
      <c r="M3006" t="s">
        <v>27</v>
      </c>
      <c r="N3006">
        <v>17.8946311099313</v>
      </c>
      <c r="O3006">
        <v>30.118383483827898</v>
      </c>
      <c r="P3006">
        <v>8.7268168295088007</v>
      </c>
      <c r="Q3006">
        <v>20.0445316562061</v>
      </c>
      <c r="R3006">
        <v>52.716433343924898</v>
      </c>
      <c r="S3006">
        <v>17.5941854513528</v>
      </c>
      <c r="T3006">
        <v>0</v>
      </c>
      <c r="U3006">
        <v>14.9887972211987</v>
      </c>
      <c r="V3006">
        <v>4.4139217433053801</v>
      </c>
      <c r="W3006">
        <v>15.504548353531099</v>
      </c>
    </row>
    <row r="3007" spans="1:23" x14ac:dyDescent="0.2">
      <c r="A3007" t="s">
        <v>6017</v>
      </c>
      <c r="B3007" s="3" t="str">
        <f>HYPERLINK("http://www.ncbi.nlm.nih.gov/gene/235604","Camkv")</f>
        <v>Camkv</v>
      </c>
      <c r="C3007">
        <v>235604</v>
      </c>
      <c r="D3007" t="s">
        <v>6018</v>
      </c>
      <c r="E3007" s="3" t="str">
        <f>HYPERLINK("http://genome.ucsc.edu/cgi-bin/hgTracks?db=mm10&amp;lastVirtModeType=default&amp;lastVirtModeExtraState=&amp;virtModeType=default&amp;virtMode=0&amp;nonVirtPosition=&amp;position=chr9:107935919-107949691","chr9:107935919-107949691")</f>
        <v>chr9:107935919-107949691</v>
      </c>
      <c r="F3007" t="s">
        <v>30</v>
      </c>
      <c r="G3007">
        <v>0.96248751767988105</v>
      </c>
      <c r="H3007">
        <v>0.35342956988973201</v>
      </c>
      <c r="I3007">
        <v>2.7232795433052499</v>
      </c>
      <c r="J3007">
        <v>6.4637339152689996E-3</v>
      </c>
      <c r="K3007">
        <v>2.87370055973994E-2</v>
      </c>
      <c r="L3007" t="s">
        <v>26</v>
      </c>
      <c r="M3007" t="s">
        <v>27</v>
      </c>
      <c r="N3007">
        <v>48.206332184684797</v>
      </c>
      <c r="O3007">
        <v>25.988425319368801</v>
      </c>
      <c r="P3007">
        <v>64.869762333671801</v>
      </c>
      <c r="Q3007">
        <v>10.579058374108801</v>
      </c>
      <c r="R3007">
        <v>39.442511278907801</v>
      </c>
      <c r="S3007">
        <v>27.943706305089801</v>
      </c>
      <c r="T3007">
        <v>36.663637724650101</v>
      </c>
      <c r="U3007">
        <v>124.192891261361</v>
      </c>
      <c r="V3007">
        <v>38.989642065864203</v>
      </c>
      <c r="W3007">
        <v>59.632878282812001</v>
      </c>
    </row>
    <row r="3008" spans="1:23" x14ac:dyDescent="0.2">
      <c r="A3008" t="s">
        <v>6019</v>
      </c>
      <c r="B3008" s="3" t="str">
        <f>HYPERLINK("http://www.ncbi.nlm.nih.gov/gene/74485","Lrrc71")</f>
        <v>Lrrc71</v>
      </c>
      <c r="C3008">
        <v>74485</v>
      </c>
      <c r="D3008" t="s">
        <v>6020</v>
      </c>
      <c r="E3008" s="3" t="str">
        <f>HYPERLINK("http://genome.ucsc.edu/cgi-bin/hgTracks?db=mm10&amp;lastVirtModeType=default&amp;lastVirtModeExtraState=&amp;virtModeType=default&amp;virtMode=0&amp;nonVirtPosition=&amp;position=chr3:87736922-87748623","chr3:87736922-87748623")</f>
        <v>chr3:87736922-87748623</v>
      </c>
      <c r="F3008" t="s">
        <v>25</v>
      </c>
      <c r="G3008">
        <v>1.00388348260622</v>
      </c>
      <c r="H3008">
        <v>0.36868260945023901</v>
      </c>
      <c r="I3008">
        <v>2.7228935048039302</v>
      </c>
      <c r="J3008">
        <v>6.4712914548675201E-3</v>
      </c>
      <c r="K3008">
        <v>2.8761056711626602E-2</v>
      </c>
      <c r="L3008" t="s">
        <v>26</v>
      </c>
      <c r="M3008" t="s">
        <v>27</v>
      </c>
      <c r="N3008">
        <v>10.4118643246715</v>
      </c>
      <c r="O3008">
        <v>5.2374387667026898</v>
      </c>
      <c r="P3008">
        <v>14.2926834931481</v>
      </c>
      <c r="Q3008">
        <v>6.1247180060629702</v>
      </c>
      <c r="R3008">
        <v>4.9303139098634796</v>
      </c>
      <c r="S3008">
        <v>4.6572843841816303</v>
      </c>
      <c r="T3008">
        <v>13.7488641467438</v>
      </c>
      <c r="U3008">
        <v>12.847540475313201</v>
      </c>
      <c r="V3008">
        <v>10.2991507343792</v>
      </c>
      <c r="W3008">
        <v>20.275178616156101</v>
      </c>
    </row>
    <row r="3009" spans="1:23" x14ac:dyDescent="0.2">
      <c r="A3009" t="s">
        <v>6021</v>
      </c>
      <c r="B3009" s="3" t="str">
        <f>HYPERLINK("http://www.ncbi.nlm.nih.gov/gene/207742","Rnf43")</f>
        <v>Rnf43</v>
      </c>
      <c r="C3009">
        <v>207742</v>
      </c>
      <c r="D3009" t="s">
        <v>6022</v>
      </c>
      <c r="E3009" s="3" t="str">
        <f>HYPERLINK("http://genome.ucsc.edu/cgi-bin/hgTracks?db=mm10&amp;lastVirtModeType=default&amp;lastVirtModeExtraState=&amp;virtModeType=default&amp;virtMode=0&amp;nonVirtPosition=&amp;position=chr11:87663086-87735539","chr11:87663086-87735539")</f>
        <v>chr11:87663086-87735539</v>
      </c>
      <c r="F3009" t="s">
        <v>30</v>
      </c>
      <c r="G3009">
        <v>0.69728199109174605</v>
      </c>
      <c r="H3009">
        <v>0.25616858011551302</v>
      </c>
      <c r="I3009">
        <v>2.7219653197801401</v>
      </c>
      <c r="J3009">
        <v>6.4894952303572503E-3</v>
      </c>
      <c r="K3009">
        <v>2.88166516439755E-2</v>
      </c>
      <c r="L3009" t="s">
        <v>26</v>
      </c>
      <c r="M3009" t="s">
        <v>27</v>
      </c>
      <c r="N3009">
        <v>100.19970718382601</v>
      </c>
      <c r="O3009">
        <v>69.073540545480995</v>
      </c>
      <c r="P3009">
        <v>123.544332162584</v>
      </c>
      <c r="Q3009">
        <v>81.848504262841601</v>
      </c>
      <c r="R3009">
        <v>49.303139098634801</v>
      </c>
      <c r="S3009">
        <v>76.068978274966597</v>
      </c>
      <c r="T3009">
        <v>192.48409805441301</v>
      </c>
      <c r="U3009">
        <v>74.943986105993702</v>
      </c>
      <c r="V3009">
        <v>101.520200096024</v>
      </c>
      <c r="W3009">
        <v>125.229044393905</v>
      </c>
    </row>
    <row r="3010" spans="1:23" x14ac:dyDescent="0.2">
      <c r="A3010" t="s">
        <v>6023</v>
      </c>
      <c r="B3010" s="3" t="str">
        <f>HYPERLINK("http://www.ncbi.nlm.nih.gov/gene/19338","Rab33b")</f>
        <v>Rab33b</v>
      </c>
      <c r="C3010">
        <v>19338</v>
      </c>
      <c r="D3010" t="s">
        <v>6024</v>
      </c>
      <c r="E3010" s="3" t="str">
        <f>HYPERLINK("http://genome.ucsc.edu/cgi-bin/hgTracks?db=mm10&amp;lastVirtModeType=default&amp;lastVirtModeExtraState=&amp;virtModeType=default&amp;virtMode=0&amp;nonVirtPosition=&amp;position=chr3:51483965-51496212","chr3:51483965-51496212")</f>
        <v>chr3:51483965-51496212</v>
      </c>
      <c r="F3010" t="s">
        <v>30</v>
      </c>
      <c r="G3010">
        <v>-0.59060735412927501</v>
      </c>
      <c r="H3010">
        <v>0.21698654622422101</v>
      </c>
      <c r="I3010">
        <v>-2.7218616287803199</v>
      </c>
      <c r="J3010">
        <v>6.4915316994887803E-3</v>
      </c>
      <c r="K3010">
        <v>2.88166516439755E-2</v>
      </c>
      <c r="L3010" t="s">
        <v>26</v>
      </c>
      <c r="M3010" t="s">
        <v>27</v>
      </c>
      <c r="N3010">
        <v>188.39277977290999</v>
      </c>
      <c r="O3010">
        <v>236.32755356762701</v>
      </c>
      <c r="P3010">
        <v>152.44169942687299</v>
      </c>
      <c r="Q3010">
        <v>318.48533631527499</v>
      </c>
      <c r="R3010">
        <v>213.52051778870299</v>
      </c>
      <c r="S3010">
        <v>176.97680659890199</v>
      </c>
      <c r="T3010">
        <v>178.735233907669</v>
      </c>
      <c r="U3010">
        <v>130.61666149901799</v>
      </c>
      <c r="V3010">
        <v>178.763830603868</v>
      </c>
      <c r="W3010">
        <v>121.651071696936</v>
      </c>
    </row>
    <row r="3011" spans="1:23" x14ac:dyDescent="0.2">
      <c r="A3011" t="s">
        <v>6025</v>
      </c>
      <c r="B3011" s="3" t="str">
        <f>HYPERLINK("http://www.ncbi.nlm.nih.gov/gene/20492","Slbp")</f>
        <v>Slbp</v>
      </c>
      <c r="C3011">
        <v>20492</v>
      </c>
      <c r="D3011" t="s">
        <v>6026</v>
      </c>
      <c r="E3011" s="3" t="str">
        <f>HYPERLINK("http://genome.ucsc.edu/cgi-bin/hgTracks?db=mm10&amp;lastVirtModeType=default&amp;lastVirtModeExtraState=&amp;virtModeType=default&amp;virtMode=0&amp;nonVirtPosition=&amp;position=chr5:33640054-33652574","chr5:33640054-33652574")</f>
        <v>chr5:33640054-33652574</v>
      </c>
      <c r="F3011" t="s">
        <v>25</v>
      </c>
      <c r="G3011">
        <v>0.53192504886304903</v>
      </c>
      <c r="H3011">
        <v>0.195427231203708</v>
      </c>
      <c r="I3011">
        <v>2.72185736648228</v>
      </c>
      <c r="J3011">
        <v>6.49161542241284E-3</v>
      </c>
      <c r="K3011">
        <v>2.88166516439755E-2</v>
      </c>
      <c r="L3011" t="s">
        <v>26</v>
      </c>
      <c r="M3011" t="s">
        <v>27</v>
      </c>
      <c r="N3011">
        <v>154.50116178482099</v>
      </c>
      <c r="O3011">
        <v>119.58947096205701</v>
      </c>
      <c r="P3011">
        <v>180.684929901895</v>
      </c>
      <c r="Q3011">
        <v>87.416429722898798</v>
      </c>
      <c r="R3011">
        <v>135.773259979317</v>
      </c>
      <c r="S3011">
        <v>135.578723183954</v>
      </c>
      <c r="T3011">
        <v>201.650007485576</v>
      </c>
      <c r="U3011">
        <v>184.14808014615599</v>
      </c>
      <c r="V3011">
        <v>144.923763905193</v>
      </c>
      <c r="W3011">
        <v>192.017868070655</v>
      </c>
    </row>
    <row r="3012" spans="1:23" x14ac:dyDescent="0.2">
      <c r="A3012" t="s">
        <v>6027</v>
      </c>
      <c r="B3012" s="3" t="str">
        <f>HYPERLINK("http://www.ncbi.nlm.nih.gov/gene/105351","AW209491")</f>
        <v>AW209491</v>
      </c>
      <c r="C3012">
        <v>105351</v>
      </c>
      <c r="D3012" t="s">
        <v>6028</v>
      </c>
      <c r="E3012" s="3" t="str">
        <f>HYPERLINK("http://genome.ucsc.edu/cgi-bin/hgTracks?db=mm10&amp;lastVirtModeType=default&amp;lastVirtModeExtraState=&amp;virtModeType=default&amp;virtMode=0&amp;nonVirtPosition=&amp;position=chr13:14630257-14638202","chr13:14630257-14638202")</f>
        <v>chr13:14630257-14638202</v>
      </c>
      <c r="F3012" t="s">
        <v>30</v>
      </c>
      <c r="G3012">
        <v>-0.64531784193214103</v>
      </c>
      <c r="H3012">
        <v>0.23709082558788799</v>
      </c>
      <c r="I3012">
        <v>-2.7218170097135501</v>
      </c>
      <c r="J3012">
        <v>6.4924081853389602E-3</v>
      </c>
      <c r="K3012">
        <v>2.88166516439755E-2</v>
      </c>
      <c r="L3012" t="s">
        <v>26</v>
      </c>
      <c r="M3012" t="s">
        <v>27</v>
      </c>
      <c r="N3012">
        <v>51.344304583376598</v>
      </c>
      <c r="O3012">
        <v>66.264679945569597</v>
      </c>
      <c r="P3012">
        <v>40.154023061731898</v>
      </c>
      <c r="Q3012">
        <v>66.258312974681303</v>
      </c>
      <c r="R3012">
        <v>69.403649654232098</v>
      </c>
      <c r="S3012">
        <v>63.132077207795398</v>
      </c>
      <c r="T3012">
        <v>27.497728293487601</v>
      </c>
      <c r="U3012">
        <v>57.8139321389095</v>
      </c>
      <c r="V3012">
        <v>32.368759450906097</v>
      </c>
      <c r="W3012">
        <v>42.935672363624597</v>
      </c>
    </row>
    <row r="3013" spans="1:23" x14ac:dyDescent="0.2">
      <c r="A3013" t="s">
        <v>6029</v>
      </c>
      <c r="B3013" s="3" t="str">
        <f>HYPERLINK("http://www.ncbi.nlm.nih.gov/gene/246198","Mllt6")</f>
        <v>Mllt6</v>
      </c>
      <c r="C3013">
        <v>246198</v>
      </c>
      <c r="D3013" t="s">
        <v>6030</v>
      </c>
      <c r="E3013" s="3" t="str">
        <f>HYPERLINK("http://genome.ucsc.edu/cgi-bin/hgTracks?db=mm10&amp;lastVirtModeType=default&amp;lastVirtModeExtraState=&amp;virtModeType=default&amp;virtMode=0&amp;nonVirtPosition=&amp;position=chr11:97663411-97685458","chr11:97663411-97685458")</f>
        <v>chr11:97663411-97685458</v>
      </c>
      <c r="F3013" t="s">
        <v>30</v>
      </c>
      <c r="G3013">
        <v>0.29476093164651102</v>
      </c>
      <c r="H3013">
        <v>0.10830469628685099</v>
      </c>
      <c r="I3013">
        <v>2.7215895686168601</v>
      </c>
      <c r="J3013">
        <v>6.4968776362091304E-3</v>
      </c>
      <c r="K3013">
        <v>2.8826934534949101E-2</v>
      </c>
      <c r="L3013" t="s">
        <v>26</v>
      </c>
      <c r="M3013" t="s">
        <v>27</v>
      </c>
      <c r="N3013">
        <v>511.48761524175097</v>
      </c>
      <c r="O3013">
        <v>451.4496668141</v>
      </c>
      <c r="P3013">
        <v>556.51607656248802</v>
      </c>
      <c r="Q3013">
        <v>477.17121192690598</v>
      </c>
      <c r="R3013">
        <v>424.38625116440301</v>
      </c>
      <c r="S3013">
        <v>452.79153735099197</v>
      </c>
      <c r="T3013">
        <v>545.37161115416995</v>
      </c>
      <c r="U3013">
        <v>588.84560511852203</v>
      </c>
      <c r="V3013">
        <v>519.37145846226701</v>
      </c>
      <c r="W3013">
        <v>572.47563151499503</v>
      </c>
    </row>
    <row r="3014" spans="1:23" x14ac:dyDescent="0.2">
      <c r="A3014" t="s">
        <v>6031</v>
      </c>
      <c r="B3014" s="3" t="str">
        <f>HYPERLINK("http://www.ncbi.nlm.nih.gov/gene/12334","Capn2")</f>
        <v>Capn2</v>
      </c>
      <c r="C3014">
        <v>12334</v>
      </c>
      <c r="D3014" t="s">
        <v>6032</v>
      </c>
      <c r="E3014" s="3" t="str">
        <f>HYPERLINK("http://genome.ucsc.edu/cgi-bin/hgTracks?db=mm10&amp;lastVirtModeType=default&amp;lastVirtModeExtraState=&amp;virtModeType=default&amp;virtMode=0&amp;nonVirtPosition=&amp;position=chr1:182467258-182517483","chr1:182467258-182517483")</f>
        <v>chr1:182467258-182517483</v>
      </c>
      <c r="F3014" t="s">
        <v>25</v>
      </c>
      <c r="G3014">
        <v>-0.34950670347552998</v>
      </c>
      <c r="H3014">
        <v>0.12843000115324199</v>
      </c>
      <c r="I3014">
        <v>-2.7213789639268202</v>
      </c>
      <c r="J3014">
        <v>6.5010187021269303E-3</v>
      </c>
      <c r="K3014">
        <v>2.8835754037821099E-2</v>
      </c>
      <c r="L3014" t="s">
        <v>26</v>
      </c>
      <c r="M3014" t="s">
        <v>27</v>
      </c>
      <c r="N3014">
        <v>471.54788206678398</v>
      </c>
      <c r="O3014">
        <v>543.86970996124296</v>
      </c>
      <c r="P3014">
        <v>417.30651114594002</v>
      </c>
      <c r="Q3014">
        <v>574.609907477908</v>
      </c>
      <c r="R3014">
        <v>513.13190154194501</v>
      </c>
      <c r="S3014">
        <v>543.86732086387701</v>
      </c>
      <c r="T3014">
        <v>334.55569423743202</v>
      </c>
      <c r="U3014">
        <v>451.80517338184802</v>
      </c>
      <c r="V3014">
        <v>404.60949313632699</v>
      </c>
      <c r="W3014">
        <v>478.25568382815197</v>
      </c>
    </row>
    <row r="3015" spans="1:23" x14ac:dyDescent="0.2">
      <c r="A3015" t="s">
        <v>6033</v>
      </c>
      <c r="B3015" s="3" t="str">
        <f>HYPERLINK("http://www.ncbi.nlm.nih.gov/gene/230721","Pabpc4")</f>
        <v>Pabpc4</v>
      </c>
      <c r="C3015">
        <v>230721</v>
      </c>
      <c r="D3015" t="s">
        <v>6034</v>
      </c>
      <c r="E3015" s="3" t="str">
        <f>HYPERLINK("http://genome.ucsc.edu/cgi-bin/hgTracks?db=mm10&amp;lastVirtModeType=default&amp;lastVirtModeExtraState=&amp;virtModeType=default&amp;virtMode=0&amp;nonVirtPosition=&amp;position=chr4:123282910-123298835","chr4:123282910-123298835")</f>
        <v>chr4:123282910-123298835</v>
      </c>
      <c r="F3015" t="s">
        <v>30</v>
      </c>
      <c r="G3015">
        <v>0.68160536603344202</v>
      </c>
      <c r="H3015">
        <v>0.25055315995880201</v>
      </c>
      <c r="I3015">
        <v>2.7204021938718199</v>
      </c>
      <c r="J3015">
        <v>6.5202557384640902E-3</v>
      </c>
      <c r="K3015">
        <v>2.8911504832375E-2</v>
      </c>
      <c r="L3015" t="s">
        <v>26</v>
      </c>
      <c r="M3015" t="s">
        <v>27</v>
      </c>
      <c r="N3015">
        <v>79.8207792358848</v>
      </c>
      <c r="O3015">
        <v>55.444587781861003</v>
      </c>
      <c r="P3015">
        <v>98.102922826402505</v>
      </c>
      <c r="Q3015">
        <v>34.521137852354897</v>
      </c>
      <c r="R3015">
        <v>67.128120157371995</v>
      </c>
      <c r="S3015">
        <v>64.684505335856002</v>
      </c>
      <c r="T3015">
        <v>123.739777320694</v>
      </c>
      <c r="U3015">
        <v>104.92158054839101</v>
      </c>
      <c r="V3015">
        <v>74.301016012307201</v>
      </c>
      <c r="W3015">
        <v>89.449317424217995</v>
      </c>
    </row>
    <row r="3016" spans="1:23" x14ac:dyDescent="0.2">
      <c r="A3016" t="s">
        <v>6035</v>
      </c>
      <c r="B3016" s="3" t="str">
        <f>HYPERLINK("http://www.ncbi.nlm.nih.gov/gene/19219","Ptger4")</f>
        <v>Ptger4</v>
      </c>
      <c r="C3016">
        <v>19219</v>
      </c>
      <c r="D3016" t="s">
        <v>6036</v>
      </c>
      <c r="E3016" s="3" t="str">
        <f>HYPERLINK("http://genome.ucsc.edu/cgi-bin/hgTracks?db=mm10&amp;lastVirtModeType=default&amp;lastVirtModeExtraState=&amp;virtModeType=default&amp;virtMode=0&amp;nonVirtPosition=&amp;position=chr15:5233398-5244187","chr15:5233398-5244187")</f>
        <v>chr15:5233398-5244187</v>
      </c>
      <c r="F3016" t="s">
        <v>25</v>
      </c>
      <c r="G3016">
        <v>0.877398981075177</v>
      </c>
      <c r="H3016">
        <v>0.32255695722068101</v>
      </c>
      <c r="I3016">
        <v>2.7201365880782902</v>
      </c>
      <c r="J3016">
        <v>6.5254955687874703E-3</v>
      </c>
      <c r="K3016">
        <v>2.8925160927386E-2</v>
      </c>
      <c r="L3016" t="s">
        <v>26</v>
      </c>
      <c r="M3016" t="s">
        <v>27</v>
      </c>
      <c r="N3016">
        <v>19.7390085200595</v>
      </c>
      <c r="O3016">
        <v>11.734743637433199</v>
      </c>
      <c r="P3016">
        <v>25.742207182029301</v>
      </c>
      <c r="Q3016">
        <v>14.4766061961489</v>
      </c>
      <c r="R3016">
        <v>9.8606278197269592</v>
      </c>
      <c r="S3016">
        <v>10.8669968964238</v>
      </c>
      <c r="T3016">
        <v>36.663637724650101</v>
      </c>
      <c r="U3016">
        <v>12.847540475313201</v>
      </c>
      <c r="V3016">
        <v>27.219184083716499</v>
      </c>
      <c r="W3016">
        <v>26.2384664444373</v>
      </c>
    </row>
    <row r="3017" spans="1:23" x14ac:dyDescent="0.2">
      <c r="A3017" t="s">
        <v>6037</v>
      </c>
      <c r="B3017" s="3" t="str">
        <f>HYPERLINK("http://www.ncbi.nlm.nih.gov/gene/59040","Rhot1")</f>
        <v>Rhot1</v>
      </c>
      <c r="C3017">
        <v>59040</v>
      </c>
      <c r="D3017" t="s">
        <v>6038</v>
      </c>
      <c r="E3017" s="3" t="str">
        <f>HYPERLINK("http://genome.ucsc.edu/cgi-bin/hgTracks?db=mm10&amp;lastVirtModeType=default&amp;lastVirtModeExtraState=&amp;virtModeType=default&amp;virtMode=0&amp;nonVirtPosition=&amp;position=chr11:80209054-80267907","chr11:80209054-80267907")</f>
        <v>chr11:80209054-80267907</v>
      </c>
      <c r="F3017" t="s">
        <v>30</v>
      </c>
      <c r="G3017">
        <v>-0.39342659407324798</v>
      </c>
      <c r="H3017">
        <v>0.14468879346720401</v>
      </c>
      <c r="I3017">
        <v>-2.7191227782435399</v>
      </c>
      <c r="J3017">
        <v>6.5455306889437804E-3</v>
      </c>
      <c r="K3017">
        <v>2.9004368449915999E-2</v>
      </c>
      <c r="L3017" t="s">
        <v>26</v>
      </c>
      <c r="M3017" t="s">
        <v>27</v>
      </c>
      <c r="N3017">
        <v>337.86806023680202</v>
      </c>
      <c r="O3017">
        <v>390.91205775566999</v>
      </c>
      <c r="P3017">
        <v>298.08506209765198</v>
      </c>
      <c r="Q3017">
        <v>337.97307542547497</v>
      </c>
      <c r="R3017">
        <v>451.31335021057998</v>
      </c>
      <c r="S3017">
        <v>383.44974763095399</v>
      </c>
      <c r="T3017">
        <v>334.55569423743202</v>
      </c>
      <c r="U3017">
        <v>263.374579743921</v>
      </c>
      <c r="V3017">
        <v>279.548377076007</v>
      </c>
      <c r="W3017">
        <v>314.861597333247</v>
      </c>
    </row>
    <row r="3018" spans="1:23" x14ac:dyDescent="0.2">
      <c r="A3018" t="s">
        <v>6039</v>
      </c>
      <c r="B3018" s="3" t="str">
        <f>HYPERLINK("http://www.ncbi.nlm.nih.gov/gene/331424","C230004F18Rik")</f>
        <v>C230004F18Rik</v>
      </c>
      <c r="C3018">
        <v>331424</v>
      </c>
      <c r="D3018" t="s">
        <v>6040</v>
      </c>
      <c r="E3018" s="3" t="str">
        <f>HYPERLINK("http://genome.ucsc.edu/cgi-bin/hgTracks?db=mm10&amp;lastVirtModeType=default&amp;lastVirtModeExtraState=&amp;virtModeType=default&amp;virtMode=0&amp;nonVirtPosition=&amp;position=chrX:61116377-61139460","chrX:61116377-61139460")</f>
        <v>chrX:61116377-61139460</v>
      </c>
      <c r="F3018" t="s">
        <v>30</v>
      </c>
      <c r="G3018">
        <v>0.48952740750763302</v>
      </c>
      <c r="H3018">
        <v>0.180056665576036</v>
      </c>
      <c r="I3018">
        <v>2.7187408249594198</v>
      </c>
      <c r="J3018">
        <v>6.5530932653271303E-3</v>
      </c>
      <c r="K3018">
        <v>2.90282738723108E-2</v>
      </c>
      <c r="L3018" t="s">
        <v>26</v>
      </c>
      <c r="M3018" t="s">
        <v>27</v>
      </c>
      <c r="N3018">
        <v>310.40250929068702</v>
      </c>
      <c r="O3018">
        <v>247.712844294831</v>
      </c>
      <c r="P3018">
        <v>357.41975803757902</v>
      </c>
      <c r="Q3018">
        <v>234.40966186841001</v>
      </c>
      <c r="R3018">
        <v>319.33263939269602</v>
      </c>
      <c r="S3018">
        <v>189.396231623386</v>
      </c>
      <c r="T3018">
        <v>366.63637724650101</v>
      </c>
      <c r="U3018">
        <v>404.69752497236601</v>
      </c>
      <c r="V3018">
        <v>314.85975102244998</v>
      </c>
      <c r="W3018">
        <v>343.48537890899701</v>
      </c>
    </row>
    <row r="3019" spans="1:23" x14ac:dyDescent="0.2">
      <c r="A3019" t="s">
        <v>6041</v>
      </c>
      <c r="B3019" s="3" t="str">
        <f>HYPERLINK("http://www.ncbi.nlm.nih.gov/gene/20524","Slc25a17")</f>
        <v>Slc25a17</v>
      </c>
      <c r="C3019">
        <v>20524</v>
      </c>
      <c r="D3019" t="s">
        <v>6042</v>
      </c>
      <c r="E3019" s="3" t="str">
        <f>HYPERLINK("http://genome.ucsc.edu/cgi-bin/hgTracks?db=mm10&amp;lastVirtModeType=default&amp;lastVirtModeExtraState=&amp;virtModeType=default&amp;virtMode=0&amp;nonVirtPosition=&amp;position=chr15:81318920-81360765","chr15:81318920-81360765")</f>
        <v>chr15:81318920-81360765</v>
      </c>
      <c r="F3019" t="s">
        <v>25</v>
      </c>
      <c r="G3019">
        <v>-0.39992905159692699</v>
      </c>
      <c r="H3019">
        <v>0.14711604460656799</v>
      </c>
      <c r="I3019">
        <v>-2.7184597891172002</v>
      </c>
      <c r="J3019">
        <v>6.5586627195679797E-3</v>
      </c>
      <c r="K3019">
        <v>2.90433374595684E-2</v>
      </c>
      <c r="L3019" t="s">
        <v>26</v>
      </c>
      <c r="M3019" t="s">
        <v>27</v>
      </c>
      <c r="N3019">
        <v>161.99417519383999</v>
      </c>
      <c r="O3019">
        <v>188.72732273560001</v>
      </c>
      <c r="P3019">
        <v>141.94431453752</v>
      </c>
      <c r="Q3019">
        <v>177.060029629821</v>
      </c>
      <c r="R3019">
        <v>205.93541946583599</v>
      </c>
      <c r="S3019">
        <v>183.18651911114401</v>
      </c>
      <c r="T3019">
        <v>146.65455089860001</v>
      </c>
      <c r="U3019">
        <v>130.61666149901799</v>
      </c>
      <c r="V3019">
        <v>139.03853491411999</v>
      </c>
      <c r="W3019">
        <v>151.46751083834201</v>
      </c>
    </row>
    <row r="3020" spans="1:23" x14ac:dyDescent="0.2">
      <c r="A3020" t="s">
        <v>6043</v>
      </c>
      <c r="B3020" s="3" t="str">
        <f>HYPERLINK("http://www.ncbi.nlm.nih.gov/gene/109294","Prex2")</f>
        <v>Prex2</v>
      </c>
      <c r="C3020">
        <v>109294</v>
      </c>
      <c r="D3020" t="s">
        <v>6044</v>
      </c>
      <c r="E3020" s="3" t="str">
        <f>HYPERLINK("http://genome.ucsc.edu/cgi-bin/hgTracks?db=mm10&amp;lastVirtModeType=default&amp;lastVirtModeExtraState=&amp;virtModeType=default&amp;virtMode=0&amp;nonVirtPosition=&amp;position=chr1:10993464-11303682","chr1:10993464-11303682")</f>
        <v>chr1:10993464-11303682</v>
      </c>
      <c r="F3020" t="s">
        <v>30</v>
      </c>
      <c r="G3020">
        <v>-0.72537648044320202</v>
      </c>
      <c r="H3020">
        <v>0.26688867701390401</v>
      </c>
      <c r="I3020">
        <v>-2.7178990452465399</v>
      </c>
      <c r="J3020">
        <v>6.5697880363427196E-3</v>
      </c>
      <c r="K3020">
        <v>2.9082985651129E-2</v>
      </c>
      <c r="L3020" t="s">
        <v>26</v>
      </c>
      <c r="M3020" t="s">
        <v>27</v>
      </c>
      <c r="N3020">
        <v>177.582619484037</v>
      </c>
      <c r="O3020">
        <v>237.81447506311801</v>
      </c>
      <c r="P3020">
        <v>132.40872779972699</v>
      </c>
      <c r="Q3020">
        <v>226.057773678324</v>
      </c>
      <c r="R3020">
        <v>358.01664083931701</v>
      </c>
      <c r="S3020">
        <v>129.369010671712</v>
      </c>
      <c r="T3020">
        <v>114.573867889532</v>
      </c>
      <c r="U3020">
        <v>113.486607531933</v>
      </c>
      <c r="V3020">
        <v>125.06111606031899</v>
      </c>
      <c r="W3020">
        <v>176.51331971712301</v>
      </c>
    </row>
    <row r="3021" spans="1:23" x14ac:dyDescent="0.2">
      <c r="A3021" t="s">
        <v>6045</v>
      </c>
      <c r="B3021" s="3" t="str">
        <f>HYPERLINK("http://www.ncbi.nlm.nih.gov/gene/18020","Nfatc2ip")</f>
        <v>Nfatc2ip</v>
      </c>
      <c r="C3021">
        <v>18020</v>
      </c>
      <c r="D3021" t="s">
        <v>6046</v>
      </c>
      <c r="E3021" s="3" t="str">
        <f>HYPERLINK("http://genome.ucsc.edu/cgi-bin/hgTracks?db=mm10&amp;lastVirtModeType=default&amp;lastVirtModeExtraState=&amp;virtModeType=default&amp;virtMode=0&amp;nonVirtPosition=&amp;position=chr7:126382853-126396737","chr7:126382853-126396737")</f>
        <v>chr7:126382853-126396737</v>
      </c>
      <c r="F3021" t="s">
        <v>25</v>
      </c>
      <c r="G3021">
        <v>0.72156256553269105</v>
      </c>
      <c r="H3021">
        <v>0.26561744316212899</v>
      </c>
      <c r="I3021">
        <v>2.7165481187628902</v>
      </c>
      <c r="J3021">
        <v>6.5966605255081898E-3</v>
      </c>
      <c r="K3021">
        <v>2.91922938192598E-2</v>
      </c>
      <c r="L3021" t="s">
        <v>26</v>
      </c>
      <c r="M3021" t="s">
        <v>27</v>
      </c>
      <c r="N3021">
        <v>74.962324501519504</v>
      </c>
      <c r="O3021">
        <v>50.433764171321997</v>
      </c>
      <c r="P3021">
        <v>93.358744749167698</v>
      </c>
      <c r="Q3021">
        <v>33.964345306349202</v>
      </c>
      <c r="R3021">
        <v>44.372825188771301</v>
      </c>
      <c r="S3021">
        <v>72.964122018845501</v>
      </c>
      <c r="T3021">
        <v>132.90568675185699</v>
      </c>
      <c r="U3021">
        <v>87.791526581306996</v>
      </c>
      <c r="V3021">
        <v>72.829708764538793</v>
      </c>
      <c r="W3021">
        <v>79.908056898968098</v>
      </c>
    </row>
    <row r="3022" spans="1:23" x14ac:dyDescent="0.2">
      <c r="A3022" t="s">
        <v>6047</v>
      </c>
      <c r="B3022" s="3" t="str">
        <f>HYPERLINK("http://www.ncbi.nlm.nih.gov/gene/67515","Ttc33")</f>
        <v>Ttc33</v>
      </c>
      <c r="C3022">
        <v>67515</v>
      </c>
      <c r="D3022" t="s">
        <v>6048</v>
      </c>
      <c r="E3022" s="3" t="str">
        <f>HYPERLINK("http://genome.ucsc.edu/cgi-bin/hgTracks?db=mm10&amp;lastVirtModeType=default&amp;lastVirtModeExtraState=&amp;virtModeType=default&amp;virtMode=0&amp;nonVirtPosition=&amp;position=chr15:5185559-5218332","chr15:5185559-5218332")</f>
        <v>chr15:5185559-5218332</v>
      </c>
      <c r="F3022" t="s">
        <v>30</v>
      </c>
      <c r="G3022">
        <v>-0.57199901614780602</v>
      </c>
      <c r="H3022">
        <v>0.210596502231187</v>
      </c>
      <c r="I3022">
        <v>-2.7160898214723499</v>
      </c>
      <c r="J3022">
        <v>6.6057993558781202E-3</v>
      </c>
      <c r="K3022">
        <v>2.9223078683371002E-2</v>
      </c>
      <c r="L3022" t="s">
        <v>26</v>
      </c>
      <c r="M3022" t="s">
        <v>27</v>
      </c>
      <c r="N3022">
        <v>100.702731818041</v>
      </c>
      <c r="O3022">
        <v>123.559101530701</v>
      </c>
      <c r="P3022">
        <v>83.560454533546604</v>
      </c>
      <c r="Q3022">
        <v>154.23153524358599</v>
      </c>
      <c r="R3022">
        <v>110.363180597713</v>
      </c>
      <c r="S3022">
        <v>106.08258875080401</v>
      </c>
      <c r="T3022">
        <v>100.825003742788</v>
      </c>
      <c r="U3022">
        <v>85.650269835421398</v>
      </c>
      <c r="V3022">
        <v>65.473172525696498</v>
      </c>
      <c r="W3022">
        <v>82.293372030280594</v>
      </c>
    </row>
    <row r="3023" spans="1:23" x14ac:dyDescent="0.2">
      <c r="A3023" t="s">
        <v>6049</v>
      </c>
      <c r="B3023" s="3" t="str">
        <f>HYPERLINK("http://www.ncbi.nlm.nih.gov/gene/225362","Reep2")</f>
        <v>Reep2</v>
      </c>
      <c r="C3023">
        <v>225362</v>
      </c>
      <c r="D3023" t="s">
        <v>6050</v>
      </c>
      <c r="E3023" s="3" t="str">
        <f>HYPERLINK("http://genome.ucsc.edu/cgi-bin/hgTracks?db=mm10&amp;lastVirtModeType=default&amp;lastVirtModeExtraState=&amp;virtModeType=default&amp;virtMode=0&amp;nonVirtPosition=&amp;position=chr18:34840588-34847463","chr18:34840588-34847463")</f>
        <v>chr18:34840588-34847463</v>
      </c>
      <c r="F3023" t="s">
        <v>30</v>
      </c>
      <c r="G3023">
        <v>-0.40517884806653898</v>
      </c>
      <c r="H3023">
        <v>0.149214085928461</v>
      </c>
      <c r="I3023">
        <v>-2.7154195634103799</v>
      </c>
      <c r="J3023">
        <v>6.6191853614012601E-3</v>
      </c>
      <c r="K3023">
        <v>2.9272625883264299E-2</v>
      </c>
      <c r="L3023" t="s">
        <v>26</v>
      </c>
      <c r="M3023" t="s">
        <v>27</v>
      </c>
      <c r="N3023">
        <v>167.948235706151</v>
      </c>
      <c r="O3023">
        <v>196.969641057101</v>
      </c>
      <c r="P3023">
        <v>146.182181692939</v>
      </c>
      <c r="Q3023">
        <v>203.78607183809501</v>
      </c>
      <c r="R3023">
        <v>202.901380136689</v>
      </c>
      <c r="S3023">
        <v>184.221471196518</v>
      </c>
      <c r="T3023">
        <v>128.322732036275</v>
      </c>
      <c r="U3023">
        <v>160.59425594141501</v>
      </c>
      <c r="V3023">
        <v>132.41765229916101</v>
      </c>
      <c r="W3023">
        <v>163.394086494905</v>
      </c>
    </row>
    <row r="3024" spans="1:23" x14ac:dyDescent="0.2">
      <c r="A3024" t="s">
        <v>6051</v>
      </c>
      <c r="B3024" s="3" t="str">
        <f>HYPERLINK("http://www.ncbi.nlm.nih.gov/gene/102124","Enkd1")</f>
        <v>Enkd1</v>
      </c>
      <c r="C3024">
        <v>102124</v>
      </c>
      <c r="D3024" t="s">
        <v>6052</v>
      </c>
      <c r="E3024" s="3" t="str">
        <f>HYPERLINK("http://genome.ucsc.edu/cgi-bin/hgTracks?db=mm10&amp;lastVirtModeType=default&amp;lastVirtModeExtraState=&amp;virtModeType=default&amp;virtMode=0&amp;nonVirtPosition=&amp;position=chr8:105703651-105708168","chr8:105703651-105708168")</f>
        <v>chr8:105703651-105708168</v>
      </c>
      <c r="F3024" t="s">
        <v>25</v>
      </c>
      <c r="G3024">
        <v>0.70678066218507296</v>
      </c>
      <c r="H3024">
        <v>0.26049581292364499</v>
      </c>
      <c r="I3024">
        <v>2.7132131386397398</v>
      </c>
      <c r="J3024">
        <v>6.6634232684007104E-3</v>
      </c>
      <c r="K3024">
        <v>2.9448812206981499E-2</v>
      </c>
      <c r="L3024" t="s">
        <v>26</v>
      </c>
      <c r="M3024" t="s">
        <v>27</v>
      </c>
      <c r="N3024">
        <v>33.591063677479703</v>
      </c>
      <c r="O3024">
        <v>22.614767333296001</v>
      </c>
      <c r="P3024">
        <v>41.823285935617399</v>
      </c>
      <c r="Q3024">
        <v>20.0445316562061</v>
      </c>
      <c r="R3024">
        <v>25.0308244654607</v>
      </c>
      <c r="S3024">
        <v>22.768945878221299</v>
      </c>
      <c r="T3024">
        <v>54.995456586975202</v>
      </c>
      <c r="U3024">
        <v>38.5426214259396</v>
      </c>
      <c r="V3024">
        <v>36.782681194211499</v>
      </c>
      <c r="W3024">
        <v>36.972384535343402</v>
      </c>
    </row>
    <row r="3025" spans="1:23" x14ac:dyDescent="0.2">
      <c r="A3025" t="s">
        <v>6053</v>
      </c>
      <c r="B3025" s="3" t="str">
        <f>HYPERLINK("http://www.ncbi.nlm.nih.gov/gene/17425","Foxk1")</f>
        <v>Foxk1</v>
      </c>
      <c r="C3025">
        <v>17425</v>
      </c>
      <c r="D3025" t="s">
        <v>6054</v>
      </c>
      <c r="E3025" s="3" t="str">
        <f>HYPERLINK("http://genome.ucsc.edu/cgi-bin/hgTracks?db=mm10&amp;lastVirtModeType=default&amp;lastVirtModeExtraState=&amp;virtModeType=default&amp;virtMode=0&amp;nonVirtPosition=&amp;position=chr5:142401496-142462015","chr5:142401496-142462015")</f>
        <v>chr5:142401496-142462015</v>
      </c>
      <c r="F3025" t="s">
        <v>30</v>
      </c>
      <c r="G3025">
        <v>0.48334742512213802</v>
      </c>
      <c r="H3025">
        <v>0.17822794265914199</v>
      </c>
      <c r="I3025">
        <v>2.71196209702387</v>
      </c>
      <c r="J3025">
        <v>6.6886240509046102E-3</v>
      </c>
      <c r="K3025">
        <v>2.9550433739908798E-2</v>
      </c>
      <c r="L3025" t="s">
        <v>26</v>
      </c>
      <c r="M3025" t="s">
        <v>27</v>
      </c>
      <c r="N3025">
        <v>315.34187656369897</v>
      </c>
      <c r="O3025">
        <v>255.16453158752199</v>
      </c>
      <c r="P3025">
        <v>360.474885295832</v>
      </c>
      <c r="Q3025">
        <v>265.03325189872498</v>
      </c>
      <c r="R3025">
        <v>185.83490891023899</v>
      </c>
      <c r="S3025">
        <v>314.62543395360302</v>
      </c>
      <c r="T3025">
        <v>339.13864895301401</v>
      </c>
      <c r="U3025">
        <v>351.16610632522799</v>
      </c>
      <c r="V3025">
        <v>410.4947221274</v>
      </c>
      <c r="W3025">
        <v>341.10006377768502</v>
      </c>
    </row>
    <row r="3026" spans="1:23" x14ac:dyDescent="0.2">
      <c r="A3026" t="s">
        <v>6055</v>
      </c>
      <c r="B3026" s="3" t="str">
        <f>HYPERLINK("http://www.ncbi.nlm.nih.gov/gene/16468","Jarid2")</f>
        <v>Jarid2</v>
      </c>
      <c r="C3026">
        <v>16468</v>
      </c>
      <c r="D3026" t="s">
        <v>6056</v>
      </c>
      <c r="E3026" s="3" t="str">
        <f>HYPERLINK("http://genome.ucsc.edu/cgi-bin/hgTracks?db=mm10&amp;lastVirtModeType=default&amp;lastVirtModeExtraState=&amp;virtModeType=default&amp;virtMode=0&amp;nonVirtPosition=&amp;position=chr13:44730773-44921643","chr13:44730773-44921643")</f>
        <v>chr13:44730773-44921643</v>
      </c>
      <c r="F3026" t="s">
        <v>30</v>
      </c>
      <c r="G3026">
        <v>0.36311690967120902</v>
      </c>
      <c r="H3026">
        <v>0.13390883617653401</v>
      </c>
      <c r="I3026">
        <v>2.7116725082466302</v>
      </c>
      <c r="J3026">
        <v>6.6944696789270003E-3</v>
      </c>
      <c r="K3026">
        <v>2.9566505102411399E-2</v>
      </c>
      <c r="L3026" t="s">
        <v>26</v>
      </c>
      <c r="M3026" t="s">
        <v>27</v>
      </c>
      <c r="N3026">
        <v>432.367507044033</v>
      </c>
      <c r="O3026">
        <v>372.78799082079399</v>
      </c>
      <c r="P3026">
        <v>477.05214421146297</v>
      </c>
      <c r="Q3026">
        <v>344.09779343153798</v>
      </c>
      <c r="R3026">
        <v>371.66981782047799</v>
      </c>
      <c r="S3026">
        <v>402.59636121036698</v>
      </c>
      <c r="T3026">
        <v>421.63183383347598</v>
      </c>
      <c r="U3026">
        <v>481.78276782424501</v>
      </c>
      <c r="V3026">
        <v>563.51067589531999</v>
      </c>
      <c r="W3026">
        <v>441.28329929280898</v>
      </c>
    </row>
    <row r="3027" spans="1:23" x14ac:dyDescent="0.2">
      <c r="A3027" t="s">
        <v>6057</v>
      </c>
      <c r="B3027" s="3" t="str">
        <f>HYPERLINK("http://www.ncbi.nlm.nih.gov/gene/70611","Fbxo33")</f>
        <v>Fbxo33</v>
      </c>
      <c r="C3027">
        <v>70611</v>
      </c>
      <c r="D3027" t="s">
        <v>6058</v>
      </c>
      <c r="E3027" s="3" t="str">
        <f>HYPERLINK("http://genome.ucsc.edu/cgi-bin/hgTracks?db=mm10&amp;lastVirtModeType=default&amp;lastVirtModeExtraState=&amp;virtModeType=default&amp;virtMode=0&amp;nonVirtPosition=&amp;position=chr12:59200654-59219483","chr12:59200654-59219483")</f>
        <v>chr12:59200654-59219483</v>
      </c>
      <c r="F3027" t="s">
        <v>25</v>
      </c>
      <c r="G3027">
        <v>-0.48723479194352398</v>
      </c>
      <c r="H3027">
        <v>0.17980869303240701</v>
      </c>
      <c r="I3027">
        <v>-2.7097399114942098</v>
      </c>
      <c r="J3027">
        <v>6.73359873848946E-3</v>
      </c>
      <c r="K3027">
        <v>2.9729515564494699E-2</v>
      </c>
      <c r="L3027" t="s">
        <v>26</v>
      </c>
      <c r="M3027" t="s">
        <v>27</v>
      </c>
      <c r="N3027">
        <v>136.13310321525401</v>
      </c>
      <c r="O3027">
        <v>165.59930990692499</v>
      </c>
      <c r="P3027">
        <v>114.0334481965</v>
      </c>
      <c r="Q3027">
        <v>149.22040232953401</v>
      </c>
      <c r="R3027">
        <v>162.32110410935101</v>
      </c>
      <c r="S3027">
        <v>185.25642328189099</v>
      </c>
      <c r="T3027">
        <v>119.15682260511301</v>
      </c>
      <c r="U3027">
        <v>85.650269835421398</v>
      </c>
      <c r="V3027">
        <v>136.831574042467</v>
      </c>
      <c r="W3027">
        <v>114.495126302999</v>
      </c>
    </row>
    <row r="3028" spans="1:23" x14ac:dyDescent="0.2">
      <c r="A3028" t="s">
        <v>6059</v>
      </c>
      <c r="B3028" s="3" t="str">
        <f>HYPERLINK("http://www.ncbi.nlm.nih.gov/gene/56177","Olfm1")</f>
        <v>Olfm1</v>
      </c>
      <c r="C3028">
        <v>56177</v>
      </c>
      <c r="D3028" t="s">
        <v>6060</v>
      </c>
      <c r="E3028" s="3" t="str">
        <f>HYPERLINK("http://genome.ucsc.edu/cgi-bin/hgTracks?db=mm10&amp;lastVirtModeType=default&amp;lastVirtModeExtraState=&amp;virtModeType=default&amp;virtMode=0&amp;nonVirtPosition=&amp;position=chr2:28193092-28214431","chr2:28193092-28214431")</f>
        <v>chr2:28193092-28214431</v>
      </c>
      <c r="F3028" t="s">
        <v>30</v>
      </c>
      <c r="G3028">
        <v>-0.54224781877871797</v>
      </c>
      <c r="H3028">
        <v>0.20017223945710499</v>
      </c>
      <c r="I3028">
        <v>-2.7089061912349601</v>
      </c>
      <c r="J3028">
        <v>6.7505423533453504E-3</v>
      </c>
      <c r="K3028">
        <v>2.9794499885843002E-2</v>
      </c>
      <c r="L3028" t="s">
        <v>26</v>
      </c>
      <c r="M3028" t="s">
        <v>27</v>
      </c>
      <c r="N3028">
        <v>217.28760834968199</v>
      </c>
      <c r="O3028">
        <v>267.76618815871001</v>
      </c>
      <c r="P3028">
        <v>179.428673492911</v>
      </c>
      <c r="Q3028">
        <v>266.70362953674203</v>
      </c>
      <c r="R3028">
        <v>333.744326206143</v>
      </c>
      <c r="S3028">
        <v>202.850608733244</v>
      </c>
      <c r="T3028">
        <v>169.56932447650701</v>
      </c>
      <c r="U3028">
        <v>190.571850383813</v>
      </c>
      <c r="V3028">
        <v>140.509842161888</v>
      </c>
      <c r="W3028">
        <v>217.063676949436</v>
      </c>
    </row>
    <row r="3029" spans="1:23" x14ac:dyDescent="0.2">
      <c r="A3029" t="s">
        <v>6061</v>
      </c>
      <c r="B3029" s="3" t="str">
        <f>HYPERLINK("http://www.ncbi.nlm.nih.gov/gene/66932","Rexo1")</f>
        <v>Rexo1</v>
      </c>
      <c r="C3029">
        <v>66932</v>
      </c>
      <c r="D3029" t="s">
        <v>6062</v>
      </c>
      <c r="E3029" s="3" t="str">
        <f>HYPERLINK("http://genome.ucsc.edu/cgi-bin/hgTracks?db=mm10&amp;lastVirtModeType=default&amp;lastVirtModeExtraState=&amp;virtModeType=default&amp;virtMode=0&amp;nonVirtPosition=&amp;position=chr10:80540925-80561560","chr10:80540925-80561560")</f>
        <v>chr10:80540925-80561560</v>
      </c>
      <c r="F3029" t="s">
        <v>25</v>
      </c>
      <c r="G3029">
        <v>0.531228415610706</v>
      </c>
      <c r="H3029">
        <v>0.19617296679211599</v>
      </c>
      <c r="I3029">
        <v>2.7079593294505599</v>
      </c>
      <c r="J3029">
        <v>6.7698317974153903E-3</v>
      </c>
      <c r="K3029">
        <v>2.9869791630704901E-2</v>
      </c>
      <c r="L3029" t="s">
        <v>26</v>
      </c>
      <c r="M3029" t="s">
        <v>27</v>
      </c>
      <c r="N3029">
        <v>253.08199141777001</v>
      </c>
      <c r="O3029">
        <v>197.59661652144001</v>
      </c>
      <c r="P3029">
        <v>294.69602259001698</v>
      </c>
      <c r="Q3029">
        <v>155.34512033559699</v>
      </c>
      <c r="R3029">
        <v>164.21737869006799</v>
      </c>
      <c r="S3029">
        <v>273.22735053865603</v>
      </c>
      <c r="T3029">
        <v>311.64092065952599</v>
      </c>
      <c r="U3029">
        <v>316.90599839105897</v>
      </c>
      <c r="V3029">
        <v>260.42138285501699</v>
      </c>
      <c r="W3029">
        <v>289.81578845446597</v>
      </c>
    </row>
    <row r="3030" spans="1:23" x14ac:dyDescent="0.2">
      <c r="A3030" t="s">
        <v>6063</v>
      </c>
      <c r="B3030" s="3" t="str">
        <f>HYPERLINK("http://www.ncbi.nlm.nih.gov/gene/18521","Pcbp2")</f>
        <v>Pcbp2</v>
      </c>
      <c r="C3030">
        <v>18521</v>
      </c>
      <c r="D3030" t="s">
        <v>6064</v>
      </c>
      <c r="E3030" s="3" t="str">
        <f>HYPERLINK("http://genome.ucsc.edu/cgi-bin/hgTracks?db=mm10&amp;lastVirtModeType=default&amp;lastVirtModeExtraState=&amp;virtModeType=default&amp;virtMode=0&amp;nonVirtPosition=&amp;position=chr15:102470631-102500059","chr15:102470631-102500059")</f>
        <v>chr15:102470631-102500059</v>
      </c>
      <c r="F3030" t="s">
        <v>30</v>
      </c>
      <c r="G3030">
        <v>0.54574726855969502</v>
      </c>
      <c r="H3030">
        <v>0.201563021050497</v>
      </c>
      <c r="I3030">
        <v>2.7075763486545998</v>
      </c>
      <c r="J3030">
        <v>6.7776479325007697E-3</v>
      </c>
      <c r="K3030">
        <v>2.98944280184841E-2</v>
      </c>
      <c r="L3030" t="s">
        <v>26</v>
      </c>
      <c r="M3030" t="s">
        <v>27</v>
      </c>
      <c r="N3030">
        <v>573.24327070801303</v>
      </c>
      <c r="O3030">
        <v>446.38094904247498</v>
      </c>
      <c r="P3030">
        <v>668.39001195716605</v>
      </c>
      <c r="Q3030">
        <v>334.07552760343498</v>
      </c>
      <c r="R3030">
        <v>360.29217033617698</v>
      </c>
      <c r="S3030">
        <v>644.77514918781196</v>
      </c>
      <c r="T3030">
        <v>632.44775075021403</v>
      </c>
      <c r="U3030">
        <v>678.778388445715</v>
      </c>
      <c r="V3030">
        <v>729.03274126927204</v>
      </c>
      <c r="W3030">
        <v>633.30116736346304</v>
      </c>
    </row>
    <row r="3031" spans="1:23" x14ac:dyDescent="0.2">
      <c r="A3031" t="s">
        <v>6065</v>
      </c>
      <c r="B3031" s="3" t="str">
        <f>HYPERLINK("http://www.ncbi.nlm.nih.gov/gene/66966","Trit1")</f>
        <v>Trit1</v>
      </c>
      <c r="C3031">
        <v>66966</v>
      </c>
      <c r="D3031" t="s">
        <v>6066</v>
      </c>
      <c r="E3031" s="3" t="str">
        <f>HYPERLINK("http://genome.ucsc.edu/cgi-bin/hgTracks?db=mm10&amp;lastVirtModeType=default&amp;lastVirtModeExtraState=&amp;virtModeType=default&amp;virtMode=0&amp;nonVirtPosition=&amp;position=chr4:123016596-123054934","chr4:123016596-123054934")</f>
        <v>chr4:123016596-123054934</v>
      </c>
      <c r="F3031" t="s">
        <v>30</v>
      </c>
      <c r="G3031">
        <v>0.52594778466650405</v>
      </c>
      <c r="H3031">
        <v>0.19426929829745199</v>
      </c>
      <c r="I3031">
        <v>2.7073129376377798</v>
      </c>
      <c r="J3031">
        <v>6.7830285117294496E-3</v>
      </c>
      <c r="K3031">
        <v>2.9908309121030301E-2</v>
      </c>
      <c r="L3031" t="s">
        <v>26</v>
      </c>
      <c r="M3031" t="s">
        <v>27</v>
      </c>
      <c r="N3031">
        <v>81.006861257194899</v>
      </c>
      <c r="O3031">
        <v>63.163490675048998</v>
      </c>
      <c r="P3031">
        <v>94.389389193804305</v>
      </c>
      <c r="Q3031">
        <v>55.122462054566803</v>
      </c>
      <c r="R3031">
        <v>62.956316079795201</v>
      </c>
      <c r="S3031">
        <v>71.411693890785003</v>
      </c>
      <c r="T3031">
        <v>109.99091317395001</v>
      </c>
      <c r="U3031">
        <v>81.367756343650299</v>
      </c>
      <c r="V3031">
        <v>101.520200096024</v>
      </c>
      <c r="W3031">
        <v>84.678687161593004</v>
      </c>
    </row>
    <row r="3032" spans="1:23" x14ac:dyDescent="0.2">
      <c r="A3032" t="s">
        <v>6067</v>
      </c>
      <c r="B3032" s="3" t="str">
        <f>HYPERLINK("http://www.ncbi.nlm.nih.gov/gene/18596","Pdgfrb")</f>
        <v>Pdgfrb</v>
      </c>
      <c r="C3032">
        <v>18596</v>
      </c>
      <c r="D3032" t="s">
        <v>6068</v>
      </c>
      <c r="E3032" s="3" t="str">
        <f>HYPERLINK("http://genome.ucsc.edu/cgi-bin/hgTracks?db=mm10&amp;lastVirtModeType=default&amp;lastVirtModeExtraState=&amp;virtModeType=default&amp;virtMode=0&amp;nonVirtPosition=&amp;position=chr18:61045149-61085067","chr18:61045149-61085067")</f>
        <v>chr18:61045149-61085067</v>
      </c>
      <c r="F3032" t="s">
        <v>30</v>
      </c>
      <c r="G3032">
        <v>-0.99029272940813295</v>
      </c>
      <c r="H3032">
        <v>0.36582778625047602</v>
      </c>
      <c r="I3032">
        <v>-2.7069915589465299</v>
      </c>
      <c r="J3032">
        <v>6.7895983694621596E-3</v>
      </c>
      <c r="K3032">
        <v>2.9921082233305901E-2</v>
      </c>
      <c r="L3032" t="s">
        <v>26</v>
      </c>
      <c r="M3032" t="s">
        <v>27</v>
      </c>
      <c r="N3032">
        <v>221.60776729889801</v>
      </c>
      <c r="O3032">
        <v>345.43569637449298</v>
      </c>
      <c r="P3032">
        <v>128.73682049220201</v>
      </c>
      <c r="Q3032">
        <v>503.34046158917499</v>
      </c>
      <c r="R3032">
        <v>228.69071443443701</v>
      </c>
      <c r="S3032">
        <v>304.27591309986599</v>
      </c>
      <c r="T3032">
        <v>45.829547155812598</v>
      </c>
      <c r="U3032">
        <v>190.571850383813</v>
      </c>
      <c r="V3032">
        <v>164.05075812618301</v>
      </c>
      <c r="W3032">
        <v>114.495126302999</v>
      </c>
    </row>
    <row r="3033" spans="1:23" x14ac:dyDescent="0.2">
      <c r="A3033" t="s">
        <v>6069</v>
      </c>
      <c r="B3033" s="3" t="str">
        <f>HYPERLINK("http://www.ncbi.nlm.nih.gov/gene/226646","Ndufs2")</f>
        <v>Ndufs2</v>
      </c>
      <c r="C3033">
        <v>226646</v>
      </c>
      <c r="D3033" t="s">
        <v>6070</v>
      </c>
      <c r="E3033" s="3" t="str">
        <f>HYPERLINK("http://genome.ucsc.edu/cgi-bin/hgTracks?db=mm10&amp;lastVirtModeType=default&amp;lastVirtModeExtraState=&amp;virtModeType=default&amp;virtMode=0&amp;nonVirtPosition=&amp;position=chr1:171234852-171247122","chr1:171234852-171247122")</f>
        <v>chr1:171234852-171247122</v>
      </c>
      <c r="F3033" t="s">
        <v>25</v>
      </c>
      <c r="G3033">
        <v>-0.31276268178518202</v>
      </c>
      <c r="H3033">
        <v>0.115540507171689</v>
      </c>
      <c r="I3033">
        <v>-2.7069526475284298</v>
      </c>
      <c r="J3033">
        <v>6.7903942130547899E-3</v>
      </c>
      <c r="K3033">
        <v>2.9921082233305901E-2</v>
      </c>
      <c r="L3033" t="s">
        <v>26</v>
      </c>
      <c r="M3033" t="s">
        <v>27</v>
      </c>
      <c r="N3033">
        <v>639.52769882792904</v>
      </c>
      <c r="O3033">
        <v>720.85837328696198</v>
      </c>
      <c r="P3033">
        <v>578.52969298365497</v>
      </c>
      <c r="Q3033">
        <v>648.66331609666997</v>
      </c>
      <c r="R3033">
        <v>774.43853876470996</v>
      </c>
      <c r="S3033">
        <v>739.47326499950498</v>
      </c>
      <c r="T3033">
        <v>559.12047530091399</v>
      </c>
      <c r="U3033">
        <v>638.09451027389002</v>
      </c>
      <c r="V3033">
        <v>563.51067589531999</v>
      </c>
      <c r="W3033">
        <v>553.39311046449495</v>
      </c>
    </row>
    <row r="3034" spans="1:23" x14ac:dyDescent="0.2">
      <c r="A3034" t="s">
        <v>6071</v>
      </c>
      <c r="B3034" s="3" t="str">
        <f>HYPERLINK("http://www.ncbi.nlm.nih.gov/gene/26968","Islr")</f>
        <v>Islr</v>
      </c>
      <c r="C3034">
        <v>26968</v>
      </c>
      <c r="D3034" t="s">
        <v>6072</v>
      </c>
      <c r="E3034" s="3" t="str">
        <f>HYPERLINK("http://genome.ucsc.edu/cgi-bin/hgTracks?db=mm10&amp;lastVirtModeType=default&amp;lastVirtModeExtraState=&amp;virtModeType=default&amp;virtMode=0&amp;nonVirtPosition=&amp;position=chr9:58156263-58158554","chr9:58156263-58158554")</f>
        <v>chr9:58156263-58158554</v>
      </c>
      <c r="F3034" t="s">
        <v>25</v>
      </c>
      <c r="G3034">
        <v>-0.996507241496979</v>
      </c>
      <c r="H3034">
        <v>0.368214595866803</v>
      </c>
      <c r="I3034">
        <v>-2.7063219456337202</v>
      </c>
      <c r="J3034">
        <v>6.8033054671611604E-3</v>
      </c>
      <c r="K3034">
        <v>2.9968112996958899E-2</v>
      </c>
      <c r="L3034" t="s">
        <v>26</v>
      </c>
      <c r="M3034" t="s">
        <v>27</v>
      </c>
      <c r="N3034">
        <v>12.5718517355903</v>
      </c>
      <c r="O3034">
        <v>19.616466675920801</v>
      </c>
      <c r="P3034">
        <v>7.2883905303423999</v>
      </c>
      <c r="Q3034">
        <v>21.158116748217498</v>
      </c>
      <c r="R3034">
        <v>25.789334297747398</v>
      </c>
      <c r="S3034">
        <v>11.901948981797499</v>
      </c>
      <c r="T3034">
        <v>9.1659094311625307</v>
      </c>
      <c r="U3034">
        <v>4.2825134917710699</v>
      </c>
      <c r="V3034">
        <v>7.3565362388422999</v>
      </c>
      <c r="W3034">
        <v>8.3486029595936806</v>
      </c>
    </row>
    <row r="3035" spans="1:23" x14ac:dyDescent="0.2">
      <c r="A3035" t="s">
        <v>6073</v>
      </c>
      <c r="B3035" s="3" t="str">
        <f>HYPERLINK("http://www.ncbi.nlm.nih.gov/gene/12704","Cit")</f>
        <v>Cit</v>
      </c>
      <c r="C3035">
        <v>12704</v>
      </c>
      <c r="D3035" t="s">
        <v>6074</v>
      </c>
      <c r="E3035" s="3" t="str">
        <f>HYPERLINK("http://genome.ucsc.edu/cgi-bin/hgTracks?db=mm10&amp;lastVirtModeType=default&amp;lastVirtModeExtraState=&amp;virtModeType=default&amp;virtMode=0&amp;nonVirtPosition=&amp;position=chr5:115845655-116006341","chr5:115845655-116006341")</f>
        <v>chr5:115845655-116006341</v>
      </c>
      <c r="F3035" t="s">
        <v>30</v>
      </c>
      <c r="G3035">
        <v>0.44393745326968398</v>
      </c>
      <c r="H3035">
        <v>0.164050158041642</v>
      </c>
      <c r="I3035">
        <v>2.7061080499355401</v>
      </c>
      <c r="J3035">
        <v>6.8076891857488204E-3</v>
      </c>
      <c r="K3035">
        <v>2.9974672883691399E-2</v>
      </c>
      <c r="L3035" t="s">
        <v>26</v>
      </c>
      <c r="M3035" t="s">
        <v>27</v>
      </c>
      <c r="N3035">
        <v>532.67921944393299</v>
      </c>
      <c r="O3035">
        <v>437.01068646795602</v>
      </c>
      <c r="P3035">
        <v>604.43061917591604</v>
      </c>
      <c r="Q3035">
        <v>501.67008395115801</v>
      </c>
      <c r="R3035">
        <v>353.465581845597</v>
      </c>
      <c r="S3035">
        <v>455.896393607113</v>
      </c>
      <c r="T3035">
        <v>659.94547904370199</v>
      </c>
      <c r="U3035">
        <v>520.32538925018503</v>
      </c>
      <c r="V3035">
        <v>523.04972658168799</v>
      </c>
      <c r="W3035">
        <v>714.40188182808799</v>
      </c>
    </row>
    <row r="3036" spans="1:23" x14ac:dyDescent="0.2">
      <c r="A3036" t="s">
        <v>6075</v>
      </c>
      <c r="B3036" s="3" t="str">
        <f>HYPERLINK("http://www.ncbi.nlm.nih.gov/gene/83925","Trps1")</f>
        <v>Trps1</v>
      </c>
      <c r="C3036">
        <v>83925</v>
      </c>
      <c r="D3036" t="s">
        <v>6076</v>
      </c>
      <c r="E3036" s="3" t="str">
        <f>HYPERLINK("http://genome.ucsc.edu/cgi-bin/hgTracks?db=mm10&amp;lastVirtModeType=default&amp;lastVirtModeExtraState=&amp;virtModeType=default&amp;virtMode=0&amp;nonVirtPosition=&amp;position=chr15:50654758-50889049","chr15:50654758-50889049")</f>
        <v>chr15:50654758-50889049</v>
      </c>
      <c r="F3036" t="s">
        <v>25</v>
      </c>
      <c r="G3036">
        <v>0.33061092393358898</v>
      </c>
      <c r="H3036">
        <v>0.122175592010484</v>
      </c>
      <c r="I3036">
        <v>2.70603087321417</v>
      </c>
      <c r="J3036">
        <v>6.8092715190941101E-3</v>
      </c>
      <c r="K3036">
        <v>2.9974672883691399E-2</v>
      </c>
      <c r="L3036" t="s">
        <v>26</v>
      </c>
      <c r="M3036" t="s">
        <v>27</v>
      </c>
      <c r="N3036">
        <v>710.62164943074004</v>
      </c>
      <c r="O3036">
        <v>622.32588664280399</v>
      </c>
      <c r="P3036">
        <v>776.84347152169198</v>
      </c>
      <c r="Q3036">
        <v>641.42501299859498</v>
      </c>
      <c r="R3036">
        <v>580.26002169931701</v>
      </c>
      <c r="S3036">
        <v>645.29262523049897</v>
      </c>
      <c r="T3036">
        <v>664.52843375928296</v>
      </c>
      <c r="U3036">
        <v>736.59232058462396</v>
      </c>
      <c r="V3036">
        <v>876.16346604611795</v>
      </c>
      <c r="W3036">
        <v>830.08966569674305</v>
      </c>
    </row>
    <row r="3037" spans="1:23" x14ac:dyDescent="0.2">
      <c r="A3037" t="s">
        <v>6077</v>
      </c>
      <c r="B3037" s="3" t="str">
        <f>HYPERLINK("http://www.ncbi.nlm.nih.gov/gene/76854","Gper1")</f>
        <v>Gper1</v>
      </c>
      <c r="C3037">
        <v>76854</v>
      </c>
      <c r="D3037" t="s">
        <v>6078</v>
      </c>
      <c r="E3037" s="3" t="str">
        <f>HYPERLINK("http://genome.ucsc.edu/cgi-bin/hgTracks?db=mm10&amp;lastVirtModeType=default&amp;lastVirtModeExtraState=&amp;virtModeType=default&amp;virtMode=0&amp;nonVirtPosition=&amp;position=chr5:139423178-139427800","chr5:139423178-139427800")</f>
        <v>chr5:139423178-139427800</v>
      </c>
      <c r="F3037" t="s">
        <v>30</v>
      </c>
      <c r="G3037">
        <v>0.728589751702587</v>
      </c>
      <c r="H3037">
        <v>0.269268101914302</v>
      </c>
      <c r="I3037">
        <v>2.7058153064653401</v>
      </c>
      <c r="J3037">
        <v>6.8136929765214797E-3</v>
      </c>
      <c r="K3037">
        <v>2.9984279542753602E-2</v>
      </c>
      <c r="L3037" t="s">
        <v>26</v>
      </c>
      <c r="M3037" t="s">
        <v>27</v>
      </c>
      <c r="N3037">
        <v>40.950424128893701</v>
      </c>
      <c r="O3037">
        <v>29.274627638744999</v>
      </c>
      <c r="P3037">
        <v>49.7072714965052</v>
      </c>
      <c r="Q3037">
        <v>32.293967668332101</v>
      </c>
      <c r="R3037">
        <v>20.859020387884001</v>
      </c>
      <c r="S3037">
        <v>34.670894860018798</v>
      </c>
      <c r="T3037">
        <v>27.497728293487601</v>
      </c>
      <c r="U3037">
        <v>64.237702376566105</v>
      </c>
      <c r="V3037">
        <v>52.231407295780301</v>
      </c>
      <c r="W3037">
        <v>54.862248020187003</v>
      </c>
    </row>
    <row r="3038" spans="1:23" x14ac:dyDescent="0.2">
      <c r="A3038" t="s">
        <v>6079</v>
      </c>
      <c r="B3038" s="3" t="str">
        <f>HYPERLINK("http://www.ncbi.nlm.nih.gov/gene/66514","Asrgl1")</f>
        <v>Asrgl1</v>
      </c>
      <c r="C3038">
        <v>66514</v>
      </c>
      <c r="D3038" t="s">
        <v>6080</v>
      </c>
      <c r="E3038" s="3" t="str">
        <f>HYPERLINK("http://genome.ucsc.edu/cgi-bin/hgTracks?db=mm10&amp;lastVirtModeType=default&amp;lastVirtModeExtraState=&amp;virtModeType=default&amp;virtMode=0&amp;nonVirtPosition=&amp;position=chr19:9111718-9135566","chr19:9111718-9135566")</f>
        <v>chr19:9111718-9135566</v>
      </c>
      <c r="F3038" t="s">
        <v>25</v>
      </c>
      <c r="G3038">
        <v>-0.42813461633504402</v>
      </c>
      <c r="H3038">
        <v>0.15824114315432899</v>
      </c>
      <c r="I3038">
        <v>-2.7055834393049998</v>
      </c>
      <c r="J3038">
        <v>6.8184516489903403E-3</v>
      </c>
      <c r="K3038">
        <v>2.99953633481044E-2</v>
      </c>
      <c r="L3038" t="s">
        <v>26</v>
      </c>
      <c r="M3038" t="s">
        <v>27</v>
      </c>
      <c r="N3038">
        <v>1637.8291422495499</v>
      </c>
      <c r="O3038">
        <v>1929.62148149371</v>
      </c>
      <c r="P3038">
        <v>1418.98488781642</v>
      </c>
      <c r="Q3038">
        <v>2418.1500273028601</v>
      </c>
      <c r="R3038">
        <v>1817.76881307505</v>
      </c>
      <c r="S3038">
        <v>1552.9456041032299</v>
      </c>
      <c r="T3038">
        <v>1530.7068750041401</v>
      </c>
      <c r="U3038">
        <v>1456.0545872021601</v>
      </c>
      <c r="V3038">
        <v>1424.9610694637499</v>
      </c>
      <c r="W3038">
        <v>1264.2170195956101</v>
      </c>
    </row>
    <row r="3039" spans="1:23" x14ac:dyDescent="0.2">
      <c r="A3039" t="s">
        <v>6081</v>
      </c>
      <c r="B3039" s="3" t="str">
        <f>HYPERLINK("http://www.ncbi.nlm.nih.gov/gene/18759","Prkci")</f>
        <v>Prkci</v>
      </c>
      <c r="C3039">
        <v>18759</v>
      </c>
      <c r="D3039" t="s">
        <v>6082</v>
      </c>
      <c r="E3039" s="3" t="str">
        <f>HYPERLINK("http://genome.ucsc.edu/cgi-bin/hgTracks?db=mm10&amp;lastVirtModeType=default&amp;lastVirtModeExtraState=&amp;virtModeType=default&amp;virtMode=0&amp;nonVirtPosition=&amp;position=chr3:30995770-31052740","chr3:30995770-31052740")</f>
        <v>chr3:30995770-31052740</v>
      </c>
      <c r="F3039" t="s">
        <v>30</v>
      </c>
      <c r="G3039">
        <v>-0.36422704548741502</v>
      </c>
      <c r="H3039">
        <v>0.13465998387759701</v>
      </c>
      <c r="I3039">
        <v>-2.7047905027115502</v>
      </c>
      <c r="J3039">
        <v>6.8347478790998497E-3</v>
      </c>
      <c r="K3039">
        <v>3.0057178603949498E-2</v>
      </c>
      <c r="L3039" t="s">
        <v>26</v>
      </c>
      <c r="M3039" t="s">
        <v>27</v>
      </c>
      <c r="N3039">
        <v>371.63821143239397</v>
      </c>
      <c r="O3039">
        <v>428.50545072500302</v>
      </c>
      <c r="P3039">
        <v>328.98778196293699</v>
      </c>
      <c r="Q3039">
        <v>388.64119711199601</v>
      </c>
      <c r="R3039">
        <v>483.929272998908</v>
      </c>
      <c r="S3039">
        <v>412.94588206410401</v>
      </c>
      <c r="T3039">
        <v>302.47501122836297</v>
      </c>
      <c r="U3039">
        <v>366.15490354642702</v>
      </c>
      <c r="V3039">
        <v>347.964164097241</v>
      </c>
      <c r="W3039">
        <v>299.35704897971601</v>
      </c>
    </row>
    <row r="3040" spans="1:23" x14ac:dyDescent="0.2">
      <c r="A3040" t="s">
        <v>6083</v>
      </c>
      <c r="B3040" s="3" t="str">
        <f>HYPERLINK("http://www.ncbi.nlm.nih.gov/gene/105844","Card10")</f>
        <v>Card10</v>
      </c>
      <c r="C3040">
        <v>105844</v>
      </c>
      <c r="D3040" t="s">
        <v>6084</v>
      </c>
      <c r="E3040" s="3" t="str">
        <f>HYPERLINK("http://genome.ucsc.edu/cgi-bin/hgTracks?db=mm10&amp;lastVirtModeType=default&amp;lastVirtModeExtraState=&amp;virtModeType=default&amp;virtMode=0&amp;nonVirtPosition=&amp;position=chr15:78775135-78803042","chr15:78775135-78803042")</f>
        <v>chr15:78775135-78803042</v>
      </c>
      <c r="F3040" t="s">
        <v>25</v>
      </c>
      <c r="G3040">
        <v>0.81093009523783899</v>
      </c>
      <c r="H3040">
        <v>0.29984465860542697</v>
      </c>
      <c r="I3040">
        <v>2.7045007205046199</v>
      </c>
      <c r="J3040">
        <v>6.8407121353224101E-3</v>
      </c>
      <c r="K3040">
        <v>3.0067856778825001E-2</v>
      </c>
      <c r="L3040" t="s">
        <v>26</v>
      </c>
      <c r="M3040" t="s">
        <v>27</v>
      </c>
      <c r="N3040">
        <v>25.460609683725899</v>
      </c>
      <c r="O3040">
        <v>17.191157037164299</v>
      </c>
      <c r="P3040">
        <v>31.662699168647102</v>
      </c>
      <c r="Q3040">
        <v>16.7037763801717</v>
      </c>
      <c r="R3040">
        <v>13.653176981160399</v>
      </c>
      <c r="S3040">
        <v>21.216517750160801</v>
      </c>
      <c r="T3040">
        <v>13.7488641467438</v>
      </c>
      <c r="U3040">
        <v>42.825134917710699</v>
      </c>
      <c r="V3040">
        <v>33.104413074790401</v>
      </c>
      <c r="W3040">
        <v>36.972384535343402</v>
      </c>
    </row>
    <row r="3041" spans="1:23" x14ac:dyDescent="0.2">
      <c r="A3041" t="s">
        <v>6085</v>
      </c>
      <c r="B3041" s="3" t="str">
        <f>HYPERLINK("http://www.ncbi.nlm.nih.gov/gene/12615","Cenpa")</f>
        <v>Cenpa</v>
      </c>
      <c r="C3041">
        <v>12615</v>
      </c>
      <c r="D3041" t="s">
        <v>6086</v>
      </c>
      <c r="E3041" s="3" t="str">
        <f>HYPERLINK("http://genome.ucsc.edu/cgi-bin/hgTracks?db=mm10&amp;lastVirtModeType=default&amp;lastVirtModeExtraState=&amp;virtModeType=default&amp;virtMode=0&amp;nonVirtPosition=&amp;position=chr5:30666885-30674837","chr5:30666885-30674837")</f>
        <v>chr5:30666885-30674837</v>
      </c>
      <c r="F3041" t="s">
        <v>30</v>
      </c>
      <c r="G3041">
        <v>0.67235145125103202</v>
      </c>
      <c r="H3041">
        <v>0.24860891027857199</v>
      </c>
      <c r="I3041">
        <v>2.7044543596512498</v>
      </c>
      <c r="J3041">
        <v>6.8416667616368904E-3</v>
      </c>
      <c r="K3041">
        <v>3.0067856778825001E-2</v>
      </c>
      <c r="L3041" t="s">
        <v>26</v>
      </c>
      <c r="M3041" t="s">
        <v>27</v>
      </c>
      <c r="N3041">
        <v>218.67389503042099</v>
      </c>
      <c r="O3041">
        <v>156.91141775177499</v>
      </c>
      <c r="P3041">
        <v>264.99575298940499</v>
      </c>
      <c r="Q3041">
        <v>79.621334078818705</v>
      </c>
      <c r="R3041">
        <v>164.97588852235501</v>
      </c>
      <c r="S3041">
        <v>226.137030654152</v>
      </c>
      <c r="T3041">
        <v>279.560237650457</v>
      </c>
      <c r="U3041">
        <v>231.255728555638</v>
      </c>
      <c r="V3041">
        <v>273.66314808493399</v>
      </c>
      <c r="W3041">
        <v>275.503897666591</v>
      </c>
    </row>
    <row r="3042" spans="1:23" x14ac:dyDescent="0.2">
      <c r="A3042" t="s">
        <v>6087</v>
      </c>
      <c r="B3042" s="3" t="str">
        <f>HYPERLINK("http://www.ncbi.nlm.nih.gov/gene/320299","Iqcb1")</f>
        <v>Iqcb1</v>
      </c>
      <c r="C3042">
        <v>320299</v>
      </c>
      <c r="D3042" t="s">
        <v>6088</v>
      </c>
      <c r="E3042" s="3" t="str">
        <f>HYPERLINK("http://genome.ucsc.edu/cgi-bin/hgTracks?db=mm10&amp;lastVirtModeType=default&amp;lastVirtModeExtraState=&amp;virtModeType=default&amp;virtMode=0&amp;nonVirtPosition=&amp;position=chr16:36828399-36872715","chr16:36828399-36872715")</f>
        <v>chr16:36828399-36872715</v>
      </c>
      <c r="F3042" t="s">
        <v>30</v>
      </c>
      <c r="G3042">
        <v>0.52821002075481704</v>
      </c>
      <c r="H3042">
        <v>0.19532302268023999</v>
      </c>
      <c r="I3042">
        <v>2.70428960962548</v>
      </c>
      <c r="J3042">
        <v>6.8450601334718196E-3</v>
      </c>
      <c r="K3042">
        <v>3.00729003436093E-2</v>
      </c>
      <c r="L3042" t="s">
        <v>26</v>
      </c>
      <c r="M3042" t="s">
        <v>27</v>
      </c>
      <c r="N3042">
        <v>66.738172553160396</v>
      </c>
      <c r="O3042">
        <v>53.499455824302302</v>
      </c>
      <c r="P3042">
        <v>76.667210099803896</v>
      </c>
      <c r="Q3042">
        <v>56.792839692583897</v>
      </c>
      <c r="R3042">
        <v>51.957923511638199</v>
      </c>
      <c r="S3042">
        <v>51.747604268684803</v>
      </c>
      <c r="T3042">
        <v>64.161366018137699</v>
      </c>
      <c r="U3042">
        <v>77.0852428518793</v>
      </c>
      <c r="V3042">
        <v>83.128859498918004</v>
      </c>
      <c r="W3042">
        <v>82.293372030280594</v>
      </c>
    </row>
    <row r="3043" spans="1:23" x14ac:dyDescent="0.2">
      <c r="A3043" t="s">
        <v>6089</v>
      </c>
      <c r="B3043" s="3" t="str">
        <f>HYPERLINK("http://www.ncbi.nlm.nih.gov/gene/13041","Ctsw")</f>
        <v>Ctsw</v>
      </c>
      <c r="C3043">
        <v>13041</v>
      </c>
      <c r="D3043" t="s">
        <v>6090</v>
      </c>
      <c r="E3043" s="3" t="str">
        <f>HYPERLINK("http://genome.ucsc.edu/cgi-bin/hgTracks?db=mm10&amp;lastVirtModeType=default&amp;lastVirtModeExtraState=&amp;virtModeType=default&amp;virtMode=0&amp;nonVirtPosition=&amp;position=chr19:5465042-5468507","chr19:5465042-5468507")</f>
        <v>chr19:5465042-5468507</v>
      </c>
      <c r="F3043" t="s">
        <v>25</v>
      </c>
      <c r="G3043">
        <v>0.89226418611665603</v>
      </c>
      <c r="H3043">
        <v>0.330175253401994</v>
      </c>
      <c r="I3043">
        <v>2.70239570326099</v>
      </c>
      <c r="J3043">
        <v>6.8841778575534996E-3</v>
      </c>
      <c r="K3043">
        <v>3.0234839518038299E-2</v>
      </c>
      <c r="L3043" t="s">
        <v>26</v>
      </c>
      <c r="M3043" t="s">
        <v>27</v>
      </c>
      <c r="N3043">
        <v>23.647102997293398</v>
      </c>
      <c r="O3043">
        <v>12.759195581588401</v>
      </c>
      <c r="P3043">
        <v>31.8130335590721</v>
      </c>
      <c r="Q3043">
        <v>15.033398742154599</v>
      </c>
      <c r="R3043">
        <v>12.894667148873699</v>
      </c>
      <c r="S3043">
        <v>10.349520853736999</v>
      </c>
      <c r="T3043">
        <v>54.995456586975202</v>
      </c>
      <c r="U3043">
        <v>32.118851188283003</v>
      </c>
      <c r="V3043">
        <v>19.8626478448742</v>
      </c>
      <c r="W3043">
        <v>20.275178616156101</v>
      </c>
    </row>
    <row r="3044" spans="1:23" x14ac:dyDescent="0.2">
      <c r="A3044" t="s">
        <v>6091</v>
      </c>
      <c r="B3044" s="3" t="str">
        <f>HYPERLINK("http://www.ncbi.nlm.nih.gov/gene/56419","Diaph3")</f>
        <v>Diaph3</v>
      </c>
      <c r="C3044">
        <v>56419</v>
      </c>
      <c r="D3044" t="s">
        <v>6092</v>
      </c>
      <c r="E3044" s="3" t="str">
        <f>HYPERLINK("http://genome.ucsc.edu/cgi-bin/hgTracks?db=mm10&amp;lastVirtModeType=default&amp;lastVirtModeExtraState=&amp;virtModeType=default&amp;virtMode=0&amp;nonVirtPosition=&amp;position=chr14:86656322-87141114","chr14:86656322-87141114")</f>
        <v>chr14:86656322-87141114</v>
      </c>
      <c r="F3044" t="s">
        <v>25</v>
      </c>
      <c r="G3044">
        <v>0.58810098287788803</v>
      </c>
      <c r="H3044">
        <v>0.21764407840120201</v>
      </c>
      <c r="I3044">
        <v>2.70212259942029</v>
      </c>
      <c r="J3044">
        <v>6.8898352240360497E-3</v>
      </c>
      <c r="K3044">
        <v>3.0242047472528299E-2</v>
      </c>
      <c r="L3044" t="s">
        <v>26</v>
      </c>
      <c r="M3044" t="s">
        <v>27</v>
      </c>
      <c r="N3044">
        <v>196.380631028843</v>
      </c>
      <c r="O3044">
        <v>147.19276169508899</v>
      </c>
      <c r="P3044">
        <v>233.27153302915801</v>
      </c>
      <c r="Q3044">
        <v>91.313977544938894</v>
      </c>
      <c r="R3044">
        <v>169.14769259993199</v>
      </c>
      <c r="S3044">
        <v>181.116614940397</v>
      </c>
      <c r="T3044">
        <v>293.30910179720098</v>
      </c>
      <c r="U3044">
        <v>207.701904350897</v>
      </c>
      <c r="V3044">
        <v>222.16739441303801</v>
      </c>
      <c r="W3044">
        <v>209.907731555498</v>
      </c>
    </row>
    <row r="3045" spans="1:23" x14ac:dyDescent="0.2">
      <c r="A3045" t="s">
        <v>6093</v>
      </c>
      <c r="B3045" s="3" t="str">
        <f>HYPERLINK("http://www.ncbi.nlm.nih.gov/gene/17113","M6pr")</f>
        <v>M6pr</v>
      </c>
      <c r="C3045">
        <v>17113</v>
      </c>
      <c r="D3045" t="s">
        <v>6094</v>
      </c>
      <c r="E3045" s="3" t="str">
        <f>HYPERLINK("http://genome.ucsc.edu/cgi-bin/hgTracks?db=mm10&amp;lastVirtModeType=default&amp;lastVirtModeExtraState=&amp;virtModeType=default&amp;virtMode=0&amp;nonVirtPosition=&amp;position=chr6:122309009-122317677","chr6:122309009-122317677")</f>
        <v>chr6:122309009-122317677</v>
      </c>
      <c r="F3045" t="s">
        <v>30</v>
      </c>
      <c r="G3045">
        <v>-0.43575171006720598</v>
      </c>
      <c r="H3045">
        <v>0.16126418749364699</v>
      </c>
      <c r="I3045">
        <v>-2.7020984437997</v>
      </c>
      <c r="J3045">
        <v>6.8903358105207903E-3</v>
      </c>
      <c r="K3045">
        <v>3.0242047472528299E-2</v>
      </c>
      <c r="L3045" t="s">
        <v>26</v>
      </c>
      <c r="M3045" t="s">
        <v>27</v>
      </c>
      <c r="N3045">
        <v>360.544081610391</v>
      </c>
      <c r="O3045">
        <v>429.94015447360499</v>
      </c>
      <c r="P3045">
        <v>308.49702696298101</v>
      </c>
      <c r="Q3045">
        <v>513.91951996328396</v>
      </c>
      <c r="R3045">
        <v>406.94052502180898</v>
      </c>
      <c r="S3045">
        <v>368.96041843572198</v>
      </c>
      <c r="T3045">
        <v>274.97728293487597</v>
      </c>
      <c r="U3045">
        <v>276.222120219234</v>
      </c>
      <c r="V3045">
        <v>371.50508006153598</v>
      </c>
      <c r="W3045">
        <v>311.283624636279</v>
      </c>
    </row>
    <row r="3046" spans="1:23" x14ac:dyDescent="0.2">
      <c r="A3046" t="s">
        <v>6095</v>
      </c>
      <c r="B3046" s="3" t="str">
        <f>HYPERLINK("http://www.ncbi.nlm.nih.gov/gene/19820","Rlim")</f>
        <v>Rlim</v>
      </c>
      <c r="C3046">
        <v>19820</v>
      </c>
      <c r="D3046" t="s">
        <v>6096</v>
      </c>
      <c r="E3046" s="3" t="str">
        <f>HYPERLINK("http://genome.ucsc.edu/cgi-bin/hgTracks?db=mm10&amp;lastVirtModeType=default&amp;lastVirtModeExtraState=&amp;virtModeType=default&amp;virtMode=0&amp;nonVirtPosition=&amp;position=chrX:103957166-103981284","chrX:103957166-103981284")</f>
        <v>chrX:103957166-103981284</v>
      </c>
      <c r="F3046" t="s">
        <v>25</v>
      </c>
      <c r="G3046">
        <v>-0.32052460930806698</v>
      </c>
      <c r="H3046">
        <v>0.11863282050448599</v>
      </c>
      <c r="I3046">
        <v>-2.7018206930007902</v>
      </c>
      <c r="J3046">
        <v>6.89609409857583E-3</v>
      </c>
      <c r="K3046">
        <v>3.0257403693980701E-2</v>
      </c>
      <c r="L3046" t="s">
        <v>26</v>
      </c>
      <c r="M3046" t="s">
        <v>27</v>
      </c>
      <c r="N3046">
        <v>950.50356952678897</v>
      </c>
      <c r="O3046">
        <v>1070.7790876522099</v>
      </c>
      <c r="P3046">
        <v>860.29693093272101</v>
      </c>
      <c r="Q3046">
        <v>1067.3713106929699</v>
      </c>
      <c r="R3046">
        <v>1046.3643136394901</v>
      </c>
      <c r="S3046">
        <v>1098.6016386241799</v>
      </c>
      <c r="T3046">
        <v>1003.6670827123</v>
      </c>
      <c r="U3046">
        <v>783.69996899410603</v>
      </c>
      <c r="V3046">
        <v>895.29046026710796</v>
      </c>
      <c r="W3046">
        <v>758.53021175736899</v>
      </c>
    </row>
    <row r="3047" spans="1:23" x14ac:dyDescent="0.2">
      <c r="A3047" t="s">
        <v>6097</v>
      </c>
      <c r="B3047" s="3" t="str">
        <f>HYPERLINK("http://www.ncbi.nlm.nih.gov/gene/72446","Prr5l")</f>
        <v>Prr5l</v>
      </c>
      <c r="C3047">
        <v>72446</v>
      </c>
      <c r="D3047" t="s">
        <v>6098</v>
      </c>
      <c r="E3047" s="3" t="str">
        <f>HYPERLINK("http://genome.ucsc.edu/cgi-bin/hgTracks?db=mm10&amp;lastVirtModeType=default&amp;lastVirtModeExtraState=&amp;virtModeType=default&amp;virtMode=0&amp;nonVirtPosition=&amp;position=chr2:101714284-101797707","chr2:101714284-101797707")</f>
        <v>chr2:101714284-101797707</v>
      </c>
      <c r="F3047" t="s">
        <v>25</v>
      </c>
      <c r="G3047">
        <v>-0.71851528105791296</v>
      </c>
      <c r="H3047">
        <v>0.266019430495606</v>
      </c>
      <c r="I3047">
        <v>-2.7009879681318298</v>
      </c>
      <c r="J3047">
        <v>6.9133839455471201E-3</v>
      </c>
      <c r="K3047">
        <v>3.0317308999601E-2</v>
      </c>
      <c r="L3047" t="s">
        <v>26</v>
      </c>
      <c r="M3047" t="s">
        <v>27</v>
      </c>
      <c r="N3047">
        <v>169.12229135899099</v>
      </c>
      <c r="O3047">
        <v>224.96852439722099</v>
      </c>
      <c r="P3047">
        <v>127.237616580319</v>
      </c>
      <c r="Q3047">
        <v>110.244924109134</v>
      </c>
      <c r="R3047">
        <v>245.37793074474399</v>
      </c>
      <c r="S3047">
        <v>319.28271833778501</v>
      </c>
      <c r="T3047">
        <v>137.48864146743799</v>
      </c>
      <c r="U3047">
        <v>102.780323802506</v>
      </c>
      <c r="V3047">
        <v>143.45245665742499</v>
      </c>
      <c r="W3047">
        <v>125.229044393905</v>
      </c>
    </row>
    <row r="3048" spans="1:23" x14ac:dyDescent="0.2">
      <c r="A3048" t="s">
        <v>6099</v>
      </c>
      <c r="B3048" s="3" t="str">
        <f>HYPERLINK("http://www.ncbi.nlm.nih.gov/gene/103963","Rpn1")</f>
        <v>Rpn1</v>
      </c>
      <c r="C3048">
        <v>103963</v>
      </c>
      <c r="D3048" t="s">
        <v>6100</v>
      </c>
      <c r="E3048" s="3" t="str">
        <f>HYPERLINK("http://genome.ucsc.edu/cgi-bin/hgTracks?db=mm10&amp;lastVirtModeType=default&amp;lastVirtModeExtraState=&amp;virtModeType=default&amp;virtMode=0&amp;nonVirtPosition=&amp;position=chr6:88084472-88105304","chr6:88084472-88105304")</f>
        <v>chr6:88084472-88105304</v>
      </c>
      <c r="F3048" t="s">
        <v>30</v>
      </c>
      <c r="G3048">
        <v>-0.31454134676225798</v>
      </c>
      <c r="H3048">
        <v>0.116456031829929</v>
      </c>
      <c r="I3048">
        <v>-2.70094508476478</v>
      </c>
      <c r="J3048">
        <v>6.9142753853171099E-3</v>
      </c>
      <c r="K3048">
        <v>3.0317308999601E-2</v>
      </c>
      <c r="L3048" t="s">
        <v>26</v>
      </c>
      <c r="M3048" t="s">
        <v>27</v>
      </c>
      <c r="N3048">
        <v>823.12765238909401</v>
      </c>
      <c r="O3048">
        <v>935.44969480226098</v>
      </c>
      <c r="P3048">
        <v>738.88612057921898</v>
      </c>
      <c r="Q3048">
        <v>988.86356170616796</v>
      </c>
      <c r="R3048">
        <v>909.83254382788402</v>
      </c>
      <c r="S3048">
        <v>907.65297887273096</v>
      </c>
      <c r="T3048">
        <v>604.95002245672697</v>
      </c>
      <c r="U3048">
        <v>790.12373923176301</v>
      </c>
      <c r="V3048">
        <v>795.97722104273703</v>
      </c>
      <c r="W3048">
        <v>764.49349958565006</v>
      </c>
    </row>
    <row r="3049" spans="1:23" x14ac:dyDescent="0.2">
      <c r="A3049" t="s">
        <v>6101</v>
      </c>
      <c r="B3049" s="3" t="str">
        <f>HYPERLINK("http://www.ncbi.nlm.nih.gov/gene/67141","Fbxo5")</f>
        <v>Fbxo5</v>
      </c>
      <c r="C3049">
        <v>67141</v>
      </c>
      <c r="D3049" t="s">
        <v>6102</v>
      </c>
      <c r="E3049" s="3" t="str">
        <f>HYPERLINK("http://genome.ucsc.edu/cgi-bin/hgTracks?db=mm10&amp;lastVirtModeType=default&amp;lastVirtModeExtraState=&amp;virtModeType=default&amp;virtMode=0&amp;nonVirtPosition=&amp;position=chr10:5799157-5805465","chr10:5799157-5805465")</f>
        <v>chr10:5799157-5805465</v>
      </c>
      <c r="F3049" t="s">
        <v>25</v>
      </c>
      <c r="G3049">
        <v>0.75673165289043898</v>
      </c>
      <c r="H3049">
        <v>0.28025504897516501</v>
      </c>
      <c r="I3049">
        <v>2.70015350537895</v>
      </c>
      <c r="J3049">
        <v>6.9307489299132701E-3</v>
      </c>
      <c r="K3049">
        <v>3.03795937546542E-2</v>
      </c>
      <c r="L3049" t="s">
        <v>26</v>
      </c>
      <c r="M3049" t="s">
        <v>27</v>
      </c>
      <c r="N3049">
        <v>90.379479155717405</v>
      </c>
      <c r="O3049">
        <v>59.396767262226497</v>
      </c>
      <c r="P3049">
        <v>113.616513075835</v>
      </c>
      <c r="Q3049">
        <v>29.5100049383034</v>
      </c>
      <c r="R3049">
        <v>70.541414402662099</v>
      </c>
      <c r="S3049">
        <v>78.138882445714003</v>
      </c>
      <c r="T3049">
        <v>164.98636976092499</v>
      </c>
      <c r="U3049">
        <v>100.63906705661999</v>
      </c>
      <c r="V3049">
        <v>93.428010233297201</v>
      </c>
      <c r="W3049">
        <v>95.412605252499205</v>
      </c>
    </row>
    <row r="3050" spans="1:23" x14ac:dyDescent="0.2">
      <c r="A3050" t="s">
        <v>6103</v>
      </c>
      <c r="B3050" s="3" t="str">
        <f>HYPERLINK("http://www.ncbi.nlm.nih.gov/gene/50497","Hspa14")</f>
        <v>Hspa14</v>
      </c>
      <c r="C3050">
        <v>50497</v>
      </c>
      <c r="D3050" t="s">
        <v>6104</v>
      </c>
      <c r="E3050" s="3" t="str">
        <f>HYPERLINK("http://genome.ucsc.edu/cgi-bin/hgTracks?db=mm10&amp;lastVirtModeType=default&amp;lastVirtModeExtraState=&amp;virtModeType=default&amp;virtMode=0&amp;nonVirtPosition=&amp;position=chr2:3488853-3512814","chr2:3488853-3512814")</f>
        <v>chr2:3488853-3512814</v>
      </c>
      <c r="F3050" t="s">
        <v>25</v>
      </c>
      <c r="G3050">
        <v>0.597503686425226</v>
      </c>
      <c r="H3050">
        <v>0.221321457674091</v>
      </c>
      <c r="I3050">
        <v>2.6997097014654901</v>
      </c>
      <c r="J3050">
        <v>6.9400003419816097E-3</v>
      </c>
      <c r="K3050">
        <v>3.04101912890954E-2</v>
      </c>
      <c r="L3050" t="s">
        <v>26</v>
      </c>
      <c r="M3050" t="s">
        <v>27</v>
      </c>
      <c r="N3050">
        <v>72.1031310740523</v>
      </c>
      <c r="O3050">
        <v>53.377852532709298</v>
      </c>
      <c r="P3050">
        <v>86.147089980059505</v>
      </c>
      <c r="Q3050">
        <v>38.975478220400802</v>
      </c>
      <c r="R3050">
        <v>58.026002169931701</v>
      </c>
      <c r="S3050">
        <v>63.132077207795398</v>
      </c>
      <c r="T3050">
        <v>96.242049027206505</v>
      </c>
      <c r="U3050">
        <v>94.215296818963594</v>
      </c>
      <c r="V3050">
        <v>80.186245003381103</v>
      </c>
      <c r="W3050">
        <v>73.944769070686903</v>
      </c>
    </row>
    <row r="3051" spans="1:23" x14ac:dyDescent="0.2">
      <c r="A3051" t="s">
        <v>6105</v>
      </c>
      <c r="B3051" s="3" t="str">
        <f>HYPERLINK("http://www.ncbi.nlm.nih.gov/gene/230848","Zbtb40")</f>
        <v>Zbtb40</v>
      </c>
      <c r="C3051">
        <v>230848</v>
      </c>
      <c r="D3051" t="s">
        <v>6106</v>
      </c>
      <c r="E3051" s="3" t="str">
        <f>HYPERLINK("http://genome.ucsc.edu/cgi-bin/hgTracks?db=mm10&amp;lastVirtModeType=default&amp;lastVirtModeExtraState=&amp;virtModeType=default&amp;virtMode=0&amp;nonVirtPosition=&amp;position=chr4:136979731-137048695","chr4:136979731-137048695")</f>
        <v>chr4:136979731-137048695</v>
      </c>
      <c r="F3051" t="s">
        <v>25</v>
      </c>
      <c r="G3051">
        <v>0.521664694218679</v>
      </c>
      <c r="H3051">
        <v>0.19325344985742801</v>
      </c>
      <c r="I3051">
        <v>2.69938101805446</v>
      </c>
      <c r="J3051">
        <v>6.9468591324658904E-3</v>
      </c>
      <c r="K3051">
        <v>3.0430288074207001E-2</v>
      </c>
      <c r="L3051" t="s">
        <v>26</v>
      </c>
      <c r="M3051" t="s">
        <v>27</v>
      </c>
      <c r="N3051">
        <v>187.97338993918001</v>
      </c>
      <c r="O3051">
        <v>148.49602517902699</v>
      </c>
      <c r="P3051">
        <v>217.58141350929401</v>
      </c>
      <c r="Q3051">
        <v>184.298332727895</v>
      </c>
      <c r="R3051">
        <v>111.12169043</v>
      </c>
      <c r="S3051">
        <v>150.06805237918601</v>
      </c>
      <c r="T3051">
        <v>210.81591691673799</v>
      </c>
      <c r="U3051">
        <v>214.12567458855401</v>
      </c>
      <c r="V3051">
        <v>185.38471321882599</v>
      </c>
      <c r="W3051">
        <v>259.99934931306001</v>
      </c>
    </row>
    <row r="3052" spans="1:23" x14ac:dyDescent="0.2">
      <c r="A3052" t="s">
        <v>6107</v>
      </c>
      <c r="B3052" s="3" t="str">
        <f>HYPERLINK("http://www.ncbi.nlm.nih.gov/gene/72265","Tram1")</f>
        <v>Tram1</v>
      </c>
      <c r="C3052">
        <v>72265</v>
      </c>
      <c r="D3052" t="s">
        <v>6108</v>
      </c>
      <c r="E3052" s="3" t="str">
        <f>HYPERLINK("http://genome.ucsc.edu/cgi-bin/hgTracks?db=mm10&amp;lastVirtModeType=default&amp;lastVirtModeExtraState=&amp;virtModeType=default&amp;virtMode=0&amp;nonVirtPosition=&amp;position=chr1:13564692-13589910","chr1:13564692-13589910")</f>
        <v>chr1:13564692-13589910</v>
      </c>
      <c r="F3052" t="s">
        <v>25</v>
      </c>
      <c r="G3052">
        <v>-0.43979178775908301</v>
      </c>
      <c r="H3052">
        <v>0.16293500866935101</v>
      </c>
      <c r="I3052">
        <v>-2.6991853460514701</v>
      </c>
      <c r="J3052">
        <v>6.9509452024016597E-3</v>
      </c>
      <c r="K3052">
        <v>3.0435874903005901E-2</v>
      </c>
      <c r="L3052" t="s">
        <v>26</v>
      </c>
      <c r="M3052" t="s">
        <v>27</v>
      </c>
      <c r="N3052">
        <v>504.85196050359599</v>
      </c>
      <c r="O3052">
        <v>603.13816076535295</v>
      </c>
      <c r="P3052">
        <v>431.13731030727899</v>
      </c>
      <c r="Q3052">
        <v>682.62766140301903</v>
      </c>
      <c r="R3052">
        <v>632.59720012709897</v>
      </c>
      <c r="S3052">
        <v>494.18962076593999</v>
      </c>
      <c r="T3052">
        <v>343.72160366859498</v>
      </c>
      <c r="U3052">
        <v>391.84998449705301</v>
      </c>
      <c r="V3052">
        <v>508.336654104003</v>
      </c>
      <c r="W3052">
        <v>480.64099895946498</v>
      </c>
    </row>
    <row r="3053" spans="1:23" x14ac:dyDescent="0.2">
      <c r="A3053" t="s">
        <v>6109</v>
      </c>
      <c r="B3053" s="3" t="str">
        <f>HYPERLINK("http://www.ncbi.nlm.nih.gov/gene/219181","Akap11")</f>
        <v>Akap11</v>
      </c>
      <c r="C3053">
        <v>219181</v>
      </c>
      <c r="D3053" t="s">
        <v>6110</v>
      </c>
      <c r="E3053" s="3" t="str">
        <f>HYPERLINK("http://genome.ucsc.edu/cgi-bin/hgTracks?db=mm10&amp;lastVirtModeType=default&amp;lastVirtModeExtraState=&amp;virtModeType=default&amp;virtMode=0&amp;nonVirtPosition=&amp;position=chr14:78492245-78536860","chr14:78492245-78536860")</f>
        <v>chr14:78492245-78536860</v>
      </c>
      <c r="F3053" t="s">
        <v>25</v>
      </c>
      <c r="G3053">
        <v>-0.34012168308466401</v>
      </c>
      <c r="H3053">
        <v>0.12601289116809</v>
      </c>
      <c r="I3053">
        <v>-2.6991022897091801</v>
      </c>
      <c r="J3053">
        <v>6.9526802575084097E-3</v>
      </c>
      <c r="K3053">
        <v>3.0435874903005901E-2</v>
      </c>
      <c r="L3053" t="s">
        <v>26</v>
      </c>
      <c r="M3053" t="s">
        <v>27</v>
      </c>
      <c r="N3053">
        <v>1024.7060113456901</v>
      </c>
      <c r="O3053">
        <v>1174.93386670417</v>
      </c>
      <c r="P3053">
        <v>912.03511982682903</v>
      </c>
      <c r="Q3053">
        <v>1092.4269752632299</v>
      </c>
      <c r="R3053">
        <v>1214.7534964071299</v>
      </c>
      <c r="S3053">
        <v>1217.6211284421499</v>
      </c>
      <c r="T3053">
        <v>728.68979977742094</v>
      </c>
      <c r="U3053">
        <v>942.152968189636</v>
      </c>
      <c r="V3053">
        <v>1010.05242559305</v>
      </c>
      <c r="W3053">
        <v>967.24528574721</v>
      </c>
    </row>
    <row r="3054" spans="1:23" x14ac:dyDescent="0.2">
      <c r="A3054" t="s">
        <v>6111</v>
      </c>
      <c r="B3054" s="3" t="str">
        <f>HYPERLINK("http://www.ncbi.nlm.nih.gov/gene/232337","Zfp637")</f>
        <v>Zfp637</v>
      </c>
      <c r="C3054">
        <v>232337</v>
      </c>
      <c r="D3054" t="s">
        <v>6112</v>
      </c>
      <c r="E3054" s="3" t="str">
        <f>HYPERLINK("http://genome.ucsc.edu/cgi-bin/hgTracks?db=mm10&amp;lastVirtModeType=default&amp;lastVirtModeExtraState=&amp;virtModeType=default&amp;virtMode=0&amp;nonVirtPosition=&amp;position=chr6:117841241-117845956","chr6:117841241-117845956")</f>
        <v>chr6:117841241-117845956</v>
      </c>
      <c r="F3054" t="s">
        <v>30</v>
      </c>
      <c r="G3054">
        <v>-0.58057547604424697</v>
      </c>
      <c r="H3054">
        <v>0.215109779622078</v>
      </c>
      <c r="I3054">
        <v>-2.6989729479721798</v>
      </c>
      <c r="J3054">
        <v>6.9553829936438898E-3</v>
      </c>
      <c r="K3054">
        <v>3.0437756100616099E-2</v>
      </c>
      <c r="L3054" t="s">
        <v>26</v>
      </c>
      <c r="M3054" t="s">
        <v>27</v>
      </c>
      <c r="N3054">
        <v>86.977688114072507</v>
      </c>
      <c r="O3054">
        <v>110.21837018498</v>
      </c>
      <c r="P3054">
        <v>69.5471765608916</v>
      </c>
      <c r="Q3054">
        <v>137.52775886341399</v>
      </c>
      <c r="R3054">
        <v>106.191376520136</v>
      </c>
      <c r="S3054">
        <v>86.935975171390396</v>
      </c>
      <c r="T3054">
        <v>54.995456586975202</v>
      </c>
      <c r="U3054">
        <v>81.367756343650299</v>
      </c>
      <c r="V3054">
        <v>75.036669636191505</v>
      </c>
      <c r="W3054">
        <v>66.788823676749402</v>
      </c>
    </row>
    <row r="3055" spans="1:23" x14ac:dyDescent="0.2">
      <c r="A3055" t="s">
        <v>6113</v>
      </c>
      <c r="B3055" s="3" t="str">
        <f>HYPERLINK("http://www.ncbi.nlm.nih.gov/gene/72503","2610507B11Rik")</f>
        <v>2610507B11Rik</v>
      </c>
      <c r="C3055">
        <v>72503</v>
      </c>
      <c r="D3055" t="s">
        <v>6114</v>
      </c>
      <c r="E3055" s="3" t="str">
        <f>HYPERLINK("http://genome.ucsc.edu/cgi-bin/hgTracks?db=mm10&amp;lastVirtModeType=default&amp;lastVirtModeExtraState=&amp;virtModeType=default&amp;virtMode=0&amp;nonVirtPosition=&amp;position=chr11:78261753-78290625","chr11:78261753-78290625")</f>
        <v>chr11:78261753-78290625</v>
      </c>
      <c r="F3055" t="s">
        <v>30</v>
      </c>
      <c r="G3055">
        <v>-0.25238227085468801</v>
      </c>
      <c r="H3055">
        <v>9.3530487610720803E-2</v>
      </c>
      <c r="I3055">
        <v>-2.69839575631336</v>
      </c>
      <c r="J3055">
        <v>6.9674555462227103E-3</v>
      </c>
      <c r="K3055">
        <v>3.0480626337624401E-2</v>
      </c>
      <c r="L3055" t="s">
        <v>26</v>
      </c>
      <c r="M3055" t="s">
        <v>27</v>
      </c>
      <c r="N3055">
        <v>2239.20625316518</v>
      </c>
      <c r="O3055">
        <v>2472.8205664727898</v>
      </c>
      <c r="P3055">
        <v>2063.9955181844698</v>
      </c>
      <c r="Q3055">
        <v>2483.29475518553</v>
      </c>
      <c r="R3055">
        <v>2361.24110790846</v>
      </c>
      <c r="S3055">
        <v>2573.9258363243798</v>
      </c>
      <c r="T3055">
        <v>1929.4239352597101</v>
      </c>
      <c r="U3055">
        <v>2079.16030025485</v>
      </c>
      <c r="V3055">
        <v>2120.8893976582399</v>
      </c>
      <c r="W3055">
        <v>2126.5084395650802</v>
      </c>
    </row>
    <row r="3056" spans="1:23" x14ac:dyDescent="0.2">
      <c r="A3056" t="s">
        <v>6115</v>
      </c>
      <c r="B3056" s="3" t="str">
        <f>HYPERLINK("http://www.ncbi.nlm.nih.gov/gene/103850","Nt5m")</f>
        <v>Nt5m</v>
      </c>
      <c r="C3056">
        <v>103850</v>
      </c>
      <c r="D3056" t="s">
        <v>6116</v>
      </c>
      <c r="E3056" s="3" t="str">
        <f>HYPERLINK("http://genome.ucsc.edu/cgi-bin/hgTracks?db=mm10&amp;lastVirtModeType=default&amp;lastVirtModeExtraState=&amp;virtModeType=default&amp;virtMode=0&amp;nonVirtPosition=&amp;position=chr11:59848072-59876533","chr11:59848072-59876533")</f>
        <v>chr11:59848072-59876533</v>
      </c>
      <c r="F3056" t="s">
        <v>30</v>
      </c>
      <c r="G3056">
        <v>-0.50957240817268401</v>
      </c>
      <c r="H3056">
        <v>0.188861897886796</v>
      </c>
      <c r="I3056">
        <v>-2.6981218227412</v>
      </c>
      <c r="J3056">
        <v>6.97319172952346E-3</v>
      </c>
      <c r="K3056">
        <v>3.0495757821701101E-2</v>
      </c>
      <c r="L3056" t="s">
        <v>26</v>
      </c>
      <c r="M3056" t="s">
        <v>27</v>
      </c>
      <c r="N3056">
        <v>94.077999977849601</v>
      </c>
      <c r="O3056">
        <v>114.15966427052599</v>
      </c>
      <c r="P3056">
        <v>79.016751758342494</v>
      </c>
      <c r="Q3056">
        <v>106.347376287093</v>
      </c>
      <c r="R3056">
        <v>131.60145590174099</v>
      </c>
      <c r="S3056">
        <v>104.530160622743</v>
      </c>
      <c r="T3056">
        <v>73.327275449300203</v>
      </c>
      <c r="U3056">
        <v>94.215296818963594</v>
      </c>
      <c r="V3056">
        <v>75.772323260075694</v>
      </c>
      <c r="W3056">
        <v>72.752111505030598</v>
      </c>
    </row>
    <row r="3057" spans="1:23" x14ac:dyDescent="0.2">
      <c r="A3057" t="s">
        <v>6117</v>
      </c>
      <c r="B3057" s="3" t="str">
        <f>HYPERLINK("http://www.ncbi.nlm.nih.gov/gene/75104","Mmd2")</f>
        <v>Mmd2</v>
      </c>
      <c r="C3057">
        <v>75104</v>
      </c>
      <c r="D3057" t="s">
        <v>6118</v>
      </c>
      <c r="E3057" s="3" t="str">
        <f>HYPERLINK("http://genome.ucsc.edu/cgi-bin/hgTracks?db=mm10&amp;lastVirtModeType=default&amp;lastVirtModeExtraState=&amp;virtModeType=default&amp;virtMode=0&amp;nonVirtPosition=&amp;position=chr5:142563480-142608752","chr5:142563480-142608752")</f>
        <v>chr5:142563480-142608752</v>
      </c>
      <c r="F3057" t="s">
        <v>25</v>
      </c>
      <c r="G3057">
        <v>-0.68329197655546003</v>
      </c>
      <c r="H3057">
        <v>0.253337805202141</v>
      </c>
      <c r="I3057">
        <v>-2.6971575600816999</v>
      </c>
      <c r="J3057">
        <v>6.9934171987715704E-3</v>
      </c>
      <c r="K3057">
        <v>3.0574224521302699E-2</v>
      </c>
      <c r="L3057" t="s">
        <v>26</v>
      </c>
      <c r="M3057" t="s">
        <v>27</v>
      </c>
      <c r="N3057">
        <v>610.70280115711705</v>
      </c>
      <c r="O3057">
        <v>800.92301827117501</v>
      </c>
      <c r="P3057">
        <v>468.03763832157301</v>
      </c>
      <c r="Q3057">
        <v>1336.3021104137399</v>
      </c>
      <c r="R3057">
        <v>545.36856941412998</v>
      </c>
      <c r="S3057">
        <v>521.09837498565605</v>
      </c>
      <c r="T3057">
        <v>417.04887911789501</v>
      </c>
      <c r="U3057">
        <v>464.65271385716102</v>
      </c>
      <c r="V3057">
        <v>509.80796135177098</v>
      </c>
      <c r="W3057">
        <v>480.64099895946498</v>
      </c>
    </row>
    <row r="3058" spans="1:23" x14ac:dyDescent="0.2">
      <c r="A3058" t="s">
        <v>6119</v>
      </c>
      <c r="B3058" s="3" t="str">
        <f>HYPERLINK("http://www.ncbi.nlm.nih.gov/gene/215449","Rap1b")</f>
        <v>Rap1b</v>
      </c>
      <c r="C3058">
        <v>215449</v>
      </c>
      <c r="D3058" t="s">
        <v>6120</v>
      </c>
      <c r="E3058" s="3" t="str">
        <f>HYPERLINK("http://genome.ucsc.edu/cgi-bin/hgTracks?db=mm10&amp;lastVirtModeType=default&amp;lastVirtModeExtraState=&amp;virtModeType=default&amp;virtMode=0&amp;nonVirtPosition=&amp;position=chr10:117814596-117845974","chr10:117814596-117845974")</f>
        <v>chr10:117814596-117845974</v>
      </c>
      <c r="F3058" t="s">
        <v>25</v>
      </c>
      <c r="G3058">
        <v>-0.313719916253415</v>
      </c>
      <c r="H3058">
        <v>0.116326475014908</v>
      </c>
      <c r="I3058">
        <v>-2.6968917971013</v>
      </c>
      <c r="J3058">
        <v>6.9990008475619998E-3</v>
      </c>
      <c r="K3058">
        <v>3.0588648939198E-2</v>
      </c>
      <c r="L3058" t="s">
        <v>26</v>
      </c>
      <c r="M3058" t="s">
        <v>27</v>
      </c>
      <c r="N3058">
        <v>482.84685167961197</v>
      </c>
      <c r="O3058">
        <v>544.19859787510597</v>
      </c>
      <c r="P3058">
        <v>436.83304203299298</v>
      </c>
      <c r="Q3058">
        <v>546.21348763161598</v>
      </c>
      <c r="R3058">
        <v>529.06060801996603</v>
      </c>
      <c r="S3058">
        <v>557.32169797373501</v>
      </c>
      <c r="T3058">
        <v>472.04433570486998</v>
      </c>
      <c r="U3058">
        <v>400.41501148059501</v>
      </c>
      <c r="V3058">
        <v>478.91050914863399</v>
      </c>
      <c r="W3058">
        <v>395.96231179787202</v>
      </c>
    </row>
    <row r="3059" spans="1:23" x14ac:dyDescent="0.2">
      <c r="A3059" t="s">
        <v>6121</v>
      </c>
      <c r="B3059" s="3" t="str">
        <f>HYPERLINK("http://www.ncbi.nlm.nih.gov/gene/76980","Ube2ql1")</f>
        <v>Ube2ql1</v>
      </c>
      <c r="C3059">
        <v>76980</v>
      </c>
      <c r="D3059" t="s">
        <v>6122</v>
      </c>
      <c r="E3059" s="3" t="str">
        <f>HYPERLINK("http://genome.ucsc.edu/cgi-bin/hgTracks?db=mm10&amp;lastVirtModeType=default&amp;lastVirtModeExtraState=&amp;virtModeType=default&amp;virtMode=0&amp;nonVirtPosition=&amp;position=chr13:69702831-69739897","chr13:69702831-69739897")</f>
        <v>chr13:69702831-69739897</v>
      </c>
      <c r="F3059" t="s">
        <v>25</v>
      </c>
      <c r="G3059">
        <v>-0.71048784460032799</v>
      </c>
      <c r="H3059">
        <v>0.26364634990997599</v>
      </c>
      <c r="I3059">
        <v>-2.6948518151035601</v>
      </c>
      <c r="J3059">
        <v>7.0419941178644502E-3</v>
      </c>
      <c r="K3059">
        <v>3.07665067642163E-2</v>
      </c>
      <c r="L3059" t="s">
        <v>26</v>
      </c>
      <c r="M3059" t="s">
        <v>27</v>
      </c>
      <c r="N3059">
        <v>85.689543191509799</v>
      </c>
      <c r="O3059">
        <v>113.621982108955</v>
      </c>
      <c r="P3059">
        <v>64.740214003425706</v>
      </c>
      <c r="Q3059">
        <v>130.28945576533999</v>
      </c>
      <c r="R3059">
        <v>117.94827892057999</v>
      </c>
      <c r="S3059">
        <v>92.628211640945693</v>
      </c>
      <c r="T3059">
        <v>50.4125018713939</v>
      </c>
      <c r="U3059">
        <v>83.509013089535898</v>
      </c>
      <c r="V3059">
        <v>36.782681194211499</v>
      </c>
      <c r="W3059">
        <v>88.256659858561704</v>
      </c>
    </row>
    <row r="3060" spans="1:23" x14ac:dyDescent="0.2">
      <c r="A3060" t="s">
        <v>6123</v>
      </c>
      <c r="B3060" s="3" t="str">
        <f>HYPERLINK("http://www.ncbi.nlm.nih.gov/gene/67996","Srsf6")</f>
        <v>Srsf6</v>
      </c>
      <c r="C3060">
        <v>67996</v>
      </c>
      <c r="D3060" t="s">
        <v>6124</v>
      </c>
      <c r="E3060" s="3" t="str">
        <f>HYPERLINK("http://genome.ucsc.edu/cgi-bin/hgTracks?db=mm10&amp;lastVirtModeType=default&amp;lastVirtModeExtraState=&amp;virtModeType=default&amp;virtMode=0&amp;nonVirtPosition=&amp;position=chr2:162931507-162937120","chr2:162931507-162937120")</f>
        <v>chr2:162931507-162937120</v>
      </c>
      <c r="F3060" t="s">
        <v>30</v>
      </c>
      <c r="G3060">
        <v>0.31511375516408302</v>
      </c>
      <c r="H3060">
        <v>0.116980264824769</v>
      </c>
      <c r="I3060">
        <v>2.6937343289152902</v>
      </c>
      <c r="J3060">
        <v>7.0656458975013698E-3</v>
      </c>
      <c r="K3060">
        <v>3.08521870167663E-2</v>
      </c>
      <c r="L3060" t="s">
        <v>26</v>
      </c>
      <c r="M3060" t="s">
        <v>27</v>
      </c>
      <c r="N3060">
        <v>1070.88469548687</v>
      </c>
      <c r="O3060">
        <v>936.04228155566398</v>
      </c>
      <c r="P3060">
        <v>1172.0165059352701</v>
      </c>
      <c r="Q3060">
        <v>802.33805879424995</v>
      </c>
      <c r="R3060">
        <v>1006.5425474444399</v>
      </c>
      <c r="S3060">
        <v>999.24623842830295</v>
      </c>
      <c r="T3060">
        <v>1209.9000449134501</v>
      </c>
      <c r="U3060">
        <v>1139.1485888110999</v>
      </c>
      <c r="V3060">
        <v>1197.6440996835299</v>
      </c>
      <c r="W3060">
        <v>1141.3732903330199</v>
      </c>
    </row>
    <row r="3061" spans="1:23" x14ac:dyDescent="0.2">
      <c r="A3061" t="s">
        <v>6125</v>
      </c>
      <c r="B3061" s="3" t="str">
        <f>HYPERLINK("http://www.ncbi.nlm.nih.gov/gene/237877","Atad5")</f>
        <v>Atad5</v>
      </c>
      <c r="C3061">
        <v>237877</v>
      </c>
      <c r="D3061" t="s">
        <v>6126</v>
      </c>
      <c r="E3061" s="3" t="str">
        <f>HYPERLINK("http://genome.ucsc.edu/cgi-bin/hgTracks?db=mm10&amp;lastVirtModeType=default&amp;lastVirtModeExtraState=&amp;virtModeType=default&amp;virtMode=0&amp;nonVirtPosition=&amp;position=chr11:80089399-80135791","chr11:80089399-80135791")</f>
        <v>chr11:80089399-80135791</v>
      </c>
      <c r="F3061" t="s">
        <v>30</v>
      </c>
      <c r="G3061">
        <v>0.56671025073363201</v>
      </c>
      <c r="H3061">
        <v>0.21038298858284599</v>
      </c>
      <c r="I3061">
        <v>2.6937075785025701</v>
      </c>
      <c r="J3061">
        <v>7.0662129475335903E-3</v>
      </c>
      <c r="K3061">
        <v>3.08521870167663E-2</v>
      </c>
      <c r="L3061" t="s">
        <v>26</v>
      </c>
      <c r="M3061" t="s">
        <v>27</v>
      </c>
      <c r="N3061">
        <v>274.10104200774202</v>
      </c>
      <c r="O3061">
        <v>208.99049383551099</v>
      </c>
      <c r="P3061">
        <v>322.93395313691502</v>
      </c>
      <c r="Q3061">
        <v>128.06228558131701</v>
      </c>
      <c r="R3061">
        <v>241.20612666716701</v>
      </c>
      <c r="S3061">
        <v>257.70306925804999</v>
      </c>
      <c r="T3061">
        <v>384.96819610882602</v>
      </c>
      <c r="U3061">
        <v>295.49343093220398</v>
      </c>
      <c r="V3061">
        <v>311.91713652691402</v>
      </c>
      <c r="W3061">
        <v>299.35704897971601</v>
      </c>
    </row>
    <row r="3062" spans="1:23" x14ac:dyDescent="0.2">
      <c r="A3062" t="s">
        <v>6127</v>
      </c>
      <c r="B3062" s="3" t="str">
        <f>HYPERLINK("http://www.ncbi.nlm.nih.gov/gene/100503380","Snhg4")</f>
        <v>Snhg4</v>
      </c>
      <c r="C3062">
        <v>100503380</v>
      </c>
      <c r="D3062" t="s">
        <v>6128</v>
      </c>
      <c r="E3062" s="3" t="str">
        <f>HYPERLINK("http://genome.ucsc.edu/cgi-bin/hgTracks?db=mm10&amp;lastVirtModeType=default&amp;lastVirtModeExtraState=&amp;virtModeType=default&amp;virtMode=0&amp;nonVirtPosition=&amp;position=chr18:35553409-35558316","chr18:35553409-35558316")</f>
        <v>chr18:35553409-35558316</v>
      </c>
      <c r="F3062" t="s">
        <v>30</v>
      </c>
      <c r="G3062">
        <v>0.794481686366454</v>
      </c>
      <c r="H3062">
        <v>0.29500987711361998</v>
      </c>
      <c r="I3062">
        <v>2.6930680902608199</v>
      </c>
      <c r="J3062">
        <v>7.0797808647134596E-3</v>
      </c>
      <c r="K3062">
        <v>3.0901351225351301E-2</v>
      </c>
      <c r="L3062" t="s">
        <v>26</v>
      </c>
      <c r="M3062" t="s">
        <v>27</v>
      </c>
      <c r="N3062">
        <v>75.682697417219799</v>
      </c>
      <c r="O3062">
        <v>49.171877173886102</v>
      </c>
      <c r="P3062">
        <v>95.565812599720104</v>
      </c>
      <c r="Q3062">
        <v>20.601324202211799</v>
      </c>
      <c r="R3062">
        <v>66.369610325085304</v>
      </c>
      <c r="S3062">
        <v>60.544696994361203</v>
      </c>
      <c r="T3062">
        <v>87.076139596044001</v>
      </c>
      <c r="U3062">
        <v>122.051634515476</v>
      </c>
      <c r="V3062">
        <v>86.071473994454905</v>
      </c>
      <c r="W3062">
        <v>87.064002292905499</v>
      </c>
    </row>
    <row r="3063" spans="1:23" x14ac:dyDescent="0.2">
      <c r="A3063" t="s">
        <v>6129</v>
      </c>
      <c r="B3063" s="3" t="str">
        <f>HYPERLINK("http://www.ncbi.nlm.nih.gov/gene/12522","Cd83")</f>
        <v>Cd83</v>
      </c>
      <c r="C3063">
        <v>12522</v>
      </c>
      <c r="D3063" t="s">
        <v>6130</v>
      </c>
      <c r="E3063" s="3" t="str">
        <f>HYPERLINK("http://genome.ucsc.edu/cgi-bin/hgTracks?db=mm10&amp;lastVirtModeType=default&amp;lastVirtModeExtraState=&amp;virtModeType=default&amp;virtMode=0&amp;nonVirtPosition=&amp;position=chr13:43785111-43803133","chr13:43785111-43803133")</f>
        <v>chr13:43785111-43803133</v>
      </c>
      <c r="F3063" t="s">
        <v>30</v>
      </c>
      <c r="G3063">
        <v>-0.52907020191965803</v>
      </c>
      <c r="H3063">
        <v>0.19647004246660599</v>
      </c>
      <c r="I3063">
        <v>-2.6928797656751402</v>
      </c>
      <c r="J3063">
        <v>7.0837809727181201E-3</v>
      </c>
      <c r="K3063">
        <v>3.0908736072228198E-2</v>
      </c>
      <c r="L3063" t="s">
        <v>26</v>
      </c>
      <c r="M3063" t="s">
        <v>27</v>
      </c>
      <c r="N3063">
        <v>113.00065196854599</v>
      </c>
      <c r="O3063">
        <v>138.542720488632</v>
      </c>
      <c r="P3063">
        <v>93.844100578480806</v>
      </c>
      <c r="Q3063">
        <v>143.652476869477</v>
      </c>
      <c r="R3063">
        <v>131.222200985597</v>
      </c>
      <c r="S3063">
        <v>140.753483610823</v>
      </c>
      <c r="T3063">
        <v>73.327275449300203</v>
      </c>
      <c r="U3063">
        <v>134.89917499078899</v>
      </c>
      <c r="V3063">
        <v>76.507976883959898</v>
      </c>
      <c r="W3063">
        <v>90.6419749898742</v>
      </c>
    </row>
    <row r="3064" spans="1:23" x14ac:dyDescent="0.2">
      <c r="A3064" t="s">
        <v>6131</v>
      </c>
      <c r="B3064" s="3" t="str">
        <f>HYPERLINK("http://www.ncbi.nlm.nih.gov/gene/20513","Slc1a6")</f>
        <v>Slc1a6</v>
      </c>
      <c r="C3064">
        <v>20513</v>
      </c>
      <c r="D3064" t="s">
        <v>6132</v>
      </c>
      <c r="E3064" s="3" t="str">
        <f>HYPERLINK("http://genome.ucsc.edu/cgi-bin/hgTracks?db=mm10&amp;lastVirtModeType=default&amp;lastVirtModeExtraState=&amp;virtModeType=default&amp;virtMode=0&amp;nonVirtPosition=&amp;position=chr10:78780495-78814825","chr10:78780495-78814825")</f>
        <v>chr10:78780495-78814825</v>
      </c>
      <c r="F3064" t="s">
        <v>30</v>
      </c>
      <c r="G3064">
        <v>-1.0071720154433399</v>
      </c>
      <c r="H3064">
        <v>0.37405281907903498</v>
      </c>
      <c r="I3064">
        <v>-2.6925930351845002</v>
      </c>
      <c r="J3064">
        <v>7.0898751680014901E-3</v>
      </c>
      <c r="K3064">
        <v>3.0924120501707099E-2</v>
      </c>
      <c r="L3064" t="s">
        <v>26</v>
      </c>
      <c r="M3064" t="s">
        <v>27</v>
      </c>
      <c r="N3064">
        <v>31.7998241918906</v>
      </c>
      <c r="O3064">
        <v>50.929199210630998</v>
      </c>
      <c r="P3064">
        <v>17.452792927835201</v>
      </c>
      <c r="Q3064">
        <v>33.964345306349202</v>
      </c>
      <c r="R3064">
        <v>97.089258532696206</v>
      </c>
      <c r="S3064">
        <v>21.733993792847599</v>
      </c>
      <c r="T3064">
        <v>9.1659094311625307</v>
      </c>
      <c r="U3064">
        <v>17.130053967084301</v>
      </c>
      <c r="V3064">
        <v>12.506111606031901</v>
      </c>
      <c r="W3064">
        <v>31.009096707062199</v>
      </c>
    </row>
    <row r="3065" spans="1:23" x14ac:dyDescent="0.2">
      <c r="A3065" t="s">
        <v>6133</v>
      </c>
      <c r="B3065" s="3" t="str">
        <f>HYPERLINK("http://www.ncbi.nlm.nih.gov/gene/12753","Clock")</f>
        <v>Clock</v>
      </c>
      <c r="C3065">
        <v>12753</v>
      </c>
      <c r="D3065" t="s">
        <v>6134</v>
      </c>
      <c r="E3065" s="3" t="str">
        <f>HYPERLINK("http://genome.ucsc.edu/cgi-bin/hgTracks?db=mm10&amp;lastVirtModeType=default&amp;lastVirtModeExtraState=&amp;virtModeType=default&amp;virtMode=0&amp;nonVirtPosition=&amp;position=chr5:76209867-76303502","chr5:76209867-76303502")</f>
        <v>chr5:76209867-76303502</v>
      </c>
      <c r="F3065" t="s">
        <v>25</v>
      </c>
      <c r="G3065">
        <v>-0.30678383573274998</v>
      </c>
      <c r="H3065">
        <v>0.113940286364625</v>
      </c>
      <c r="I3065">
        <v>-2.6924966183690202</v>
      </c>
      <c r="J3065">
        <v>7.0919254768682296E-3</v>
      </c>
      <c r="K3065">
        <v>3.0924120501707099E-2</v>
      </c>
      <c r="L3065" t="s">
        <v>26</v>
      </c>
      <c r="M3065" t="s">
        <v>27</v>
      </c>
      <c r="N3065">
        <v>608.06450437208605</v>
      </c>
      <c r="O3065">
        <v>686.47073021110805</v>
      </c>
      <c r="P3065">
        <v>549.25983499281904</v>
      </c>
      <c r="Q3065">
        <v>766.14654330387805</v>
      </c>
      <c r="R3065">
        <v>650.042926269693</v>
      </c>
      <c r="S3065">
        <v>643.22272105975196</v>
      </c>
      <c r="T3065">
        <v>513.29092814510102</v>
      </c>
      <c r="U3065">
        <v>571.71555115143804</v>
      </c>
      <c r="V3065">
        <v>559.83240777589901</v>
      </c>
      <c r="W3065">
        <v>552.20045289883899</v>
      </c>
    </row>
    <row r="3066" spans="1:23" x14ac:dyDescent="0.2">
      <c r="A3066" t="s">
        <v>6135</v>
      </c>
      <c r="B3066" s="3" t="str">
        <f>HYPERLINK("http://www.ncbi.nlm.nih.gov/gene/59048","C1galt1c1")</f>
        <v>C1galt1c1</v>
      </c>
      <c r="C3066">
        <v>59048</v>
      </c>
      <c r="D3066" t="s">
        <v>6136</v>
      </c>
      <c r="E3066" s="3" t="str">
        <f>HYPERLINK("http://genome.ucsc.edu/cgi-bin/hgTracks?db=mm10&amp;lastVirtModeType=default&amp;lastVirtModeExtraState=&amp;virtModeType=default&amp;virtMode=0&amp;nonVirtPosition=&amp;position=chrX:38630782-38635143","chrX:38630782-38635143")</f>
        <v>chrX:38630782-38635143</v>
      </c>
      <c r="F3066" t="s">
        <v>25</v>
      </c>
      <c r="G3066">
        <v>-0.64196516556032102</v>
      </c>
      <c r="H3066">
        <v>0.238437851193847</v>
      </c>
      <c r="I3066">
        <v>-2.6923794286269298</v>
      </c>
      <c r="J3066">
        <v>7.0944182398941496E-3</v>
      </c>
      <c r="K3066">
        <v>3.0924920133601101E-2</v>
      </c>
      <c r="L3066" t="s">
        <v>26</v>
      </c>
      <c r="M3066" t="s">
        <v>27</v>
      </c>
      <c r="N3066">
        <v>83.613020077637202</v>
      </c>
      <c r="O3066">
        <v>106.424133090002</v>
      </c>
      <c r="P3066">
        <v>66.504685318364096</v>
      </c>
      <c r="Q3066">
        <v>110.244924109134</v>
      </c>
      <c r="R3066">
        <v>112.25945517843</v>
      </c>
      <c r="S3066">
        <v>96.768019982440507</v>
      </c>
      <c r="T3066">
        <v>64.161366018137699</v>
      </c>
      <c r="U3066">
        <v>98.497810310734593</v>
      </c>
      <c r="V3066">
        <v>64.001865277928005</v>
      </c>
      <c r="W3066">
        <v>39.357699666655897</v>
      </c>
    </row>
    <row r="3067" spans="1:23" x14ac:dyDescent="0.2">
      <c r="A3067" t="s">
        <v>6137</v>
      </c>
      <c r="B3067" s="3" t="str">
        <f>HYPERLINK("http://www.ncbi.nlm.nih.gov/gene/18786","Plaa")</f>
        <v>Plaa</v>
      </c>
      <c r="C3067">
        <v>18786</v>
      </c>
      <c r="D3067" t="s">
        <v>6138</v>
      </c>
      <c r="E3067" s="3" t="str">
        <f>HYPERLINK("http://genome.ucsc.edu/cgi-bin/hgTracks?db=mm10&amp;lastVirtModeType=default&amp;lastVirtModeExtraState=&amp;virtModeType=default&amp;virtMode=0&amp;nonVirtPosition=&amp;position=chr4:94565138-94603247","chr4:94565138-94603247")</f>
        <v>chr4:94565138-94603247</v>
      </c>
      <c r="F3067" t="s">
        <v>25</v>
      </c>
      <c r="G3067">
        <v>-0.37661807135534597</v>
      </c>
      <c r="H3067">
        <v>0.139893178591493</v>
      </c>
      <c r="I3067">
        <v>-2.6921832440102298</v>
      </c>
      <c r="J3067">
        <v>7.0985930772391901E-3</v>
      </c>
      <c r="K3067">
        <v>3.0933049104233602E-2</v>
      </c>
      <c r="L3067" t="s">
        <v>26</v>
      </c>
      <c r="M3067" t="s">
        <v>27</v>
      </c>
      <c r="N3067">
        <v>457.53326898615097</v>
      </c>
      <c r="O3067">
        <v>524.91734372046506</v>
      </c>
      <c r="P3067">
        <v>406.99521293541602</v>
      </c>
      <c r="Q3067">
        <v>453.22913244865998</v>
      </c>
      <c r="R3067">
        <v>608.70414041006802</v>
      </c>
      <c r="S3067">
        <v>512.81875830266597</v>
      </c>
      <c r="T3067">
        <v>472.04433570486998</v>
      </c>
      <c r="U3067">
        <v>385.42621425939598</v>
      </c>
      <c r="V3067">
        <v>378.125962676494</v>
      </c>
      <c r="W3067">
        <v>392.38433910090299</v>
      </c>
    </row>
    <row r="3068" spans="1:23" x14ac:dyDescent="0.2">
      <c r="A3068" t="s">
        <v>6139</v>
      </c>
      <c r="B3068" s="3" t="str">
        <f>HYPERLINK("http://www.ncbi.nlm.nih.gov/gene/224624","Rab40c")</f>
        <v>Rab40c</v>
      </c>
      <c r="C3068">
        <v>224624</v>
      </c>
      <c r="D3068" t="s">
        <v>6140</v>
      </c>
      <c r="E3068" s="3" t="str">
        <f>HYPERLINK("http://genome.ucsc.edu/cgi-bin/hgTracks?db=mm10&amp;lastVirtModeType=default&amp;lastVirtModeExtraState=&amp;virtModeType=default&amp;virtMode=0&amp;nonVirtPosition=&amp;position=chr17:25882113-25919714","chr17:25882113-25919714")</f>
        <v>chr17:25882113-25919714</v>
      </c>
      <c r="F3068" t="s">
        <v>25</v>
      </c>
      <c r="G3068">
        <v>0.50453389154638695</v>
      </c>
      <c r="H3068">
        <v>0.18744792765686599</v>
      </c>
      <c r="I3068">
        <v>2.6915949290726</v>
      </c>
      <c r="J3068">
        <v>7.1111257333059397E-3</v>
      </c>
      <c r="K3068">
        <v>3.0977501736793301E-2</v>
      </c>
      <c r="L3068" t="s">
        <v>26</v>
      </c>
      <c r="M3068" t="s">
        <v>27</v>
      </c>
      <c r="N3068">
        <v>88.990298913278394</v>
      </c>
      <c r="O3068">
        <v>70.231831168693205</v>
      </c>
      <c r="P3068">
        <v>103.05914972171701</v>
      </c>
      <c r="Q3068">
        <v>65.701520428675593</v>
      </c>
      <c r="R3068">
        <v>62.197806247508503</v>
      </c>
      <c r="S3068">
        <v>82.796166829895597</v>
      </c>
      <c r="T3068">
        <v>109.99091317395001</v>
      </c>
      <c r="U3068">
        <v>107.062837294277</v>
      </c>
      <c r="V3068">
        <v>98.577585600486799</v>
      </c>
      <c r="W3068">
        <v>96.605262818155396</v>
      </c>
    </row>
    <row r="3069" spans="1:23" x14ac:dyDescent="0.2">
      <c r="A3069" t="s">
        <v>6141</v>
      </c>
      <c r="B3069" s="3" t="str">
        <f>HYPERLINK("http://www.ncbi.nlm.nih.gov/gene/116972","Fam57a")</f>
        <v>Fam57a</v>
      </c>
      <c r="C3069">
        <v>116972</v>
      </c>
      <c r="D3069" t="s">
        <v>6142</v>
      </c>
      <c r="E3069" s="3" t="str">
        <f>HYPERLINK("http://genome.ucsc.edu/cgi-bin/hgTracks?db=mm10&amp;lastVirtModeType=default&amp;lastVirtModeExtraState=&amp;virtModeType=default&amp;virtMode=0&amp;nonVirtPosition=&amp;position=chr11:76202055-76208257","chr11:76202055-76208257")</f>
        <v>chr11:76202055-76208257</v>
      </c>
      <c r="F3069" t="s">
        <v>30</v>
      </c>
      <c r="G3069">
        <v>-0.52282098890650097</v>
      </c>
      <c r="H3069">
        <v>0.19425231993077999</v>
      </c>
      <c r="I3069">
        <v>-2.6914529983106701</v>
      </c>
      <c r="J3069">
        <v>7.1141522046732899E-3</v>
      </c>
      <c r="K3069">
        <v>3.0977501736793301E-2</v>
      </c>
      <c r="L3069" t="s">
        <v>26</v>
      </c>
      <c r="M3069" t="s">
        <v>27</v>
      </c>
      <c r="N3069">
        <v>83.763337965535598</v>
      </c>
      <c r="O3069">
        <v>103.495690091905</v>
      </c>
      <c r="P3069">
        <v>68.964073870758398</v>
      </c>
      <c r="Q3069">
        <v>87.973222268904493</v>
      </c>
      <c r="R3069">
        <v>116.431259256007</v>
      </c>
      <c r="S3069">
        <v>106.08258875080401</v>
      </c>
      <c r="T3069">
        <v>59.578411302556397</v>
      </c>
      <c r="U3069">
        <v>72.802729360108202</v>
      </c>
      <c r="V3069">
        <v>74.301016012307201</v>
      </c>
      <c r="W3069">
        <v>69.174138808061898</v>
      </c>
    </row>
    <row r="3070" spans="1:23" x14ac:dyDescent="0.2">
      <c r="A3070" t="s">
        <v>6143</v>
      </c>
      <c r="B3070" s="3" t="str">
        <f>HYPERLINK("http://www.ncbi.nlm.nih.gov/gene/15208","Hes5")</f>
        <v>Hes5</v>
      </c>
      <c r="C3070">
        <v>15208</v>
      </c>
      <c r="D3070" t="s">
        <v>6144</v>
      </c>
      <c r="E3070" s="3" t="str">
        <f>HYPERLINK("http://genome.ucsc.edu/cgi-bin/hgTracks?db=mm10&amp;lastVirtModeType=default&amp;lastVirtModeExtraState=&amp;virtModeType=default&amp;virtMode=0&amp;nonVirtPosition=&amp;position=chr4:154960922-154962371","chr4:154960922-154962371")</f>
        <v>chr4:154960922-154962371</v>
      </c>
      <c r="F3070" t="s">
        <v>30</v>
      </c>
      <c r="G3070">
        <v>0.81965400344875705</v>
      </c>
      <c r="H3070">
        <v>0.30455301796905798</v>
      </c>
      <c r="I3070">
        <v>2.69133436573606</v>
      </c>
      <c r="J3070">
        <v>7.1166827625512201E-3</v>
      </c>
      <c r="K3070">
        <v>3.0977501736793301E-2</v>
      </c>
      <c r="L3070" t="s">
        <v>26</v>
      </c>
      <c r="M3070" t="s">
        <v>27</v>
      </c>
      <c r="N3070">
        <v>36.736093012628203</v>
      </c>
      <c r="O3070">
        <v>23.461747145292001</v>
      </c>
      <c r="P3070">
        <v>46.691852413130398</v>
      </c>
      <c r="Q3070">
        <v>37.861893128389298</v>
      </c>
      <c r="R3070">
        <v>14.411686813447099</v>
      </c>
      <c r="S3070">
        <v>18.111661494039701</v>
      </c>
      <c r="T3070">
        <v>50.4125018713939</v>
      </c>
      <c r="U3070">
        <v>44.966391663596198</v>
      </c>
      <c r="V3070">
        <v>44.874871056937998</v>
      </c>
      <c r="W3070">
        <v>46.513645060593397</v>
      </c>
    </row>
    <row r="3071" spans="1:23" x14ac:dyDescent="0.2">
      <c r="A3071" t="s">
        <v>6145</v>
      </c>
      <c r="B3071" s="3" t="str">
        <f>HYPERLINK("http://www.ncbi.nlm.nih.gov/gene/74102","Slc35a5")</f>
        <v>Slc35a5</v>
      </c>
      <c r="C3071">
        <v>74102</v>
      </c>
      <c r="D3071" t="s">
        <v>6146</v>
      </c>
      <c r="E3071" s="3" t="str">
        <f>HYPERLINK("http://genome.ucsc.edu/cgi-bin/hgTracks?db=mm10&amp;lastVirtModeType=default&amp;lastVirtModeExtraState=&amp;virtModeType=default&amp;virtMode=0&amp;nonVirtPosition=&amp;position=chr16:45139572-45158673","chr16:45139572-45158673")</f>
        <v>chr16:45139572-45158673</v>
      </c>
      <c r="F3071" t="s">
        <v>25</v>
      </c>
      <c r="G3071">
        <v>-0.45179385840686398</v>
      </c>
      <c r="H3071">
        <v>0.16787382540857401</v>
      </c>
      <c r="I3071">
        <v>-2.6912704068503901</v>
      </c>
      <c r="J3071">
        <v>7.1180474082677197E-3</v>
      </c>
      <c r="K3071">
        <v>3.0977501736793301E-2</v>
      </c>
      <c r="L3071" t="s">
        <v>26</v>
      </c>
      <c r="M3071" t="s">
        <v>27</v>
      </c>
      <c r="N3071">
        <v>229.24199239505501</v>
      </c>
      <c r="O3071">
        <v>273.44249089804299</v>
      </c>
      <c r="P3071">
        <v>196.091618517814</v>
      </c>
      <c r="Q3071">
        <v>332.40514996541799</v>
      </c>
      <c r="R3071">
        <v>268.51248062948798</v>
      </c>
      <c r="S3071">
        <v>219.409842099223</v>
      </c>
      <c r="T3071">
        <v>183.31818862325099</v>
      </c>
      <c r="U3071">
        <v>216.26693133443899</v>
      </c>
      <c r="V3071">
        <v>202.30474656816301</v>
      </c>
      <c r="W3071">
        <v>182.47660754540499</v>
      </c>
    </row>
    <row r="3072" spans="1:23" x14ac:dyDescent="0.2">
      <c r="A3072" t="s">
        <v>6147</v>
      </c>
      <c r="B3072" s="3" t="str">
        <f>HYPERLINK("http://www.ncbi.nlm.nih.gov/gene/231912","Katnal1")</f>
        <v>Katnal1</v>
      </c>
      <c r="C3072">
        <v>231912</v>
      </c>
      <c r="D3072" t="s">
        <v>6148</v>
      </c>
      <c r="E3072" s="3" t="str">
        <f>HYPERLINK("http://genome.ucsc.edu/cgi-bin/hgTracks?db=mm10&amp;lastVirtModeType=default&amp;lastVirtModeExtraState=&amp;virtModeType=default&amp;virtMode=0&amp;nonVirtPosition=&amp;position=chr5:148871583-148928647","chr5:148871583-148928647")</f>
        <v>chr5:148871583-148928647</v>
      </c>
      <c r="F3072" t="s">
        <v>25</v>
      </c>
      <c r="G3072">
        <v>-0.30905013576187401</v>
      </c>
      <c r="H3072">
        <v>0.11486313110948899</v>
      </c>
      <c r="I3072">
        <v>-2.6905947345914099</v>
      </c>
      <c r="J3072">
        <v>7.13247810781782E-3</v>
      </c>
      <c r="K3072">
        <v>3.10201410658618E-2</v>
      </c>
      <c r="L3072" t="s">
        <v>26</v>
      </c>
      <c r="M3072" t="s">
        <v>27</v>
      </c>
      <c r="N3072">
        <v>339.13216687104102</v>
      </c>
      <c r="O3072">
        <v>383.43614132801798</v>
      </c>
      <c r="P3072">
        <v>305.90418602830903</v>
      </c>
      <c r="Q3072">
        <v>403.11780330814503</v>
      </c>
      <c r="R3072">
        <v>362.18844491689401</v>
      </c>
      <c r="S3072">
        <v>385.00217575901502</v>
      </c>
      <c r="T3072">
        <v>302.47501122836297</v>
      </c>
      <c r="U3072">
        <v>286.92840394866198</v>
      </c>
      <c r="V3072">
        <v>313.388443774682</v>
      </c>
      <c r="W3072">
        <v>320.82488516152898</v>
      </c>
    </row>
    <row r="3073" spans="1:23" x14ac:dyDescent="0.2">
      <c r="A3073" t="s">
        <v>6149</v>
      </c>
      <c r="B3073" s="3" t="str">
        <f>HYPERLINK("http://www.ncbi.nlm.nih.gov/gene/66629","Golph3")</f>
        <v>Golph3</v>
      </c>
      <c r="C3073">
        <v>66629</v>
      </c>
      <c r="D3073" t="s">
        <v>6150</v>
      </c>
      <c r="E3073" s="3" t="str">
        <f>HYPERLINK("http://genome.ucsc.edu/cgi-bin/hgTracks?db=mm10&amp;lastVirtModeType=default&amp;lastVirtModeExtraState=&amp;virtModeType=default&amp;virtMode=0&amp;nonVirtPosition=&amp;position=chr15:12321495-12351267","chr15:12321495-12351267")</f>
        <v>chr15:12321495-12351267</v>
      </c>
      <c r="F3073" t="s">
        <v>30</v>
      </c>
      <c r="G3073">
        <v>-0.39492874247742399</v>
      </c>
      <c r="H3073">
        <v>0.14683147253777201</v>
      </c>
      <c r="I3073">
        <v>-2.6896736486506998</v>
      </c>
      <c r="J3073">
        <v>7.1521925451659904E-3</v>
      </c>
      <c r="K3073">
        <v>3.1095782588414798E-2</v>
      </c>
      <c r="L3073" t="s">
        <v>26</v>
      </c>
      <c r="M3073" t="s">
        <v>27</v>
      </c>
      <c r="N3073">
        <v>713.79833743121003</v>
      </c>
      <c r="O3073">
        <v>830.96906625293695</v>
      </c>
      <c r="P3073">
        <v>625.92029081491603</v>
      </c>
      <c r="Q3073">
        <v>743.87484146364898</v>
      </c>
      <c r="R3073">
        <v>866.21822847139902</v>
      </c>
      <c r="S3073">
        <v>882.81412882376196</v>
      </c>
      <c r="T3073">
        <v>559.12047530091399</v>
      </c>
      <c r="U3073">
        <v>796.54750946941897</v>
      </c>
      <c r="V3073">
        <v>567.18894401474097</v>
      </c>
      <c r="W3073">
        <v>580.82423447458905</v>
      </c>
    </row>
    <row r="3074" spans="1:23" x14ac:dyDescent="0.2">
      <c r="A3074" t="s">
        <v>6151</v>
      </c>
      <c r="B3074" s="3" t="str">
        <f>HYPERLINK("http://www.ncbi.nlm.nih.gov/gene/57808","Rpl35a")</f>
        <v>Rpl35a</v>
      </c>
      <c r="C3074">
        <v>57808</v>
      </c>
      <c r="D3074" t="s">
        <v>6152</v>
      </c>
      <c r="E3074" s="3" t="str">
        <f>HYPERLINK("http://genome.ucsc.edu/cgi-bin/hgTracks?db=mm10&amp;lastVirtModeType=default&amp;lastVirtModeExtraState=&amp;virtModeType=default&amp;virtMode=0&amp;nonVirtPosition=&amp;position=chr16:33056513-33060188","chr16:33056513-33060188")</f>
        <v>chr16:33056513-33060188</v>
      </c>
      <c r="F3074" t="s">
        <v>30</v>
      </c>
      <c r="G3074">
        <v>-0.48599992309957202</v>
      </c>
      <c r="H3074">
        <v>0.180713325388206</v>
      </c>
      <c r="I3074">
        <v>-2.6893419290224099</v>
      </c>
      <c r="J3074">
        <v>7.1593044685250504E-3</v>
      </c>
      <c r="K3074">
        <v>3.1116600499194701E-2</v>
      </c>
      <c r="L3074" t="s">
        <v>26</v>
      </c>
      <c r="M3074" t="s">
        <v>27</v>
      </c>
      <c r="N3074">
        <v>168.16830169824601</v>
      </c>
      <c r="O3074">
        <v>201.32398653882001</v>
      </c>
      <c r="P3074">
        <v>143.30153806781499</v>
      </c>
      <c r="Q3074">
        <v>157.57229051962</v>
      </c>
      <c r="R3074">
        <v>246.13644057703101</v>
      </c>
      <c r="S3074">
        <v>200.26322851981001</v>
      </c>
      <c r="T3074">
        <v>155.82046032976299</v>
      </c>
      <c r="U3074">
        <v>145.60545872021601</v>
      </c>
      <c r="V3074">
        <v>134.624613170814</v>
      </c>
      <c r="W3074">
        <v>137.155620050468</v>
      </c>
    </row>
    <row r="3075" spans="1:23" x14ac:dyDescent="0.2">
      <c r="A3075" t="s">
        <v>6153</v>
      </c>
      <c r="B3075" s="3" t="str">
        <f>HYPERLINK("http://www.ncbi.nlm.nih.gov/gene/15975","Ifnar1")</f>
        <v>Ifnar1</v>
      </c>
      <c r="C3075">
        <v>15975</v>
      </c>
      <c r="D3075" t="s">
        <v>6154</v>
      </c>
      <c r="E3075" s="3" t="str">
        <f>HYPERLINK("http://genome.ucsc.edu/cgi-bin/hgTracks?db=mm10&amp;lastVirtModeType=default&amp;lastVirtModeExtraState=&amp;virtModeType=default&amp;virtMode=0&amp;nonVirtPosition=&amp;position=chr16:91485214-91510522","chr16:91485214-91510522")</f>
        <v>chr16:91485214-91510522</v>
      </c>
      <c r="F3075" t="s">
        <v>30</v>
      </c>
      <c r="G3075">
        <v>-0.30677673031321201</v>
      </c>
      <c r="H3075">
        <v>0.11409385156702399</v>
      </c>
      <c r="I3075">
        <v>-2.6888103618186499</v>
      </c>
      <c r="J3075">
        <v>7.1707142737625603E-3</v>
      </c>
      <c r="K3075">
        <v>3.1156078792976799E-2</v>
      </c>
      <c r="L3075" t="s">
        <v>26</v>
      </c>
      <c r="M3075" t="s">
        <v>27</v>
      </c>
      <c r="N3075">
        <v>443.799211798069</v>
      </c>
      <c r="O3075">
        <v>501.10593901252901</v>
      </c>
      <c r="P3075">
        <v>400.81916638722498</v>
      </c>
      <c r="Q3075">
        <v>540.64556217155905</v>
      </c>
      <c r="R3075">
        <v>469.51758618546103</v>
      </c>
      <c r="S3075">
        <v>493.15466868056598</v>
      </c>
      <c r="T3075">
        <v>375.80228667766397</v>
      </c>
      <c r="U3075">
        <v>428.25134917710699</v>
      </c>
      <c r="V3075">
        <v>416.37995111847403</v>
      </c>
      <c r="W3075">
        <v>382.84307857565301</v>
      </c>
    </row>
    <row r="3076" spans="1:23" x14ac:dyDescent="0.2">
      <c r="A3076" t="s">
        <v>6155</v>
      </c>
      <c r="B3076" s="3" t="str">
        <f>HYPERLINK("http://www.ncbi.nlm.nih.gov/gene/23939","Mapk7")</f>
        <v>Mapk7</v>
      </c>
      <c r="C3076">
        <v>23939</v>
      </c>
      <c r="D3076" t="s">
        <v>6156</v>
      </c>
      <c r="E3076" s="3" t="str">
        <f>HYPERLINK("http://genome.ucsc.edu/cgi-bin/hgTracks?db=mm10&amp;lastVirtModeType=default&amp;lastVirtModeExtraState=&amp;virtModeType=default&amp;virtMode=0&amp;nonVirtPosition=&amp;position=chr11:61488811-61494266","chr11:61488811-61494266")</f>
        <v>chr11:61488811-61494266</v>
      </c>
      <c r="F3076" t="s">
        <v>25</v>
      </c>
      <c r="G3076">
        <v>0.397318004308992</v>
      </c>
      <c r="H3076">
        <v>0.147878137453059</v>
      </c>
      <c r="I3076">
        <v>2.6867934040291299</v>
      </c>
      <c r="J3076">
        <v>7.21415580097594E-3</v>
      </c>
      <c r="K3076">
        <v>3.1334661151757599E-2</v>
      </c>
      <c r="L3076" t="s">
        <v>26</v>
      </c>
      <c r="M3076" t="s">
        <v>27</v>
      </c>
      <c r="N3076">
        <v>307.03719397427301</v>
      </c>
      <c r="O3076">
        <v>258.23553356671698</v>
      </c>
      <c r="P3076">
        <v>343.63843927993997</v>
      </c>
      <c r="Q3076">
        <v>271.71476245079401</v>
      </c>
      <c r="R3076">
        <v>221.48487102771301</v>
      </c>
      <c r="S3076">
        <v>281.50696722164503</v>
      </c>
      <c r="T3076">
        <v>325.38978480626997</v>
      </c>
      <c r="U3076">
        <v>381.14370076762498</v>
      </c>
      <c r="V3076">
        <v>293.525795929808</v>
      </c>
      <c r="W3076">
        <v>374.49447561605899</v>
      </c>
    </row>
    <row r="3077" spans="1:23" x14ac:dyDescent="0.2">
      <c r="A3077" t="s">
        <v>6157</v>
      </c>
      <c r="B3077" s="3" t="str">
        <f>HYPERLINK("http://www.ncbi.nlm.nih.gov/gene/73254","Ccdc18")</f>
        <v>Ccdc18</v>
      </c>
      <c r="C3077">
        <v>73254</v>
      </c>
      <c r="D3077" t="s">
        <v>6158</v>
      </c>
      <c r="E3077" s="3" t="str">
        <f>HYPERLINK("http://genome.ucsc.edu/cgi-bin/hgTracks?db=mm10&amp;lastVirtModeType=default&amp;lastVirtModeExtraState=&amp;virtModeType=default&amp;virtMode=0&amp;nonVirtPosition=&amp;position=chr5:108132913-108232949","chr5:108132913-108232949")</f>
        <v>chr5:108132913-108232949</v>
      </c>
      <c r="F3077" t="s">
        <v>30</v>
      </c>
      <c r="G3077">
        <v>0.58218437103770404</v>
      </c>
      <c r="H3077">
        <v>0.216711707922423</v>
      </c>
      <c r="I3077">
        <v>2.68644632363891</v>
      </c>
      <c r="J3077">
        <v>7.22165504304066E-3</v>
      </c>
      <c r="K3077">
        <v>3.1357063126250799E-2</v>
      </c>
      <c r="L3077" t="s">
        <v>26</v>
      </c>
      <c r="M3077" t="s">
        <v>27</v>
      </c>
      <c r="N3077">
        <v>49.927363391982098</v>
      </c>
      <c r="O3077">
        <v>38.399368344464499</v>
      </c>
      <c r="P3077">
        <v>58.573359677620303</v>
      </c>
      <c r="Q3077">
        <v>39.532270766406498</v>
      </c>
      <c r="R3077">
        <v>39.442511278907801</v>
      </c>
      <c r="S3077">
        <v>36.223322988079303</v>
      </c>
      <c r="T3077">
        <v>50.4125018713939</v>
      </c>
      <c r="U3077">
        <v>62.096445630680499</v>
      </c>
      <c r="V3077">
        <v>57.380982662969998</v>
      </c>
      <c r="W3077">
        <v>64.403508545436907</v>
      </c>
    </row>
    <row r="3078" spans="1:23" x14ac:dyDescent="0.2">
      <c r="A3078" t="s">
        <v>6159</v>
      </c>
      <c r="B3078" s="3" t="str">
        <f>HYPERLINK("http://www.ncbi.nlm.nih.gov/gene/21351","Taldo1")</f>
        <v>Taldo1</v>
      </c>
      <c r="C3078">
        <v>21351</v>
      </c>
      <c r="D3078" t="s">
        <v>6160</v>
      </c>
      <c r="E3078" s="3" t="str">
        <f>HYPERLINK("http://genome.ucsc.edu/cgi-bin/hgTracks?db=mm10&amp;lastVirtModeType=default&amp;lastVirtModeExtraState=&amp;virtModeType=default&amp;virtMode=0&amp;nonVirtPosition=&amp;position=chr7:141392159-141402976","chr7:141392159-141402976")</f>
        <v>chr7:141392159-141402976</v>
      </c>
      <c r="F3078" t="s">
        <v>30</v>
      </c>
      <c r="G3078">
        <v>-0.280297209009713</v>
      </c>
      <c r="H3078">
        <v>0.104383222574393</v>
      </c>
      <c r="I3078">
        <v>-2.6852706986503199</v>
      </c>
      <c r="J3078">
        <v>7.24710836401413E-3</v>
      </c>
      <c r="K3078">
        <v>3.1457383501624997E-2</v>
      </c>
      <c r="L3078" t="s">
        <v>26</v>
      </c>
      <c r="M3078" t="s">
        <v>27</v>
      </c>
      <c r="N3078">
        <v>489.573598655269</v>
      </c>
      <c r="O3078">
        <v>546.41716826829804</v>
      </c>
      <c r="P3078">
        <v>446.940921445497</v>
      </c>
      <c r="Q3078">
        <v>520.04423796934702</v>
      </c>
      <c r="R3078">
        <v>558.26323656300303</v>
      </c>
      <c r="S3078">
        <v>560.94403027254305</v>
      </c>
      <c r="T3078">
        <v>449.129562126964</v>
      </c>
      <c r="U3078">
        <v>423.96883568533599</v>
      </c>
      <c r="V3078">
        <v>468.61135841425499</v>
      </c>
      <c r="W3078">
        <v>446.05392955543402</v>
      </c>
    </row>
    <row r="3079" spans="1:23" x14ac:dyDescent="0.2">
      <c r="A3079" t="s">
        <v>6161</v>
      </c>
      <c r="B3079" s="3" t="str">
        <f>HYPERLINK("http://www.ncbi.nlm.nih.gov/gene/75172","Ccdc146")</f>
        <v>Ccdc146</v>
      </c>
      <c r="C3079">
        <v>75172</v>
      </c>
      <c r="D3079" t="s">
        <v>6162</v>
      </c>
      <c r="E3079" s="3" t="str">
        <f>HYPERLINK("http://genome.ucsc.edu/cgi-bin/hgTracks?db=mm10&amp;lastVirtModeType=default&amp;lastVirtModeExtraState=&amp;virtModeType=default&amp;virtMode=0&amp;nonVirtPosition=&amp;position=chr5:21292960-21424677","chr5:21292960-21424677")</f>
        <v>chr5:21292960-21424677</v>
      </c>
      <c r="F3079" t="s">
        <v>25</v>
      </c>
      <c r="G3079">
        <v>0.89795481897605001</v>
      </c>
      <c r="H3079">
        <v>0.33453747846866</v>
      </c>
      <c r="I3079">
        <v>2.6841680731451198</v>
      </c>
      <c r="J3079">
        <v>7.2710543164522003E-3</v>
      </c>
      <c r="K3079">
        <v>3.1551097975246703E-2</v>
      </c>
      <c r="L3079" t="s">
        <v>26</v>
      </c>
      <c r="M3079" t="s">
        <v>27</v>
      </c>
      <c r="N3079">
        <v>14.103499741666299</v>
      </c>
      <c r="O3079">
        <v>8.5106351914115805</v>
      </c>
      <c r="P3079">
        <v>18.2981481543573</v>
      </c>
      <c r="Q3079">
        <v>8.9086807360916005</v>
      </c>
      <c r="R3079">
        <v>8.3436081551535803</v>
      </c>
      <c r="S3079">
        <v>8.2796166829895608</v>
      </c>
      <c r="T3079">
        <v>13.7488641467438</v>
      </c>
      <c r="U3079">
        <v>21.412567458855399</v>
      </c>
      <c r="V3079">
        <v>21.3339550926427</v>
      </c>
      <c r="W3079">
        <v>16.6972059191874</v>
      </c>
    </row>
    <row r="3080" spans="1:23" x14ac:dyDescent="0.2">
      <c r="A3080" t="s">
        <v>6163</v>
      </c>
      <c r="B3080" s="3" t="str">
        <f>HYPERLINK("http://www.ncbi.nlm.nih.gov/gene/104416","Bap1")</f>
        <v>Bap1</v>
      </c>
      <c r="C3080">
        <v>104416</v>
      </c>
      <c r="D3080" t="s">
        <v>6164</v>
      </c>
      <c r="E3080" s="3" t="str">
        <f>HYPERLINK("http://genome.ucsc.edu/cgi-bin/hgTracks?db=mm10&amp;lastVirtModeType=default&amp;lastVirtModeExtraState=&amp;virtModeType=default&amp;virtMode=0&amp;nonVirtPosition=&amp;position=chr14:31251488-31259929","chr14:31251488-31259929")</f>
        <v>chr14:31251488-31259929</v>
      </c>
      <c r="F3080" t="s">
        <v>30</v>
      </c>
      <c r="G3080">
        <v>-0.337349813995245</v>
      </c>
      <c r="H3080">
        <v>0.12569316652316301</v>
      </c>
      <c r="I3080">
        <v>-2.68391531001072</v>
      </c>
      <c r="J3080">
        <v>7.2765536207082303E-3</v>
      </c>
      <c r="K3080">
        <v>3.1564732599580203E-2</v>
      </c>
      <c r="L3080" t="s">
        <v>26</v>
      </c>
      <c r="M3080" t="s">
        <v>27</v>
      </c>
      <c r="N3080">
        <v>482.44756345231002</v>
      </c>
      <c r="O3080">
        <v>550.09600121866094</v>
      </c>
      <c r="P3080">
        <v>431.71123512754599</v>
      </c>
      <c r="Q3080">
        <v>489.97744048503802</v>
      </c>
      <c r="R3080">
        <v>532.09464734911296</v>
      </c>
      <c r="S3080">
        <v>628.21591582183305</v>
      </c>
      <c r="T3080">
        <v>430.797743264639</v>
      </c>
      <c r="U3080">
        <v>408.98003846413701</v>
      </c>
      <c r="V3080">
        <v>436.24259896334797</v>
      </c>
      <c r="W3080">
        <v>450.82455981805902</v>
      </c>
    </row>
    <row r="3081" spans="1:23" x14ac:dyDescent="0.2">
      <c r="A3081" t="s">
        <v>6165</v>
      </c>
      <c r="B3081" s="3" t="str">
        <f>HYPERLINK("http://www.ncbi.nlm.nih.gov/gene/211151","Churc1")</f>
        <v>Churc1</v>
      </c>
      <c r="C3081">
        <v>211151</v>
      </c>
      <c r="D3081" t="s">
        <v>6166</v>
      </c>
      <c r="E3081" s="3" t="str">
        <f>HYPERLINK("http://genome.ucsc.edu/cgi-bin/hgTracks?db=mm10&amp;lastVirtModeType=default&amp;lastVirtModeExtraState=&amp;virtModeType=default&amp;virtMode=0&amp;nonVirtPosition=&amp;position=chr12:76765572-76783178","chr12:76765572-76783178")</f>
        <v>chr12:76765572-76783178</v>
      </c>
      <c r="F3081" t="s">
        <v>30</v>
      </c>
      <c r="G3081">
        <v>0.75314912839593395</v>
      </c>
      <c r="H3081">
        <v>0.280643185780933</v>
      </c>
      <c r="I3081">
        <v>2.6836537160173002</v>
      </c>
      <c r="J3081">
        <v>7.2822489856006903E-3</v>
      </c>
      <c r="K3081">
        <v>3.1579208603037201E-2</v>
      </c>
      <c r="L3081" t="s">
        <v>26</v>
      </c>
      <c r="M3081" t="s">
        <v>27</v>
      </c>
      <c r="N3081">
        <v>27.605064488125901</v>
      </c>
      <c r="O3081">
        <v>19.340996894493401</v>
      </c>
      <c r="P3081">
        <v>33.803115183350201</v>
      </c>
      <c r="Q3081">
        <v>20.601324202211799</v>
      </c>
      <c r="R3081">
        <v>15.1701966457338</v>
      </c>
      <c r="S3081">
        <v>22.2514698355345</v>
      </c>
      <c r="T3081">
        <v>22.914773577906299</v>
      </c>
      <c r="U3081">
        <v>38.5426214259396</v>
      </c>
      <c r="V3081">
        <v>36.782681194211499</v>
      </c>
      <c r="W3081">
        <v>36.972384535343402</v>
      </c>
    </row>
    <row r="3082" spans="1:23" x14ac:dyDescent="0.2">
      <c r="A3082" t="s">
        <v>6167</v>
      </c>
      <c r="B3082" s="3" t="str">
        <f>HYPERLINK("http://www.ncbi.nlm.nih.gov/gene/20022","Polr2j")</f>
        <v>Polr2j</v>
      </c>
      <c r="C3082">
        <v>20022</v>
      </c>
      <c r="D3082" t="s">
        <v>6168</v>
      </c>
      <c r="E3082" s="3" t="str">
        <f>HYPERLINK("http://genome.ucsc.edu/cgi-bin/hgTracks?db=mm10&amp;lastVirtModeType=default&amp;lastVirtModeExtraState=&amp;virtModeType=default&amp;virtMode=0&amp;nonVirtPosition=&amp;position=chr5:136116690-136122947","chr5:136116690-136122947")</f>
        <v>chr5:136116690-136122947</v>
      </c>
      <c r="F3082" t="s">
        <v>30</v>
      </c>
      <c r="G3082">
        <v>-0.771687926145319</v>
      </c>
      <c r="H3082">
        <v>0.28761936579479702</v>
      </c>
      <c r="I3082">
        <v>-2.68301796721116</v>
      </c>
      <c r="J3082">
        <v>7.2961070406938697E-3</v>
      </c>
      <c r="K3082">
        <v>3.1629060984762598E-2</v>
      </c>
      <c r="L3082" t="s">
        <v>26</v>
      </c>
      <c r="M3082" t="s">
        <v>27</v>
      </c>
      <c r="N3082">
        <v>47.503237966629399</v>
      </c>
      <c r="O3082">
        <v>65.345336720845907</v>
      </c>
      <c r="P3082">
        <v>34.121663900967</v>
      </c>
      <c r="Q3082">
        <v>52.338499324538098</v>
      </c>
      <c r="R3082">
        <v>95.572238868122795</v>
      </c>
      <c r="S3082">
        <v>48.125271969876799</v>
      </c>
      <c r="T3082">
        <v>22.914773577906299</v>
      </c>
      <c r="U3082">
        <v>44.966391663596198</v>
      </c>
      <c r="V3082">
        <v>31.6331058270219</v>
      </c>
      <c r="W3082">
        <v>36.972384535343402</v>
      </c>
    </row>
    <row r="3083" spans="1:23" x14ac:dyDescent="0.2">
      <c r="A3083" t="s">
        <v>6169</v>
      </c>
      <c r="B3083" s="3" t="str">
        <f>HYPERLINK("http://www.ncbi.nlm.nih.gov/gene/100502734","Gm16023")</f>
        <v>Gm16023</v>
      </c>
      <c r="C3083">
        <v>100502734</v>
      </c>
      <c r="D3083" t="s">
        <v>6170</v>
      </c>
      <c r="E3083" s="3" t="str">
        <f>HYPERLINK("http://genome.ucsc.edu/cgi-bin/hgTracks?db=mm10&amp;lastVirtModeType=default&amp;lastVirtModeExtraState=&amp;virtModeType=default&amp;virtMode=0&amp;nonVirtPosition=&amp;position=chr4:155608296-155624755","chr4:155608296-155624755")</f>
        <v>chr4:155608296-155624755</v>
      </c>
      <c r="F3083" t="s">
        <v>25</v>
      </c>
      <c r="G3083">
        <v>0.95012283519644603</v>
      </c>
      <c r="H3083">
        <v>0.35416099280181401</v>
      </c>
      <c r="I3083">
        <v>2.68274274837525</v>
      </c>
      <c r="J3083">
        <v>7.3021135977065299E-3</v>
      </c>
      <c r="K3083">
        <v>3.1636011291122097E-2</v>
      </c>
      <c r="L3083" t="s">
        <v>26</v>
      </c>
      <c r="M3083" t="s">
        <v>27</v>
      </c>
      <c r="N3083">
        <v>21.404797297137598</v>
      </c>
      <c r="O3083">
        <v>11.850176941555199</v>
      </c>
      <c r="P3083">
        <v>28.570762563824399</v>
      </c>
      <c r="Q3083">
        <v>6.6815105520687004</v>
      </c>
      <c r="R3083">
        <v>10.2398827358703</v>
      </c>
      <c r="S3083">
        <v>18.6291375367265</v>
      </c>
      <c r="T3083">
        <v>13.7488641467438</v>
      </c>
      <c r="U3083">
        <v>51.390161901252803</v>
      </c>
      <c r="V3083">
        <v>26.483530459832298</v>
      </c>
      <c r="W3083">
        <v>22.6604937474686</v>
      </c>
    </row>
    <row r="3084" spans="1:23" x14ac:dyDescent="0.2">
      <c r="A3084" t="s">
        <v>6171</v>
      </c>
      <c r="B3084" s="3" t="str">
        <f>HYPERLINK("http://www.ncbi.nlm.nih.gov/gene/210973","Kbtbd2")</f>
        <v>Kbtbd2</v>
      </c>
      <c r="C3084">
        <v>210973</v>
      </c>
      <c r="D3084" t="s">
        <v>6172</v>
      </c>
      <c r="E3084" s="3" t="str">
        <f>HYPERLINK("http://genome.ucsc.edu/cgi-bin/hgTracks?db=mm10&amp;lastVirtModeType=default&amp;lastVirtModeExtraState=&amp;virtModeType=default&amp;virtMode=0&amp;nonVirtPosition=&amp;position=chr6:56777524-56797813","chr6:56777524-56797813")</f>
        <v>chr6:56777524-56797813</v>
      </c>
      <c r="F3084" t="s">
        <v>25</v>
      </c>
      <c r="G3084">
        <v>-0.33199958025555998</v>
      </c>
      <c r="H3084">
        <v>0.12375446875838</v>
      </c>
      <c r="I3084">
        <v>-2.68272801448295</v>
      </c>
      <c r="J3084">
        <v>7.3024352849569299E-3</v>
      </c>
      <c r="K3084">
        <v>3.1636011291122097E-2</v>
      </c>
      <c r="L3084" t="s">
        <v>26</v>
      </c>
      <c r="M3084" t="s">
        <v>27</v>
      </c>
      <c r="N3084">
        <v>369.489889826953</v>
      </c>
      <c r="O3084">
        <v>422.212770103146</v>
      </c>
      <c r="P3084">
        <v>329.947729619808</v>
      </c>
      <c r="Q3084">
        <v>383.63006419794499</v>
      </c>
      <c r="R3084">
        <v>424.00699624825899</v>
      </c>
      <c r="S3084">
        <v>459.00124986323402</v>
      </c>
      <c r="T3084">
        <v>307.05796594394502</v>
      </c>
      <c r="U3084">
        <v>331.89479561225801</v>
      </c>
      <c r="V3084">
        <v>361.20592932715698</v>
      </c>
      <c r="W3084">
        <v>319.632227595872</v>
      </c>
    </row>
    <row r="3085" spans="1:23" x14ac:dyDescent="0.2">
      <c r="A3085" t="s">
        <v>6173</v>
      </c>
      <c r="B3085" s="3" t="str">
        <f>HYPERLINK("http://www.ncbi.nlm.nih.gov/gene/77590","Chst15")</f>
        <v>Chst15</v>
      </c>
      <c r="C3085">
        <v>77590</v>
      </c>
      <c r="D3085" t="s">
        <v>6174</v>
      </c>
      <c r="E3085" s="3" t="str">
        <f>HYPERLINK("http://genome.ucsc.edu/cgi-bin/hgTracks?db=mm10&amp;lastVirtModeType=default&amp;lastVirtModeExtraState=&amp;virtModeType=default&amp;virtMode=0&amp;nonVirtPosition=&amp;position=chr7:132236254-132317155","chr7:132236254-132317155")</f>
        <v>chr7:132236254-132317155</v>
      </c>
      <c r="F3085" t="s">
        <v>25</v>
      </c>
      <c r="G3085">
        <v>0.556293810193358</v>
      </c>
      <c r="H3085">
        <v>0.207376577557363</v>
      </c>
      <c r="I3085">
        <v>2.6825296122918298</v>
      </c>
      <c r="J3085">
        <v>7.3067682679643E-3</v>
      </c>
      <c r="K3085">
        <v>3.1638259165877099E-2</v>
      </c>
      <c r="L3085" t="s">
        <v>26</v>
      </c>
      <c r="M3085" t="s">
        <v>27</v>
      </c>
      <c r="N3085">
        <v>124.56637312921301</v>
      </c>
      <c r="O3085">
        <v>97.004775358104993</v>
      </c>
      <c r="P3085">
        <v>145.237571457543</v>
      </c>
      <c r="Q3085">
        <v>131.40304085735099</v>
      </c>
      <c r="R3085">
        <v>78.885022557815702</v>
      </c>
      <c r="S3085">
        <v>80.726262659148205</v>
      </c>
      <c r="T3085">
        <v>142.07159618301901</v>
      </c>
      <c r="U3085">
        <v>130.61666149901799</v>
      </c>
      <c r="V3085">
        <v>160.37249000676201</v>
      </c>
      <c r="W3085">
        <v>147.889538141374</v>
      </c>
    </row>
    <row r="3086" spans="1:23" x14ac:dyDescent="0.2">
      <c r="A3086" t="s">
        <v>6175</v>
      </c>
      <c r="B3086" s="3" t="str">
        <f>HYPERLINK("http://www.ncbi.nlm.nih.gov/gene/75553","Zc3h14")</f>
        <v>Zc3h14</v>
      </c>
      <c r="C3086">
        <v>75553</v>
      </c>
      <c r="D3086" t="s">
        <v>6176</v>
      </c>
      <c r="E3086" s="3" t="str">
        <f>HYPERLINK("http://genome.ucsc.edu/cgi-bin/hgTracks?db=mm10&amp;lastVirtModeType=default&amp;lastVirtModeExtraState=&amp;virtModeType=default&amp;virtMode=0&amp;nonVirtPosition=&amp;position=chr12:98746967-98787774","chr12:98746967-98787774")</f>
        <v>chr12:98746967-98787774</v>
      </c>
      <c r="F3086" t="s">
        <v>30</v>
      </c>
      <c r="G3086">
        <v>-0.35934760734047799</v>
      </c>
      <c r="H3086">
        <v>0.13396056954216701</v>
      </c>
      <c r="I3086">
        <v>-2.6824879034824201</v>
      </c>
      <c r="J3086">
        <v>7.3076794563556001E-3</v>
      </c>
      <c r="K3086">
        <v>3.1638259165877099E-2</v>
      </c>
      <c r="L3086" t="s">
        <v>26</v>
      </c>
      <c r="M3086" t="s">
        <v>27</v>
      </c>
      <c r="N3086">
        <v>455.15498181688201</v>
      </c>
      <c r="O3086">
        <v>525.08192004859097</v>
      </c>
      <c r="P3086">
        <v>402.709778143101</v>
      </c>
      <c r="Q3086">
        <v>468.26253119081503</v>
      </c>
      <c r="R3086">
        <v>577.60523728631404</v>
      </c>
      <c r="S3086">
        <v>529.377991668645</v>
      </c>
      <c r="T3086">
        <v>384.96819610882602</v>
      </c>
      <c r="U3086">
        <v>349.024849579342</v>
      </c>
      <c r="V3086">
        <v>420.058219237895</v>
      </c>
      <c r="W3086">
        <v>456.78784764634003</v>
      </c>
    </row>
    <row r="3087" spans="1:23" x14ac:dyDescent="0.2">
      <c r="A3087" t="s">
        <v>6177</v>
      </c>
      <c r="B3087" s="3" t="str">
        <f>HYPERLINK("http://www.ncbi.nlm.nih.gov/gene/235442","Rab8b")</f>
        <v>Rab8b</v>
      </c>
      <c r="C3087">
        <v>235442</v>
      </c>
      <c r="D3087" t="s">
        <v>6178</v>
      </c>
      <c r="E3087" s="3" t="str">
        <f>HYPERLINK("http://genome.ucsc.edu/cgi-bin/hgTracks?db=mm10&amp;lastVirtModeType=default&amp;lastVirtModeExtraState=&amp;virtModeType=default&amp;virtMode=0&amp;nonVirtPosition=&amp;position=chr9:66843663-66919705","chr9:66843663-66919705")</f>
        <v>chr9:66843663-66919705</v>
      </c>
      <c r="F3087" t="s">
        <v>25</v>
      </c>
      <c r="G3087">
        <v>-0.36045857251304297</v>
      </c>
      <c r="H3087">
        <v>0.13438874365276701</v>
      </c>
      <c r="I3087">
        <v>-2.68220806829174</v>
      </c>
      <c r="J3087">
        <v>7.3137954921095602E-3</v>
      </c>
      <c r="K3087">
        <v>3.1654504019017198E-2</v>
      </c>
      <c r="L3087" t="s">
        <v>26</v>
      </c>
      <c r="M3087" t="s">
        <v>27</v>
      </c>
      <c r="N3087">
        <v>788.77160756662295</v>
      </c>
      <c r="O3087">
        <v>901.54015120760903</v>
      </c>
      <c r="P3087">
        <v>704.19519983588395</v>
      </c>
      <c r="Q3087">
        <v>898.66316925323997</v>
      </c>
      <c r="R3087">
        <v>976.96066398525602</v>
      </c>
      <c r="S3087">
        <v>828.99662038432996</v>
      </c>
      <c r="T3087">
        <v>788.26821107997705</v>
      </c>
      <c r="U3087">
        <v>772.99368526467799</v>
      </c>
      <c r="V3087">
        <v>678.27264122125996</v>
      </c>
      <c r="W3087">
        <v>577.24626177762002</v>
      </c>
    </row>
    <row r="3088" spans="1:23" x14ac:dyDescent="0.2">
      <c r="A3088" t="s">
        <v>6179</v>
      </c>
      <c r="B3088" s="3" t="str">
        <f>HYPERLINK("http://www.ncbi.nlm.nih.gov/gene/14394","Gabra1")</f>
        <v>Gabra1</v>
      </c>
      <c r="C3088">
        <v>14394</v>
      </c>
      <c r="D3088" t="s">
        <v>6180</v>
      </c>
      <c r="E3088" s="3" t="str">
        <f>HYPERLINK("http://genome.ucsc.edu/cgi-bin/hgTracks?db=mm10&amp;lastVirtModeType=default&amp;lastVirtModeExtraState=&amp;virtModeType=default&amp;virtMode=0&amp;nonVirtPosition=&amp;position=chr11:42130939-42182930","chr11:42130939-42182930")</f>
        <v>chr11:42130939-42182930</v>
      </c>
      <c r="F3088" t="s">
        <v>25</v>
      </c>
      <c r="G3088">
        <v>-1.07163394570151</v>
      </c>
      <c r="H3088">
        <v>0.39961352836703601</v>
      </c>
      <c r="I3088">
        <v>-2.6816758433594301</v>
      </c>
      <c r="J3088">
        <v>7.3254403953979998E-3</v>
      </c>
      <c r="K3088">
        <v>3.1694659881994998E-2</v>
      </c>
      <c r="L3088" t="s">
        <v>26</v>
      </c>
      <c r="M3088" t="s">
        <v>27</v>
      </c>
      <c r="N3088">
        <v>123.18308572015999</v>
      </c>
      <c r="O3088">
        <v>225.41687856154999</v>
      </c>
      <c r="P3088">
        <v>46.507741089117097</v>
      </c>
      <c r="Q3088">
        <v>134.18700358737999</v>
      </c>
      <c r="R3088">
        <v>476.34417467604101</v>
      </c>
      <c r="S3088">
        <v>65.719457421229606</v>
      </c>
      <c r="T3088">
        <v>27.497728293487601</v>
      </c>
      <c r="U3088">
        <v>59.955188884795</v>
      </c>
      <c r="V3088">
        <v>19.8626478448742</v>
      </c>
      <c r="W3088">
        <v>78.715399333311794</v>
      </c>
    </row>
    <row r="3089" spans="1:23" x14ac:dyDescent="0.2">
      <c r="A3089" t="s">
        <v>6181</v>
      </c>
      <c r="B3089" s="3" t="str">
        <f>HYPERLINK("http://www.ncbi.nlm.nih.gov/gene/19713","Ret")</f>
        <v>Ret</v>
      </c>
      <c r="C3089">
        <v>19713</v>
      </c>
      <c r="D3089" t="s">
        <v>6182</v>
      </c>
      <c r="E3089" s="3" t="str">
        <f>HYPERLINK("http://genome.ucsc.edu/cgi-bin/hgTracks?db=mm10&amp;lastVirtModeType=default&amp;lastVirtModeExtraState=&amp;virtModeType=default&amp;virtMode=0&amp;nonVirtPosition=&amp;position=chr6:118151747-118197744","chr6:118151747-118197744")</f>
        <v>chr6:118151747-118197744</v>
      </c>
      <c r="F3089" t="s">
        <v>25</v>
      </c>
      <c r="G3089">
        <v>-0.86652962663712296</v>
      </c>
      <c r="H3089">
        <v>0.323178234977056</v>
      </c>
      <c r="I3089">
        <v>-2.6812747049585299</v>
      </c>
      <c r="J3089">
        <v>7.3342281600457301E-3</v>
      </c>
      <c r="K3089">
        <v>3.1722431941593202E-2</v>
      </c>
      <c r="L3089" t="s">
        <v>26</v>
      </c>
      <c r="M3089" t="s">
        <v>27</v>
      </c>
      <c r="N3089">
        <v>64.1566495781626</v>
      </c>
      <c r="O3089">
        <v>93.439092859452302</v>
      </c>
      <c r="P3089">
        <v>42.1948171171952</v>
      </c>
      <c r="Q3089">
        <v>143.095684323471</v>
      </c>
      <c r="R3089">
        <v>79.264277473958998</v>
      </c>
      <c r="S3089">
        <v>57.957316780926902</v>
      </c>
      <c r="T3089">
        <v>18.3318188623251</v>
      </c>
      <c r="U3089">
        <v>51.390161901252803</v>
      </c>
      <c r="V3089">
        <v>28.690491331484999</v>
      </c>
      <c r="W3089">
        <v>70.366796373718103</v>
      </c>
    </row>
    <row r="3090" spans="1:23" x14ac:dyDescent="0.2">
      <c r="A3090" t="s">
        <v>6183</v>
      </c>
      <c r="B3090" s="3" t="str">
        <f>HYPERLINK("http://www.ncbi.nlm.nih.gov/gene/212772","Arl14ep")</f>
        <v>Arl14ep</v>
      </c>
      <c r="C3090">
        <v>212772</v>
      </c>
      <c r="D3090" t="s">
        <v>6184</v>
      </c>
      <c r="E3090" s="3" t="str">
        <f>HYPERLINK("http://genome.ucsc.edu/cgi-bin/hgTracks?db=mm10&amp;lastVirtModeType=default&amp;lastVirtModeExtraState=&amp;virtModeType=default&amp;virtMode=0&amp;nonVirtPosition=&amp;position=chr2:106962528-106970391","chr2:106962528-106970391")</f>
        <v>chr2:106962528-106970391</v>
      </c>
      <c r="F3090" t="s">
        <v>25</v>
      </c>
      <c r="G3090">
        <v>-0.37926799867349698</v>
      </c>
      <c r="H3090">
        <v>0.14146888075554401</v>
      </c>
      <c r="I3090">
        <v>-2.6809288137994498</v>
      </c>
      <c r="J3090">
        <v>7.3418132123805203E-3</v>
      </c>
      <c r="K3090">
        <v>3.1744985704548798E-2</v>
      </c>
      <c r="L3090" t="s">
        <v>26</v>
      </c>
      <c r="M3090" t="s">
        <v>27</v>
      </c>
      <c r="N3090">
        <v>303.92929437236899</v>
      </c>
      <c r="O3090">
        <v>352.30224635153598</v>
      </c>
      <c r="P3090">
        <v>267.649580387995</v>
      </c>
      <c r="Q3090">
        <v>409.799313860214</v>
      </c>
      <c r="R3090">
        <v>310.23052140525601</v>
      </c>
      <c r="S3090">
        <v>336.876903789138</v>
      </c>
      <c r="T3090">
        <v>274.97728293487597</v>
      </c>
      <c r="U3090">
        <v>241.96201228506499</v>
      </c>
      <c r="V3090">
        <v>272.19184083716499</v>
      </c>
      <c r="W3090">
        <v>281.46718549487298</v>
      </c>
    </row>
    <row r="3091" spans="1:23" x14ac:dyDescent="0.2">
      <c r="A3091" t="s">
        <v>6185</v>
      </c>
      <c r="B3091" s="3" t="str">
        <f>HYPERLINK("http://www.ncbi.nlm.nih.gov/gene/223864","Rapgef3")</f>
        <v>Rapgef3</v>
      </c>
      <c r="C3091">
        <v>223864</v>
      </c>
      <c r="D3091" t="s">
        <v>6186</v>
      </c>
      <c r="E3091" s="3" t="str">
        <f>HYPERLINK("http://genome.ucsc.edu/cgi-bin/hgTracks?db=mm10&amp;lastVirtModeType=default&amp;lastVirtModeExtraState=&amp;virtModeType=default&amp;virtMode=0&amp;nonVirtPosition=&amp;position=chr15:97744769-97767666","chr15:97744769-97767666")</f>
        <v>chr15:97744769-97767666</v>
      </c>
      <c r="F3091" t="s">
        <v>25</v>
      </c>
      <c r="G3091">
        <v>0.56588147591534799</v>
      </c>
      <c r="H3091">
        <v>0.21110982089601199</v>
      </c>
      <c r="I3091">
        <v>2.68050758374756</v>
      </c>
      <c r="J3091">
        <v>7.3510598759241397E-3</v>
      </c>
      <c r="K3091">
        <v>3.1767231028398402E-2</v>
      </c>
      <c r="L3091" t="s">
        <v>26</v>
      </c>
      <c r="M3091" t="s">
        <v>27</v>
      </c>
      <c r="N3091">
        <v>310.66206074588001</v>
      </c>
      <c r="O3091">
        <v>238.43674288453499</v>
      </c>
      <c r="P3091">
        <v>364.83104914188903</v>
      </c>
      <c r="Q3091">
        <v>340.20024560949798</v>
      </c>
      <c r="R3091">
        <v>157.77004511563101</v>
      </c>
      <c r="S3091">
        <v>217.33993792847599</v>
      </c>
      <c r="T3091">
        <v>380.385241393245</v>
      </c>
      <c r="U3091">
        <v>387.56747100528202</v>
      </c>
      <c r="V3091">
        <v>353.84939308831503</v>
      </c>
      <c r="W3091">
        <v>337.522091080716</v>
      </c>
    </row>
    <row r="3092" spans="1:23" x14ac:dyDescent="0.2">
      <c r="A3092" t="s">
        <v>6187</v>
      </c>
      <c r="B3092" s="3" t="str">
        <f>HYPERLINK("http://www.ncbi.nlm.nih.gov/gene/56195","Ptbp2")</f>
        <v>Ptbp2</v>
      </c>
      <c r="C3092">
        <v>56195</v>
      </c>
      <c r="D3092" t="s">
        <v>6188</v>
      </c>
      <c r="E3092" s="3" t="str">
        <f>HYPERLINK("http://genome.ucsc.edu/cgi-bin/hgTracks?db=mm10&amp;lastVirtModeType=default&amp;lastVirtModeExtraState=&amp;virtModeType=default&amp;virtMode=0&amp;nonVirtPosition=&amp;position=chr3:119718741-119783388","chr3:119718741-119783388")</f>
        <v>chr3:119718741-119783388</v>
      </c>
      <c r="F3092" t="s">
        <v>25</v>
      </c>
      <c r="G3092">
        <v>-0.377864906713967</v>
      </c>
      <c r="H3092">
        <v>0.14096920811118999</v>
      </c>
      <c r="I3092">
        <v>-2.6804783241452599</v>
      </c>
      <c r="J3092">
        <v>7.3517025582112202E-3</v>
      </c>
      <c r="K3092">
        <v>3.1767231028398402E-2</v>
      </c>
      <c r="L3092" t="s">
        <v>26</v>
      </c>
      <c r="M3092" t="s">
        <v>27</v>
      </c>
      <c r="N3092">
        <v>846.21233669262494</v>
      </c>
      <c r="O3092">
        <v>973.90241299806803</v>
      </c>
      <c r="P3092">
        <v>750.44477946354198</v>
      </c>
      <c r="Q3092">
        <v>921.49166363947495</v>
      </c>
      <c r="R3092">
        <v>1095.6674527381199</v>
      </c>
      <c r="S3092">
        <v>904.54812261661004</v>
      </c>
      <c r="T3092">
        <v>912.00798840067102</v>
      </c>
      <c r="U3092">
        <v>668.07210471628696</v>
      </c>
      <c r="V3092">
        <v>771.70065145455703</v>
      </c>
      <c r="W3092">
        <v>649.99837328265096</v>
      </c>
    </row>
    <row r="3093" spans="1:23" x14ac:dyDescent="0.2">
      <c r="A3093" t="s">
        <v>6189</v>
      </c>
      <c r="B3093" s="3" t="str">
        <f>HYPERLINK("http://www.ncbi.nlm.nih.gov/gene/17184","Matr3")</f>
        <v>Matr3</v>
      </c>
      <c r="C3093">
        <v>17184</v>
      </c>
      <c r="D3093" t="s">
        <v>6190</v>
      </c>
      <c r="E3093" s="3" t="str">
        <f>HYPERLINK("http://genome.ucsc.edu/cgi-bin/hgTracks?db=mm10&amp;lastVirtModeType=default&amp;lastVirtModeExtraState=&amp;virtModeType=default&amp;virtMode=0&amp;nonVirtPosition=&amp;position=chr18:35562157-35592045","chr18:35562157-35592045")</f>
        <v>chr18:35562157-35592045</v>
      </c>
      <c r="F3093" t="s">
        <v>30</v>
      </c>
      <c r="G3093">
        <v>-0.32772169390954198</v>
      </c>
      <c r="H3093">
        <v>0.122285666238599</v>
      </c>
      <c r="I3093">
        <v>-2.6799681760747198</v>
      </c>
      <c r="J3093">
        <v>7.3629159795777404E-3</v>
      </c>
      <c r="K3093">
        <v>3.1805421897588899E-2</v>
      </c>
      <c r="L3093" t="s">
        <v>26</v>
      </c>
      <c r="M3093" t="s">
        <v>27</v>
      </c>
      <c r="N3093">
        <v>2177.7740368639402</v>
      </c>
      <c r="O3093">
        <v>2467.5825447879101</v>
      </c>
      <c r="P3093">
        <v>1960.41765592097</v>
      </c>
      <c r="Q3093">
        <v>2365.8115279783301</v>
      </c>
      <c r="R3093">
        <v>2823.1735957710598</v>
      </c>
      <c r="S3093">
        <v>2213.76251061433</v>
      </c>
      <c r="T3093">
        <v>2103.5762144517998</v>
      </c>
      <c r="U3093">
        <v>1987.0862601817801</v>
      </c>
      <c r="V3093">
        <v>1936.9759916871801</v>
      </c>
      <c r="W3093">
        <v>1814.03215736314</v>
      </c>
    </row>
    <row r="3094" spans="1:23" x14ac:dyDescent="0.2">
      <c r="A3094" t="s">
        <v>6191</v>
      </c>
      <c r="B3094" s="3" t="str">
        <f>HYPERLINK("http://www.ncbi.nlm.nih.gov/gene/74252","Armc1")</f>
        <v>Armc1</v>
      </c>
      <c r="C3094">
        <v>74252</v>
      </c>
      <c r="D3094" t="s">
        <v>6192</v>
      </c>
      <c r="E3094" s="3" t="str">
        <f>HYPERLINK("http://genome.ucsc.edu/cgi-bin/hgTracks?db=mm10&amp;lastVirtModeType=default&amp;lastVirtModeExtraState=&amp;virtModeType=default&amp;virtMode=0&amp;nonVirtPosition=&amp;position=chr3:19132143-19163065","chr3:19132143-19163065")</f>
        <v>chr3:19132143-19163065</v>
      </c>
      <c r="F3094" t="s">
        <v>25</v>
      </c>
      <c r="G3094">
        <v>-0.34397562875649002</v>
      </c>
      <c r="H3094">
        <v>0.12836895830463699</v>
      </c>
      <c r="I3094">
        <v>-2.6795857292865799</v>
      </c>
      <c r="J3094">
        <v>7.3713324954825304E-3</v>
      </c>
      <c r="K3094">
        <v>3.1831510302162698E-2</v>
      </c>
      <c r="L3094" t="s">
        <v>26</v>
      </c>
      <c r="M3094" t="s">
        <v>27</v>
      </c>
      <c r="N3094">
        <v>285.106793158318</v>
      </c>
      <c r="O3094">
        <v>323.78560184368399</v>
      </c>
      <c r="P3094">
        <v>256.09768664429401</v>
      </c>
      <c r="Q3094">
        <v>319.59892140728601</v>
      </c>
      <c r="R3094">
        <v>321.608168889556</v>
      </c>
      <c r="S3094">
        <v>330.149715234209</v>
      </c>
      <c r="T3094">
        <v>297.89205651278201</v>
      </c>
      <c r="U3094">
        <v>214.12567458855401</v>
      </c>
      <c r="V3094">
        <v>271.456187213281</v>
      </c>
      <c r="W3094">
        <v>240.91682826255999</v>
      </c>
    </row>
    <row r="3095" spans="1:23" x14ac:dyDescent="0.2">
      <c r="A3095" t="s">
        <v>6193</v>
      </c>
      <c r="B3095" s="3" t="str">
        <f>HYPERLINK("http://www.ncbi.nlm.nih.gov/gene/78339","Ttyh3")</f>
        <v>Ttyh3</v>
      </c>
      <c r="C3095">
        <v>78339</v>
      </c>
      <c r="D3095" t="s">
        <v>6194</v>
      </c>
      <c r="E3095" s="3" t="str">
        <f>HYPERLINK("http://genome.ucsc.edu/cgi-bin/hgTracks?db=mm10&amp;lastVirtModeType=default&amp;lastVirtModeExtraState=&amp;virtModeType=default&amp;virtMode=0&amp;nonVirtPosition=&amp;position=chr5:140620576-140649031","chr5:140620576-140649031")</f>
        <v>chr5:140620576-140649031</v>
      </c>
      <c r="F3095" t="s">
        <v>25</v>
      </c>
      <c r="G3095">
        <v>0.56886838725862399</v>
      </c>
      <c r="H3095">
        <v>0.21233499393882699</v>
      </c>
      <c r="I3095">
        <v>2.67910802975091</v>
      </c>
      <c r="J3095">
        <v>7.3818573631264702E-3</v>
      </c>
      <c r="K3095">
        <v>3.18666834138061E-2</v>
      </c>
      <c r="L3095" t="s">
        <v>26</v>
      </c>
      <c r="M3095" t="s">
        <v>27</v>
      </c>
      <c r="N3095">
        <v>895.96210699450705</v>
      </c>
      <c r="O3095">
        <v>687.59961338097503</v>
      </c>
      <c r="P3095">
        <v>1052.2339772046601</v>
      </c>
      <c r="Q3095">
        <v>546.21348763161598</v>
      </c>
      <c r="R3095">
        <v>515.78668595494901</v>
      </c>
      <c r="S3095">
        <v>1000.79866655636</v>
      </c>
      <c r="T3095">
        <v>916.59094311625302</v>
      </c>
      <c r="U3095">
        <v>1280.4715340395501</v>
      </c>
      <c r="V3095">
        <v>1044.62814591561</v>
      </c>
      <c r="W3095">
        <v>967.24528574721</v>
      </c>
    </row>
    <row r="3096" spans="1:23" x14ac:dyDescent="0.2">
      <c r="A3096" t="s">
        <v>6195</v>
      </c>
      <c r="B3096" s="3" t="str">
        <f>HYPERLINK("http://www.ncbi.nlm.nih.gov/gene/380629","Heca")</f>
        <v>Heca</v>
      </c>
      <c r="C3096">
        <v>380629</v>
      </c>
      <c r="D3096" t="s">
        <v>6196</v>
      </c>
      <c r="E3096" s="3" t="str">
        <f>HYPERLINK("http://genome.ucsc.edu/cgi-bin/hgTracks?db=mm10&amp;lastVirtModeType=default&amp;lastVirtModeExtraState=&amp;virtModeType=default&amp;virtMode=0&amp;nonVirtPosition=&amp;position=chr10:17900465-17948067","chr10:17900465-17948067")</f>
        <v>chr10:17900465-17948067</v>
      </c>
      <c r="F3096" t="s">
        <v>25</v>
      </c>
      <c r="G3096">
        <v>-0.54238974597160705</v>
      </c>
      <c r="H3096">
        <v>0.20256858444079701</v>
      </c>
      <c r="I3096">
        <v>-2.6775610219566199</v>
      </c>
      <c r="J3096">
        <v>7.4160342377808204E-3</v>
      </c>
      <c r="K3096">
        <v>3.2003904117989999E-2</v>
      </c>
      <c r="L3096" t="s">
        <v>26</v>
      </c>
      <c r="M3096" t="s">
        <v>27</v>
      </c>
      <c r="N3096">
        <v>281.01197939543903</v>
      </c>
      <c r="O3096">
        <v>346.23542030890798</v>
      </c>
      <c r="P3096">
        <v>232.094398710338</v>
      </c>
      <c r="Q3096">
        <v>488.86385539302699</v>
      </c>
      <c r="R3096">
        <v>276.09757895235498</v>
      </c>
      <c r="S3096">
        <v>273.74482658134201</v>
      </c>
      <c r="T3096">
        <v>242.89659992580701</v>
      </c>
      <c r="U3096">
        <v>235.538242047409</v>
      </c>
      <c r="V3096">
        <v>212.603897302543</v>
      </c>
      <c r="W3096">
        <v>237.33885556559201</v>
      </c>
    </row>
    <row r="3097" spans="1:23" x14ac:dyDescent="0.2">
      <c r="A3097" t="s">
        <v>6197</v>
      </c>
      <c r="B3097" s="3" t="str">
        <f>HYPERLINK("http://www.ncbi.nlm.nih.gov/gene/84092","Usp8")</f>
        <v>Usp8</v>
      </c>
      <c r="C3097">
        <v>84092</v>
      </c>
      <c r="D3097" t="s">
        <v>6198</v>
      </c>
      <c r="E3097" s="3" t="str">
        <f>HYPERLINK("http://genome.ucsc.edu/cgi-bin/hgTracks?db=mm10&amp;lastVirtModeType=default&amp;lastVirtModeExtraState=&amp;virtModeType=default&amp;virtMode=0&amp;nonVirtPosition=&amp;position=chr2:126707327-126759314","chr2:126707327-126759314")</f>
        <v>chr2:126707327-126759314</v>
      </c>
      <c r="F3097" t="s">
        <v>30</v>
      </c>
      <c r="G3097">
        <v>-0.37707487410116702</v>
      </c>
      <c r="H3097">
        <v>0.140876222039199</v>
      </c>
      <c r="I3097">
        <v>-2.6766395963986498</v>
      </c>
      <c r="J3097">
        <v>7.4364579751949496E-3</v>
      </c>
      <c r="K3097">
        <v>3.2072930504044701E-2</v>
      </c>
      <c r="L3097" t="s">
        <v>26</v>
      </c>
      <c r="M3097" t="s">
        <v>27</v>
      </c>
      <c r="N3097">
        <v>427.95327254500597</v>
      </c>
      <c r="O3097">
        <v>494.19266533064501</v>
      </c>
      <c r="P3097">
        <v>378.27372795577702</v>
      </c>
      <c r="Q3097">
        <v>548.99745036164495</v>
      </c>
      <c r="R3097">
        <v>485.44629266348102</v>
      </c>
      <c r="S3097">
        <v>448.13425296680998</v>
      </c>
      <c r="T3097">
        <v>421.63183383347598</v>
      </c>
      <c r="U3097">
        <v>297.63468767808899</v>
      </c>
      <c r="V3097">
        <v>384.74684529145202</v>
      </c>
      <c r="W3097">
        <v>409.08154502009</v>
      </c>
    </row>
    <row r="3098" spans="1:23" x14ac:dyDescent="0.2">
      <c r="A3098" t="s">
        <v>6199</v>
      </c>
      <c r="B3098" s="3" t="str">
        <f>HYPERLINK("http://www.ncbi.nlm.nih.gov/gene/20408","Sh3gl3")</f>
        <v>Sh3gl3</v>
      </c>
      <c r="C3098">
        <v>20408</v>
      </c>
      <c r="D3098" t="s">
        <v>6200</v>
      </c>
      <c r="E3098" s="3" t="str">
        <f>HYPERLINK("http://genome.ucsc.edu/cgi-bin/hgTracks?db=mm10&amp;lastVirtModeType=default&amp;lastVirtModeExtraState=&amp;virtModeType=default&amp;virtMode=0&amp;nonVirtPosition=&amp;position=chr7:82259907-82307420","chr7:82259907-82307420")</f>
        <v>chr7:82259907-82307420</v>
      </c>
      <c r="F3098" t="s">
        <v>30</v>
      </c>
      <c r="G3098">
        <v>-0.40234361097888</v>
      </c>
      <c r="H3098">
        <v>0.15031760712900699</v>
      </c>
      <c r="I3098">
        <v>-2.6766233088953899</v>
      </c>
      <c r="J3098">
        <v>7.4368194470210399E-3</v>
      </c>
      <c r="K3098">
        <v>3.2072930504044701E-2</v>
      </c>
      <c r="L3098" t="s">
        <v>26</v>
      </c>
      <c r="M3098" t="s">
        <v>27</v>
      </c>
      <c r="N3098">
        <v>231.46929557297199</v>
      </c>
      <c r="O3098">
        <v>271.21856060466598</v>
      </c>
      <c r="P3098">
        <v>201.657346799202</v>
      </c>
      <c r="Q3098">
        <v>238.30720969045001</v>
      </c>
      <c r="R3098">
        <v>314.023070566689</v>
      </c>
      <c r="S3098">
        <v>261.32540155685803</v>
      </c>
      <c r="T3098">
        <v>197.06705276999401</v>
      </c>
      <c r="U3098">
        <v>192.71310712969799</v>
      </c>
      <c r="V3098">
        <v>223.63870166080599</v>
      </c>
      <c r="W3098">
        <v>193.21052563631099</v>
      </c>
    </row>
    <row r="3099" spans="1:23" x14ac:dyDescent="0.2">
      <c r="A3099" t="s">
        <v>6201</v>
      </c>
      <c r="B3099" s="3" t="str">
        <f>HYPERLINK("http://www.ncbi.nlm.nih.gov/gene/74653","Pomk")</f>
        <v>Pomk</v>
      </c>
      <c r="C3099">
        <v>74653</v>
      </c>
      <c r="D3099" t="s">
        <v>6202</v>
      </c>
      <c r="E3099" s="3" t="str">
        <f>HYPERLINK("http://genome.ucsc.edu/cgi-bin/hgTracks?db=mm10&amp;lastVirtModeType=default&amp;lastVirtModeExtraState=&amp;virtModeType=default&amp;virtMode=0&amp;nonVirtPosition=&amp;position=chr8:25980603-25994121","chr8:25980603-25994121")</f>
        <v>chr8:25980603-25994121</v>
      </c>
      <c r="F3099" t="s">
        <v>25</v>
      </c>
      <c r="G3099">
        <v>-0.42921516627524797</v>
      </c>
      <c r="H3099">
        <v>0.16040462617460899</v>
      </c>
      <c r="I3099">
        <v>-2.6758278517979002</v>
      </c>
      <c r="J3099">
        <v>7.4544923762404798E-3</v>
      </c>
      <c r="K3099">
        <v>3.2138798264725099E-2</v>
      </c>
      <c r="L3099" t="s">
        <v>26</v>
      </c>
      <c r="M3099" t="s">
        <v>27</v>
      </c>
      <c r="N3099">
        <v>159.21893486633101</v>
      </c>
      <c r="O3099">
        <v>188.96530814662501</v>
      </c>
      <c r="P3099">
        <v>136.90915490610999</v>
      </c>
      <c r="Q3099">
        <v>217.14909294223301</v>
      </c>
      <c r="R3099">
        <v>169.14769259993199</v>
      </c>
      <c r="S3099">
        <v>180.59913889770999</v>
      </c>
      <c r="T3099">
        <v>119.15682260511301</v>
      </c>
      <c r="U3099">
        <v>152.02922895787299</v>
      </c>
      <c r="V3099">
        <v>130.946345051393</v>
      </c>
      <c r="W3099">
        <v>145.504223010061</v>
      </c>
    </row>
    <row r="3100" spans="1:23" x14ac:dyDescent="0.2">
      <c r="A3100" t="s">
        <v>6203</v>
      </c>
      <c r="B3100" s="3" t="str">
        <f>HYPERLINK("http://www.ncbi.nlm.nih.gov/gene/15516","Hsp90ab1")</f>
        <v>Hsp90ab1</v>
      </c>
      <c r="C3100">
        <v>15516</v>
      </c>
      <c r="D3100" t="s">
        <v>6204</v>
      </c>
      <c r="E3100" s="3" t="str">
        <f>HYPERLINK("http://genome.ucsc.edu/cgi-bin/hgTracks?db=mm10&amp;lastVirtModeType=default&amp;lastVirtModeExtraState=&amp;virtModeType=default&amp;virtMode=0&amp;nonVirtPosition=&amp;position=chr17:45567777-45573261","chr17:45567777-45573261")</f>
        <v>chr17:45567777-45573261</v>
      </c>
      <c r="F3100" t="s">
        <v>25</v>
      </c>
      <c r="G3100">
        <v>-0.37209019299046597</v>
      </c>
      <c r="H3100">
        <v>0.13910929829694199</v>
      </c>
      <c r="I3100">
        <v>-2.6748046143989801</v>
      </c>
      <c r="J3100">
        <v>7.4772813598224198E-3</v>
      </c>
      <c r="K3100">
        <v>3.22266735401937E-2</v>
      </c>
      <c r="L3100" t="s">
        <v>26</v>
      </c>
      <c r="M3100" t="s">
        <v>27</v>
      </c>
      <c r="N3100">
        <v>4603.8845709083298</v>
      </c>
      <c r="O3100">
        <v>5318.8817198473998</v>
      </c>
      <c r="P3100">
        <v>4067.63670920403</v>
      </c>
      <c r="Q3100">
        <v>4737.7477739627102</v>
      </c>
      <c r="R3100">
        <v>5780.2241769407201</v>
      </c>
      <c r="S3100">
        <v>5438.6732086387701</v>
      </c>
      <c r="T3100">
        <v>3400.5523989612998</v>
      </c>
      <c r="U3100">
        <v>4064.1053036907501</v>
      </c>
      <c r="V3100">
        <v>4357.2764142663</v>
      </c>
      <c r="W3100">
        <v>4448.6127198977701</v>
      </c>
    </row>
    <row r="3101" spans="1:23" x14ac:dyDescent="0.2">
      <c r="A3101" t="s">
        <v>6205</v>
      </c>
      <c r="B3101" s="3" t="str">
        <f>HYPERLINK("http://www.ncbi.nlm.nih.gov/gene/75210","Prr3")</f>
        <v>Prr3</v>
      </c>
      <c r="C3101">
        <v>75210</v>
      </c>
      <c r="D3101" t="s">
        <v>6206</v>
      </c>
      <c r="E3101" s="3" t="str">
        <f>HYPERLINK("http://genome.ucsc.edu/cgi-bin/hgTracks?db=mm10&amp;lastVirtModeType=default&amp;lastVirtModeExtraState=&amp;virtModeType=default&amp;virtMode=0&amp;nonVirtPosition=&amp;position=chr17:35972538-35979467","chr17:35972538-35979467")</f>
        <v>chr17:35972538-35979467</v>
      </c>
      <c r="F3101" t="s">
        <v>25</v>
      </c>
      <c r="G3101">
        <v>0.51334642041062895</v>
      </c>
      <c r="H3101">
        <v>0.19199448061435401</v>
      </c>
      <c r="I3101">
        <v>2.6737561349055299</v>
      </c>
      <c r="J3101">
        <v>7.5006973109014597E-3</v>
      </c>
      <c r="K3101">
        <v>3.2317193594041699E-2</v>
      </c>
      <c r="L3101" t="s">
        <v>26</v>
      </c>
      <c r="M3101" t="s">
        <v>27</v>
      </c>
      <c r="N3101">
        <v>110.176960705036</v>
      </c>
      <c r="O3101">
        <v>86.648767512576697</v>
      </c>
      <c r="P3101">
        <v>127.82310559938099</v>
      </c>
      <c r="Q3101">
        <v>80.734919170830096</v>
      </c>
      <c r="R3101">
        <v>70.541414402662099</v>
      </c>
      <c r="S3101">
        <v>108.669968964238</v>
      </c>
      <c r="T3101">
        <v>142.07159618301901</v>
      </c>
      <c r="U3101">
        <v>122.051634515476</v>
      </c>
      <c r="V3101">
        <v>124.325462436435</v>
      </c>
      <c r="W3101">
        <v>122.843729262593</v>
      </c>
    </row>
    <row r="3102" spans="1:23" x14ac:dyDescent="0.2">
      <c r="A3102" t="s">
        <v>6207</v>
      </c>
      <c r="B3102" s="3" t="str">
        <f>HYPERLINK("http://www.ncbi.nlm.nih.gov/gene/66733","Kcng4")</f>
        <v>Kcng4</v>
      </c>
      <c r="C3102">
        <v>66733</v>
      </c>
      <c r="D3102" t="s">
        <v>6208</v>
      </c>
      <c r="E3102" s="3" t="str">
        <f>HYPERLINK("http://genome.ucsc.edu/cgi-bin/hgTracks?db=mm10&amp;lastVirtModeType=default&amp;lastVirtModeExtraState=&amp;virtModeType=default&amp;virtMode=0&amp;nonVirtPosition=&amp;position=chr8:119623853-119635680","chr8:119623853-119635680")</f>
        <v>chr8:119623853-119635680</v>
      </c>
      <c r="F3102" t="s">
        <v>25</v>
      </c>
      <c r="G3102">
        <v>-0.99841319773623605</v>
      </c>
      <c r="H3102">
        <v>0.37359857124273799</v>
      </c>
      <c r="I3102">
        <v>-2.6724224196444699</v>
      </c>
      <c r="J3102">
        <v>7.5305785167820204E-3</v>
      </c>
      <c r="K3102">
        <v>3.24355023860496E-2</v>
      </c>
      <c r="L3102" t="s">
        <v>26</v>
      </c>
      <c r="M3102" t="s">
        <v>27</v>
      </c>
      <c r="N3102">
        <v>20.4708449901092</v>
      </c>
      <c r="O3102">
        <v>42.242174417544497</v>
      </c>
      <c r="P3102">
        <v>4.1423479195325799</v>
      </c>
      <c r="Q3102">
        <v>16.7037763801717</v>
      </c>
      <c r="R3102">
        <v>102.778082274846</v>
      </c>
      <c r="S3102">
        <v>7.2446645976158699</v>
      </c>
      <c r="T3102">
        <v>9.1659094311625307</v>
      </c>
      <c r="U3102">
        <v>4.2825134917710699</v>
      </c>
      <c r="V3102">
        <v>0.73565362388422995</v>
      </c>
      <c r="W3102">
        <v>2.3853151313124799</v>
      </c>
    </row>
    <row r="3103" spans="1:23" x14ac:dyDescent="0.2">
      <c r="A3103" t="s">
        <v>6209</v>
      </c>
      <c r="B3103" s="3" t="str">
        <f>HYPERLINK("http://www.ncbi.nlm.nih.gov/gene/21788","Tfpi")</f>
        <v>Tfpi</v>
      </c>
      <c r="C3103">
        <v>21788</v>
      </c>
      <c r="D3103" t="s">
        <v>6210</v>
      </c>
      <c r="E3103" s="3" t="str">
        <f>HYPERLINK("http://genome.ucsc.edu/cgi-bin/hgTracks?db=mm10&amp;lastVirtModeType=default&amp;lastVirtModeExtraState=&amp;virtModeType=default&amp;virtMode=0&amp;nonVirtPosition=&amp;position=chr2:84432859-84474174","chr2:84432859-84474174")</f>
        <v>chr2:84432859-84474174</v>
      </c>
      <c r="F3103" t="s">
        <v>25</v>
      </c>
      <c r="G3103">
        <v>-0.64849861427990796</v>
      </c>
      <c r="H3103">
        <v>0.24268350686242801</v>
      </c>
      <c r="I3103">
        <v>-2.6721989584876402</v>
      </c>
      <c r="J3103">
        <v>7.5355954761906199E-3</v>
      </c>
      <c r="K3103">
        <v>3.2446674926581501E-2</v>
      </c>
      <c r="L3103" t="s">
        <v>26</v>
      </c>
      <c r="M3103" t="s">
        <v>27</v>
      </c>
      <c r="N3103">
        <v>62.831984542993403</v>
      </c>
      <c r="O3103">
        <v>79.582280056620206</v>
      </c>
      <c r="P3103">
        <v>50.269262907773303</v>
      </c>
      <c r="Q3103">
        <v>97.995488097007595</v>
      </c>
      <c r="R3103">
        <v>61.060041499078501</v>
      </c>
      <c r="S3103">
        <v>79.691310573774501</v>
      </c>
      <c r="T3103">
        <v>64.161366018137699</v>
      </c>
      <c r="U3103">
        <v>51.390161901252803</v>
      </c>
      <c r="V3103">
        <v>48.553139176359203</v>
      </c>
      <c r="W3103">
        <v>36.972384535343402</v>
      </c>
    </row>
    <row r="3104" spans="1:23" x14ac:dyDescent="0.2">
      <c r="A3104" t="s">
        <v>6211</v>
      </c>
      <c r="B3104" s="3" t="str">
        <f>HYPERLINK("http://www.ncbi.nlm.nih.gov/gene/286940","Flnb")</f>
        <v>Flnb</v>
      </c>
      <c r="C3104">
        <v>286940</v>
      </c>
      <c r="D3104" t="s">
        <v>6212</v>
      </c>
      <c r="E3104" s="3" t="str">
        <f>HYPERLINK("http://genome.ucsc.edu/cgi-bin/hgTracks?db=mm10&amp;lastVirtModeType=default&amp;lastVirtModeExtraState=&amp;virtModeType=default&amp;virtMode=0&amp;nonVirtPosition=&amp;position=chr14:7817956-7951587","chr14:7817956-7951587")</f>
        <v>chr14:7817956-7951587</v>
      </c>
      <c r="F3104" t="s">
        <v>30</v>
      </c>
      <c r="G3104">
        <v>0.52830003617326105</v>
      </c>
      <c r="H3104">
        <v>0.19771636414542201</v>
      </c>
      <c r="I3104">
        <v>2.6720096662544899</v>
      </c>
      <c r="J3104">
        <v>7.5398476483830301E-3</v>
      </c>
      <c r="K3104">
        <v>3.2446945494481301E-2</v>
      </c>
      <c r="L3104" t="s">
        <v>26</v>
      </c>
      <c r="M3104" t="s">
        <v>27</v>
      </c>
      <c r="N3104">
        <v>915.15507577763594</v>
      </c>
      <c r="O3104">
        <v>720.76019687108897</v>
      </c>
      <c r="P3104">
        <v>1060.95123495755</v>
      </c>
      <c r="Q3104">
        <v>945.43374311772095</v>
      </c>
      <c r="R3104">
        <v>543.09303991726904</v>
      </c>
      <c r="S3104">
        <v>673.753807578276</v>
      </c>
      <c r="T3104">
        <v>921.17389783183398</v>
      </c>
      <c r="U3104">
        <v>854.36144160832896</v>
      </c>
      <c r="V3104">
        <v>1310.1991041378101</v>
      </c>
      <c r="W3104">
        <v>1158.07049625221</v>
      </c>
    </row>
    <row r="3105" spans="1:23" x14ac:dyDescent="0.2">
      <c r="A3105" t="s">
        <v>6213</v>
      </c>
      <c r="B3105" s="3" t="str">
        <f>HYPERLINK("http://www.ncbi.nlm.nih.gov/gene/228790","Asxl1")</f>
        <v>Asxl1</v>
      </c>
      <c r="C3105">
        <v>228790</v>
      </c>
      <c r="D3105" t="s">
        <v>6214</v>
      </c>
      <c r="E3105" s="3" t="str">
        <f>HYPERLINK("http://genome.ucsc.edu/cgi-bin/hgTracks?db=mm10&amp;lastVirtModeType=default&amp;lastVirtModeExtraState=&amp;virtModeType=default&amp;virtMode=0&amp;nonVirtPosition=&amp;position=chr2:153346138-153404007","chr2:153346138-153404007")</f>
        <v>chr2:153346138-153404007</v>
      </c>
      <c r="F3105" t="s">
        <v>30</v>
      </c>
      <c r="G3105">
        <v>0.42610969501745299</v>
      </c>
      <c r="H3105">
        <v>0.15947335873607801</v>
      </c>
      <c r="I3105">
        <v>2.6719804385800101</v>
      </c>
      <c r="J3105">
        <v>7.5405043968953698E-3</v>
      </c>
      <c r="K3105">
        <v>3.2446945494481301E-2</v>
      </c>
      <c r="L3105" t="s">
        <v>26</v>
      </c>
      <c r="M3105" t="s">
        <v>27</v>
      </c>
      <c r="N3105">
        <v>419.07363065546502</v>
      </c>
      <c r="O3105">
        <v>350.67971728050401</v>
      </c>
      <c r="P3105">
        <v>470.36906568668502</v>
      </c>
      <c r="Q3105">
        <v>298.99759720507399</v>
      </c>
      <c r="R3105">
        <v>327.67624754784998</v>
      </c>
      <c r="S3105">
        <v>425.36530708858902</v>
      </c>
      <c r="T3105">
        <v>366.63637724650101</v>
      </c>
      <c r="U3105">
        <v>494.63030829955898</v>
      </c>
      <c r="V3105">
        <v>525.25668745333996</v>
      </c>
      <c r="W3105">
        <v>494.95288974733899</v>
      </c>
    </row>
    <row r="3106" spans="1:23" x14ac:dyDescent="0.2">
      <c r="A3106" t="s">
        <v>6215</v>
      </c>
      <c r="B3106" s="3" t="str">
        <f>HYPERLINK("http://www.ncbi.nlm.nih.gov/gene/78294","Rps27a")</f>
        <v>Rps27a</v>
      </c>
      <c r="C3106">
        <v>78294</v>
      </c>
      <c r="D3106" t="s">
        <v>6216</v>
      </c>
      <c r="E3106" s="3" t="str">
        <f>HYPERLINK("http://genome.ucsc.edu/cgi-bin/hgTracks?db=mm10&amp;lastVirtModeType=default&amp;lastVirtModeExtraState=&amp;virtModeType=default&amp;virtMode=0&amp;nonVirtPosition=&amp;position=chr11:29545841-29548040","chr11:29545841-29548040")</f>
        <v>chr11:29545841-29548040</v>
      </c>
      <c r="F3106" t="s">
        <v>25</v>
      </c>
      <c r="G3106">
        <v>0.87644224806328497</v>
      </c>
      <c r="H3106">
        <v>0.32805471690889998</v>
      </c>
      <c r="I3106">
        <v>2.6716343429583098</v>
      </c>
      <c r="J3106">
        <v>7.5482850976969296E-3</v>
      </c>
      <c r="K3106">
        <v>3.2469992207921503E-2</v>
      </c>
      <c r="L3106" t="s">
        <v>26</v>
      </c>
      <c r="M3106" t="s">
        <v>27</v>
      </c>
      <c r="N3106">
        <v>22.878898973205199</v>
      </c>
      <c r="O3106">
        <v>13.309320076118301</v>
      </c>
      <c r="P3106">
        <v>30.056083146020299</v>
      </c>
      <c r="Q3106">
        <v>6.6815105520687004</v>
      </c>
      <c r="R3106">
        <v>16.6872163103072</v>
      </c>
      <c r="S3106">
        <v>16.5592333659791</v>
      </c>
      <c r="T3106">
        <v>32.0806830090688</v>
      </c>
      <c r="U3106">
        <v>38.5426214259396</v>
      </c>
      <c r="V3106">
        <v>25.747876835948102</v>
      </c>
      <c r="W3106">
        <v>23.853151313124801</v>
      </c>
    </row>
    <row r="3107" spans="1:23" x14ac:dyDescent="0.2">
      <c r="A3107" t="s">
        <v>6217</v>
      </c>
      <c r="B3107" s="3" t="str">
        <f>HYPERLINK("http://www.ncbi.nlm.nih.gov/gene/218490","Btf3")</f>
        <v>Btf3</v>
      </c>
      <c r="C3107">
        <v>218490</v>
      </c>
      <c r="D3107" t="s">
        <v>6218</v>
      </c>
      <c r="E3107" s="3" t="str">
        <f>HYPERLINK("http://genome.ucsc.edu/cgi-bin/hgTracks?db=mm10&amp;lastVirtModeType=default&amp;lastVirtModeExtraState=&amp;virtModeType=default&amp;virtMode=0&amp;nonVirtPosition=&amp;position=chr13:98309896-98316967","chr13:98309896-98316967")</f>
        <v>chr13:98309896-98316967</v>
      </c>
      <c r="F3107" t="s">
        <v>25</v>
      </c>
      <c r="G3107">
        <v>-0.48504656334902202</v>
      </c>
      <c r="H3107">
        <v>0.181570569206218</v>
      </c>
      <c r="I3107">
        <v>-2.67139418832868</v>
      </c>
      <c r="J3107">
        <v>7.5536883304496297E-3</v>
      </c>
      <c r="K3107">
        <v>3.2482800395970103E-2</v>
      </c>
      <c r="L3107" t="s">
        <v>26</v>
      </c>
      <c r="M3107" t="s">
        <v>27</v>
      </c>
      <c r="N3107">
        <v>145.66375177850901</v>
      </c>
      <c r="O3107">
        <v>175.697558788847</v>
      </c>
      <c r="P3107">
        <v>123.138396520756</v>
      </c>
      <c r="Q3107">
        <v>149.22040232953401</v>
      </c>
      <c r="R3107">
        <v>211.24498829184299</v>
      </c>
      <c r="S3107">
        <v>166.62728574516501</v>
      </c>
      <c r="T3107">
        <v>132.90568675185699</v>
      </c>
      <c r="U3107">
        <v>104.92158054839101</v>
      </c>
      <c r="V3107">
        <v>139.03853491411999</v>
      </c>
      <c r="W3107">
        <v>115.687783868655</v>
      </c>
    </row>
    <row r="3108" spans="1:23" x14ac:dyDescent="0.2">
      <c r="A3108" t="s">
        <v>6219</v>
      </c>
      <c r="B3108" s="3" t="str">
        <f>HYPERLINK("http://www.ncbi.nlm.nih.gov/gene/71228","Dlg5")</f>
        <v>Dlg5</v>
      </c>
      <c r="C3108">
        <v>71228</v>
      </c>
      <c r="D3108" t="s">
        <v>6220</v>
      </c>
      <c r="E3108" s="3" t="str">
        <f>HYPERLINK("http://genome.ucsc.edu/cgi-bin/hgTracks?db=mm10&amp;lastVirtModeType=default&amp;lastVirtModeExtraState=&amp;virtModeType=default&amp;virtMode=0&amp;nonVirtPosition=&amp;position=chr14:24133952-24245920","chr14:24133952-24245920")</f>
        <v>chr14:24133952-24245920</v>
      </c>
      <c r="F3108" t="s">
        <v>25</v>
      </c>
      <c r="G3108">
        <v>0.59078165856963305</v>
      </c>
      <c r="H3108">
        <v>0.22116835612772601</v>
      </c>
      <c r="I3108">
        <v>2.67118528578498</v>
      </c>
      <c r="J3108">
        <v>7.5583912433086903E-3</v>
      </c>
      <c r="K3108">
        <v>3.2489371811470102E-2</v>
      </c>
      <c r="L3108" t="s">
        <v>26</v>
      </c>
      <c r="M3108" t="s">
        <v>27</v>
      </c>
      <c r="N3108">
        <v>280.39732566925602</v>
      </c>
      <c r="O3108">
        <v>213.75753688058001</v>
      </c>
      <c r="P3108">
        <v>330.377167260764</v>
      </c>
      <c r="Q3108">
        <v>172.60568926177501</v>
      </c>
      <c r="R3108">
        <v>162.32110410935101</v>
      </c>
      <c r="S3108">
        <v>306.34581727061402</v>
      </c>
      <c r="T3108">
        <v>279.560237650457</v>
      </c>
      <c r="U3108">
        <v>271.939606727463</v>
      </c>
      <c r="V3108">
        <v>359.734622079389</v>
      </c>
      <c r="W3108">
        <v>410.27420258574602</v>
      </c>
    </row>
    <row r="3109" spans="1:23" x14ac:dyDescent="0.2">
      <c r="A3109" t="s">
        <v>6221</v>
      </c>
      <c r="B3109" s="3" t="str">
        <f>HYPERLINK("http://www.ncbi.nlm.nih.gov/gene/28040","D6Wsu163e")</f>
        <v>D6Wsu163e</v>
      </c>
      <c r="C3109">
        <v>28040</v>
      </c>
      <c r="D3109" t="s">
        <v>6222</v>
      </c>
      <c r="E3109" s="3" t="str">
        <f>HYPERLINK("http://genome.ucsc.edu/cgi-bin/hgTracks?db=mm10&amp;lastVirtModeType=default&amp;lastVirtModeExtraState=&amp;virtModeType=default&amp;virtMode=0&amp;nonVirtPosition=&amp;position=chr6:126939965-126975704","chr6:126939965-126975704")</f>
        <v>chr6:126939965-126975704</v>
      </c>
      <c r="F3109" t="s">
        <v>30</v>
      </c>
      <c r="G3109">
        <v>-0.426053147353533</v>
      </c>
      <c r="H3109">
        <v>0.159504109101643</v>
      </c>
      <c r="I3109">
        <v>-2.67111079302687</v>
      </c>
      <c r="J3109">
        <v>7.5600688943723996E-3</v>
      </c>
      <c r="K3109">
        <v>3.2489371811470102E-2</v>
      </c>
      <c r="L3109" t="s">
        <v>26</v>
      </c>
      <c r="M3109" t="s">
        <v>27</v>
      </c>
      <c r="N3109">
        <v>132.54696679612701</v>
      </c>
      <c r="O3109">
        <v>157.494216583959</v>
      </c>
      <c r="P3109">
        <v>113.836529455254</v>
      </c>
      <c r="Q3109">
        <v>153.67474269758</v>
      </c>
      <c r="R3109">
        <v>158.90780986406099</v>
      </c>
      <c r="S3109">
        <v>159.90009719023601</v>
      </c>
      <c r="T3109">
        <v>100.825003742788</v>
      </c>
      <c r="U3109">
        <v>126.33414800724699</v>
      </c>
      <c r="V3109">
        <v>128.00373055585601</v>
      </c>
      <c r="W3109">
        <v>100.183235515124</v>
      </c>
    </row>
    <row r="3110" spans="1:23" x14ac:dyDescent="0.2">
      <c r="A3110" t="s">
        <v>6223</v>
      </c>
      <c r="B3110" s="3" t="str">
        <f>HYPERLINK("http://www.ncbi.nlm.nih.gov/gene/214230","Pak6")</f>
        <v>Pak6</v>
      </c>
      <c r="C3110">
        <v>214230</v>
      </c>
      <c r="D3110" t="s">
        <v>6224</v>
      </c>
      <c r="E3110" s="3" t="str">
        <f>HYPERLINK("http://genome.ucsc.edu/cgi-bin/hgTracks?db=mm10&amp;lastVirtModeType=default&amp;lastVirtModeExtraState=&amp;virtModeType=default&amp;virtMode=0&amp;nonVirtPosition=&amp;position=chr2:118663576-118698020","chr2:118663576-118698020")</f>
        <v>chr2:118663576-118698020</v>
      </c>
      <c r="F3110" t="s">
        <v>30</v>
      </c>
      <c r="G3110">
        <v>0.78172009994847702</v>
      </c>
      <c r="H3110">
        <v>0.29270888971574899</v>
      </c>
      <c r="I3110">
        <v>2.6706401049438901</v>
      </c>
      <c r="J3110">
        <v>7.5706769799683202E-3</v>
      </c>
      <c r="K3110">
        <v>3.2516130560406503E-2</v>
      </c>
      <c r="L3110" t="s">
        <v>26</v>
      </c>
      <c r="M3110" t="s">
        <v>27</v>
      </c>
      <c r="N3110">
        <v>33.075892231705097</v>
      </c>
      <c r="O3110">
        <v>21.894680234336001</v>
      </c>
      <c r="P3110">
        <v>41.461801229732103</v>
      </c>
      <c r="Q3110">
        <v>17.260568926177498</v>
      </c>
      <c r="R3110">
        <v>20.479765471740599</v>
      </c>
      <c r="S3110">
        <v>27.943706305089801</v>
      </c>
      <c r="T3110">
        <v>27.497728293487601</v>
      </c>
      <c r="U3110">
        <v>64.237702376566105</v>
      </c>
      <c r="V3110">
        <v>32.368759450906097</v>
      </c>
      <c r="W3110">
        <v>41.743014797968399</v>
      </c>
    </row>
    <row r="3111" spans="1:23" x14ac:dyDescent="0.2">
      <c r="A3111" t="s">
        <v>6225</v>
      </c>
      <c r="B3111" s="3" t="str">
        <f>HYPERLINK("http://www.ncbi.nlm.nih.gov/gene/18647","Cdk14")</f>
        <v>Cdk14</v>
      </c>
      <c r="C3111">
        <v>18647</v>
      </c>
      <c r="D3111" t="s">
        <v>6226</v>
      </c>
      <c r="E3111" s="3" t="str">
        <f>HYPERLINK("http://genome.ucsc.edu/cgi-bin/hgTracks?db=mm10&amp;lastVirtModeType=default&amp;lastVirtModeExtraState=&amp;virtModeType=default&amp;virtMode=0&amp;nonVirtPosition=&amp;position=chr5:4803383-5380251","chr5:4803383-5380251")</f>
        <v>chr5:4803383-5380251</v>
      </c>
      <c r="F3111" t="s">
        <v>25</v>
      </c>
      <c r="G3111">
        <v>-0.395176686172581</v>
      </c>
      <c r="H3111">
        <v>0.147971941833239</v>
      </c>
      <c r="I3111">
        <v>-2.6706190462644299</v>
      </c>
      <c r="J3111">
        <v>7.5711518995853497E-3</v>
      </c>
      <c r="K3111">
        <v>3.2516130560406503E-2</v>
      </c>
      <c r="L3111" t="s">
        <v>26</v>
      </c>
      <c r="M3111" t="s">
        <v>27</v>
      </c>
      <c r="N3111">
        <v>485.12024071202802</v>
      </c>
      <c r="O3111">
        <v>568.29765224811797</v>
      </c>
      <c r="P3111">
        <v>422.73718205996101</v>
      </c>
      <c r="Q3111">
        <v>690.42275704709903</v>
      </c>
      <c r="R3111">
        <v>500.61648930921501</v>
      </c>
      <c r="S3111">
        <v>513.85371038803999</v>
      </c>
      <c r="T3111">
        <v>366.63637724650101</v>
      </c>
      <c r="U3111">
        <v>426.11009243122197</v>
      </c>
      <c r="V3111">
        <v>450.95567144103302</v>
      </c>
      <c r="W3111">
        <v>447.24658712108999</v>
      </c>
    </row>
    <row r="3112" spans="1:23" x14ac:dyDescent="0.2">
      <c r="A3112" t="s">
        <v>6227</v>
      </c>
      <c r="B3112" s="3" t="str">
        <f>HYPERLINK("http://www.ncbi.nlm.nih.gov/gene/20289","Scx")</f>
        <v>Scx</v>
      </c>
      <c r="C3112">
        <v>20289</v>
      </c>
      <c r="D3112" t="s">
        <v>6228</v>
      </c>
      <c r="E3112" s="3" t="str">
        <f>HYPERLINK("http://genome.ucsc.edu/cgi-bin/hgTracks?db=mm10&amp;lastVirtModeType=default&amp;lastVirtModeExtraState=&amp;virtModeType=default&amp;virtMode=0&amp;nonVirtPosition=&amp;position=chr15:76457437-76459468","chr15:76457437-76459468")</f>
        <v>chr15:76457437-76459468</v>
      </c>
      <c r="F3112" t="s">
        <v>30</v>
      </c>
      <c r="G3112">
        <v>0.96839645179585498</v>
      </c>
      <c r="H3112">
        <v>0.36264286341214302</v>
      </c>
      <c r="I3112">
        <v>2.6703860726338799</v>
      </c>
      <c r="J3112">
        <v>7.5764077508089197E-3</v>
      </c>
      <c r="K3112">
        <v>3.2528270660815102E-2</v>
      </c>
      <c r="L3112" t="s">
        <v>26</v>
      </c>
      <c r="M3112" t="s">
        <v>27</v>
      </c>
      <c r="N3112">
        <v>16.783561709516</v>
      </c>
      <c r="O3112">
        <v>8.9800061794566002</v>
      </c>
      <c r="P3112">
        <v>22.636228357060599</v>
      </c>
      <c r="Q3112">
        <v>4.4543403680458002</v>
      </c>
      <c r="R3112">
        <v>12.136157316586999</v>
      </c>
      <c r="S3112">
        <v>10.349520853736999</v>
      </c>
      <c r="T3112">
        <v>9.1659094311625307</v>
      </c>
      <c r="U3112">
        <v>40.683878171825199</v>
      </c>
      <c r="V3112">
        <v>22.805262340411101</v>
      </c>
      <c r="W3112">
        <v>17.889863484843598</v>
      </c>
    </row>
    <row r="3113" spans="1:23" x14ac:dyDescent="0.2">
      <c r="A3113" t="s">
        <v>6229</v>
      </c>
      <c r="B3113" s="3" t="str">
        <f>HYPERLINK("http://www.ncbi.nlm.nih.gov/gene/75909","Vmp1")</f>
        <v>Vmp1</v>
      </c>
      <c r="C3113">
        <v>75909</v>
      </c>
      <c r="D3113" t="s">
        <v>6230</v>
      </c>
      <c r="E3113" s="3" t="str">
        <f>HYPERLINK("http://genome.ucsc.edu/cgi-bin/hgTracks?db=mm10&amp;lastVirtModeType=default&amp;lastVirtModeExtraState=&amp;virtModeType=default&amp;virtMode=0&amp;nonVirtPosition=&amp;position=chr11:86583864-86683822","chr11:86583864-86683822")</f>
        <v>chr11:86583864-86683822</v>
      </c>
      <c r="F3113" t="s">
        <v>25</v>
      </c>
      <c r="G3113">
        <v>-0.439833191429713</v>
      </c>
      <c r="H3113">
        <v>0.16475215908485599</v>
      </c>
      <c r="I3113">
        <v>-2.6696657201510501</v>
      </c>
      <c r="J3113">
        <v>7.5926794977577696E-3</v>
      </c>
      <c r="K3113">
        <v>3.25876830623315E-2</v>
      </c>
      <c r="L3113" t="s">
        <v>26</v>
      </c>
      <c r="M3113" t="s">
        <v>27</v>
      </c>
      <c r="N3113">
        <v>342.26458747283698</v>
      </c>
      <c r="O3113">
        <v>407.474072038065</v>
      </c>
      <c r="P3113">
        <v>293.357474048916</v>
      </c>
      <c r="Q3113">
        <v>332.96194251142401</v>
      </c>
      <c r="R3113">
        <v>480.13672383747399</v>
      </c>
      <c r="S3113">
        <v>409.32354976529598</v>
      </c>
      <c r="T3113">
        <v>284.14319236603802</v>
      </c>
      <c r="U3113">
        <v>248.385782522722</v>
      </c>
      <c r="V3113">
        <v>348.69981772112499</v>
      </c>
      <c r="W3113">
        <v>292.20110358577898</v>
      </c>
    </row>
    <row r="3114" spans="1:23" x14ac:dyDescent="0.2">
      <c r="A3114" t="s">
        <v>6231</v>
      </c>
      <c r="B3114" s="3" t="str">
        <f>HYPERLINK("http://www.ncbi.nlm.nih.gov/gene/72481","2610203C22Rik")</f>
        <v>2610203C22Rik</v>
      </c>
      <c r="C3114">
        <v>72481</v>
      </c>
      <c r="D3114" t="s">
        <v>6232</v>
      </c>
      <c r="E3114" s="3" t="str">
        <f>HYPERLINK("http://genome.ucsc.edu/cgi-bin/hgTracks?db=mm10&amp;lastVirtModeType=default&amp;lastVirtModeExtraState=&amp;virtModeType=default&amp;virtMode=0&amp;nonVirtPosition=&amp;position=chr1:9560832-9631092","chr1:9560832-9631092")</f>
        <v>chr1:9560832-9631092</v>
      </c>
      <c r="F3114" t="s">
        <v>25</v>
      </c>
      <c r="G3114">
        <v>0.75781185984356403</v>
      </c>
      <c r="H3114">
        <v>0.28394855471446301</v>
      </c>
      <c r="I3114">
        <v>2.6688350662873201</v>
      </c>
      <c r="J3114">
        <v>7.6114816843444004E-3</v>
      </c>
      <c r="K3114">
        <v>3.2657914525810898E-2</v>
      </c>
      <c r="L3114" t="s">
        <v>26</v>
      </c>
      <c r="M3114" t="s">
        <v>27</v>
      </c>
      <c r="N3114">
        <v>35.7610017917589</v>
      </c>
      <c r="O3114">
        <v>23.370582651641801</v>
      </c>
      <c r="P3114">
        <v>45.0538161468467</v>
      </c>
      <c r="Q3114">
        <v>30.623590030314901</v>
      </c>
      <c r="R3114">
        <v>20.859020387884001</v>
      </c>
      <c r="S3114">
        <v>18.6291375367265</v>
      </c>
      <c r="T3114">
        <v>54.995456586975202</v>
      </c>
      <c r="U3114">
        <v>44.966391663596198</v>
      </c>
      <c r="V3114">
        <v>30.1617985792534</v>
      </c>
      <c r="W3114">
        <v>50.091617757562098</v>
      </c>
    </row>
    <row r="3115" spans="1:23" x14ac:dyDescent="0.2">
      <c r="A3115" t="s">
        <v>6233</v>
      </c>
      <c r="B3115" s="3" t="str">
        <f>HYPERLINK("http://www.ncbi.nlm.nih.gov/gene/72759","Tmem135")</f>
        <v>Tmem135</v>
      </c>
      <c r="C3115">
        <v>72759</v>
      </c>
      <c r="D3115" t="s">
        <v>6234</v>
      </c>
      <c r="E3115" s="3" t="str">
        <f>HYPERLINK("http://genome.ucsc.edu/cgi-bin/hgTracks?db=mm10&amp;lastVirtModeType=default&amp;lastVirtModeExtraState=&amp;virtModeType=default&amp;virtMode=0&amp;nonVirtPosition=&amp;position=chr7:89139720-89338787","chr7:89139720-89338787")</f>
        <v>chr7:89139720-89338787</v>
      </c>
      <c r="F3115" t="s">
        <v>25</v>
      </c>
      <c r="G3115">
        <v>-0.34897360573460601</v>
      </c>
      <c r="H3115">
        <v>0.13076984195229099</v>
      </c>
      <c r="I3115">
        <v>-2.6686092184918602</v>
      </c>
      <c r="J3115">
        <v>7.6166010525018802E-3</v>
      </c>
      <c r="K3115">
        <v>3.2669412137749099E-2</v>
      </c>
      <c r="L3115" t="s">
        <v>26</v>
      </c>
      <c r="M3115" t="s">
        <v>27</v>
      </c>
      <c r="N3115">
        <v>224.27829535032399</v>
      </c>
      <c r="O3115">
        <v>256.16540649493197</v>
      </c>
      <c r="P3115">
        <v>200.362961991867</v>
      </c>
      <c r="Q3115">
        <v>262.80608171470197</v>
      </c>
      <c r="R3115">
        <v>266.61620604877101</v>
      </c>
      <c r="S3115">
        <v>239.07393172132399</v>
      </c>
      <c r="T3115">
        <v>210.81591691673799</v>
      </c>
      <c r="U3115">
        <v>192.71310712969799</v>
      </c>
      <c r="V3115">
        <v>211.86824367865799</v>
      </c>
      <c r="W3115">
        <v>186.05458024237299</v>
      </c>
    </row>
    <row r="3116" spans="1:23" x14ac:dyDescent="0.2">
      <c r="A3116" t="s">
        <v>6235</v>
      </c>
      <c r="B3116" s="3" t="str">
        <f>HYPERLINK("http://www.ncbi.nlm.nih.gov/gene/68294","Mfsd10")</f>
        <v>Mfsd10</v>
      </c>
      <c r="C3116">
        <v>68294</v>
      </c>
      <c r="D3116" t="s">
        <v>6236</v>
      </c>
      <c r="E3116" s="3" t="str">
        <f>HYPERLINK("http://genome.ucsc.edu/cgi-bin/hgTracks?db=mm10&amp;lastVirtModeType=default&amp;lastVirtModeExtraState=&amp;virtModeType=default&amp;virtMode=0&amp;nonVirtPosition=&amp;position=chr5:34633646-34637114","chr5:34633646-34637114")</f>
        <v>chr5:34633646-34637114</v>
      </c>
      <c r="F3116" t="s">
        <v>25</v>
      </c>
      <c r="G3116">
        <v>0.55651352373888097</v>
      </c>
      <c r="H3116">
        <v>0.20855031535995699</v>
      </c>
      <c r="I3116">
        <v>2.6684856495102398</v>
      </c>
      <c r="J3116">
        <v>7.6194033384755899E-3</v>
      </c>
      <c r="K3116">
        <v>3.2670967052682201E-2</v>
      </c>
      <c r="L3116" t="s">
        <v>26</v>
      </c>
      <c r="M3116" t="s">
        <v>27</v>
      </c>
      <c r="N3116">
        <v>83.435842304651004</v>
      </c>
      <c r="O3116">
        <v>64.686373775158998</v>
      </c>
      <c r="P3116">
        <v>97.497943701769998</v>
      </c>
      <c r="Q3116">
        <v>48.997744048503797</v>
      </c>
      <c r="R3116">
        <v>64.852590660511893</v>
      </c>
      <c r="S3116">
        <v>80.208786616461396</v>
      </c>
      <c r="T3116">
        <v>87.076139596044001</v>
      </c>
      <c r="U3116">
        <v>109.204094040162</v>
      </c>
      <c r="V3116">
        <v>97.106278352718405</v>
      </c>
      <c r="W3116">
        <v>96.605262818155396</v>
      </c>
    </row>
    <row r="3117" spans="1:23" x14ac:dyDescent="0.2">
      <c r="A3117" t="s">
        <v>6237</v>
      </c>
      <c r="B3117" s="3" t="str">
        <f>HYPERLINK("http://www.ncbi.nlm.nih.gov/gene/67399","Pdlim7")</f>
        <v>Pdlim7</v>
      </c>
      <c r="C3117">
        <v>67399</v>
      </c>
      <c r="D3117" t="s">
        <v>6238</v>
      </c>
      <c r="E3117" s="3" t="str">
        <f>HYPERLINK("http://genome.ucsc.edu/cgi-bin/hgTracks?db=mm10&amp;lastVirtModeType=default&amp;lastVirtModeExtraState=&amp;virtModeType=default&amp;virtMode=0&amp;nonVirtPosition=&amp;position=chr13:55506772-55513446","chr13:55506772-55513446")</f>
        <v>chr13:55506772-55513446</v>
      </c>
      <c r="F3117" t="s">
        <v>25</v>
      </c>
      <c r="G3117">
        <v>0.42442326684329401</v>
      </c>
      <c r="H3117">
        <v>0.15905925187214601</v>
      </c>
      <c r="I3117">
        <v>2.6683343587234498</v>
      </c>
      <c r="J3117">
        <v>7.6228355554598002E-3</v>
      </c>
      <c r="K3117">
        <v>3.2675221166185098E-2</v>
      </c>
      <c r="L3117" t="s">
        <v>26</v>
      </c>
      <c r="M3117" t="s">
        <v>27</v>
      </c>
      <c r="N3117">
        <v>118.125221339471</v>
      </c>
      <c r="O3117">
        <v>98.429915067142105</v>
      </c>
      <c r="P3117">
        <v>132.896701043717</v>
      </c>
      <c r="Q3117">
        <v>96.325110458990395</v>
      </c>
      <c r="R3117">
        <v>94.434474119692794</v>
      </c>
      <c r="S3117">
        <v>104.530160622743</v>
      </c>
      <c r="T3117">
        <v>137.48864146743799</v>
      </c>
      <c r="U3117">
        <v>119.91037776959</v>
      </c>
      <c r="V3117">
        <v>144.18811028130901</v>
      </c>
      <c r="W3117">
        <v>129.99967465653</v>
      </c>
    </row>
    <row r="3118" spans="1:23" x14ac:dyDescent="0.2">
      <c r="A3118" t="s">
        <v>6239</v>
      </c>
      <c r="B3118" s="3" t="str">
        <f>HYPERLINK("http://www.ncbi.nlm.nih.gov/gene/71740","Nectin4")</f>
        <v>Nectin4</v>
      </c>
      <c r="C3118">
        <v>71740</v>
      </c>
      <c r="D3118" t="s">
        <v>6240</v>
      </c>
      <c r="E3118" s="3" t="str">
        <f>HYPERLINK("http://genome.ucsc.edu/cgi-bin/hgTracks?db=mm10&amp;lastVirtModeType=default&amp;lastVirtModeExtraState=&amp;virtModeType=default&amp;virtMode=0&amp;nonVirtPosition=&amp;position=chr1:171370172-171388287","chr1:171370172-171388287")</f>
        <v>chr1:171370172-171388287</v>
      </c>
      <c r="F3118" t="s">
        <v>30</v>
      </c>
      <c r="G3118">
        <v>-0.70942026411582904</v>
      </c>
      <c r="H3118">
        <v>0.26589763892368201</v>
      </c>
      <c r="I3118">
        <v>-2.66802017117364</v>
      </c>
      <c r="J3118">
        <v>7.6299677131778003E-3</v>
      </c>
      <c r="K3118">
        <v>3.2695327247092502E-2</v>
      </c>
      <c r="L3118" t="s">
        <v>26</v>
      </c>
      <c r="M3118" t="s">
        <v>27</v>
      </c>
      <c r="N3118">
        <v>71.008490654175603</v>
      </c>
      <c r="O3118">
        <v>91.835314805065394</v>
      </c>
      <c r="P3118">
        <v>55.388372541008302</v>
      </c>
      <c r="Q3118">
        <v>121.93756757525399</v>
      </c>
      <c r="R3118">
        <v>88.366395461399307</v>
      </c>
      <c r="S3118">
        <v>65.201981378542797</v>
      </c>
      <c r="T3118">
        <v>73.327275449300203</v>
      </c>
      <c r="U3118">
        <v>66.378959122451604</v>
      </c>
      <c r="V3118">
        <v>44.874871056937998</v>
      </c>
      <c r="W3118">
        <v>36.972384535343402</v>
      </c>
    </row>
    <row r="3119" spans="1:23" x14ac:dyDescent="0.2">
      <c r="A3119" t="s">
        <v>6241</v>
      </c>
      <c r="B3119" s="3" t="str">
        <f>HYPERLINK("http://www.ncbi.nlm.nih.gov/gene/66296","Haus2")</f>
        <v>Haus2</v>
      </c>
      <c r="C3119">
        <v>66296</v>
      </c>
      <c r="D3119" t="s">
        <v>6242</v>
      </c>
      <c r="E3119" s="3" t="str">
        <f>HYPERLINK("http://genome.ucsc.edu/cgi-bin/hgTracks?db=mm10&amp;lastVirtModeType=default&amp;lastVirtModeExtraState=&amp;virtModeType=default&amp;virtMode=0&amp;nonVirtPosition=&amp;position=chr2:120609594-120621559","chr2:120609594-120621559")</f>
        <v>chr2:120609594-120621559</v>
      </c>
      <c r="F3119" t="s">
        <v>30</v>
      </c>
      <c r="G3119">
        <v>-0.51653346048684301</v>
      </c>
      <c r="H3119">
        <v>0.19362421626217399</v>
      </c>
      <c r="I3119">
        <v>-2.6677110459542899</v>
      </c>
      <c r="J3119">
        <v>7.6369907916764602E-3</v>
      </c>
      <c r="K3119">
        <v>3.27149531962058E-2</v>
      </c>
      <c r="L3119" t="s">
        <v>26</v>
      </c>
      <c r="M3119" t="s">
        <v>27</v>
      </c>
      <c r="N3119">
        <v>187.79280032697599</v>
      </c>
      <c r="O3119">
        <v>228.16150446922501</v>
      </c>
      <c r="P3119">
        <v>157.51627222028901</v>
      </c>
      <c r="Q3119">
        <v>168.15134889372899</v>
      </c>
      <c r="R3119">
        <v>237.413577505734</v>
      </c>
      <c r="S3119">
        <v>278.91958700821101</v>
      </c>
      <c r="T3119">
        <v>160.40341504534399</v>
      </c>
      <c r="U3119">
        <v>186.289336892042</v>
      </c>
      <c r="V3119">
        <v>148.602032024614</v>
      </c>
      <c r="W3119">
        <v>134.770304919155</v>
      </c>
    </row>
    <row r="3120" spans="1:23" x14ac:dyDescent="0.2">
      <c r="A3120" t="s">
        <v>6243</v>
      </c>
      <c r="B3120" s="3" t="str">
        <f>HYPERLINK("http://www.ncbi.nlm.nih.gov/gene/228714","Csrp2bp")</f>
        <v>Csrp2bp</v>
      </c>
      <c r="C3120">
        <v>228714</v>
      </c>
      <c r="D3120" t="s">
        <v>6244</v>
      </c>
      <c r="E3120" s="3" t="str">
        <f>HYPERLINK("http://genome.ucsc.edu/cgi-bin/hgTracks?db=mm10&amp;lastVirtModeType=default&amp;lastVirtModeExtraState=&amp;virtModeType=default&amp;virtMode=0&amp;nonVirtPosition=&amp;position=chr2:144369034-144407675","chr2:144369034-144407675")</f>
        <v>chr2:144369034-144407675</v>
      </c>
      <c r="F3120" t="s">
        <v>30</v>
      </c>
      <c r="G3120">
        <v>0.414637537363511</v>
      </c>
      <c r="H3120">
        <v>0.15546034371950601</v>
      </c>
      <c r="I3120">
        <v>2.6671595304821398</v>
      </c>
      <c r="J3120">
        <v>7.6495351761031701E-3</v>
      </c>
      <c r="K3120">
        <v>3.2758210918835198E-2</v>
      </c>
      <c r="L3120" t="s">
        <v>26</v>
      </c>
      <c r="M3120" t="s">
        <v>27</v>
      </c>
      <c r="N3120">
        <v>168.684321787177</v>
      </c>
      <c r="O3120">
        <v>140.69689049970901</v>
      </c>
      <c r="P3120">
        <v>189.67489525277901</v>
      </c>
      <c r="Q3120">
        <v>121.380775029248</v>
      </c>
      <c r="R3120">
        <v>136.152514895461</v>
      </c>
      <c r="S3120">
        <v>164.557381574418</v>
      </c>
      <c r="T3120">
        <v>183.31818862325099</v>
      </c>
      <c r="U3120">
        <v>201.27813411323999</v>
      </c>
      <c r="V3120">
        <v>186.856020466594</v>
      </c>
      <c r="W3120">
        <v>187.24723780803001</v>
      </c>
    </row>
    <row r="3121" spans="1:23" x14ac:dyDescent="0.2">
      <c r="A3121" t="s">
        <v>6245</v>
      </c>
      <c r="B3121" s="3" t="str">
        <f>HYPERLINK("http://www.ncbi.nlm.nih.gov/gene/67887","Saraf")</f>
        <v>Saraf</v>
      </c>
      <c r="C3121">
        <v>67887</v>
      </c>
      <c r="D3121" t="s">
        <v>6246</v>
      </c>
      <c r="E3121" s="3" t="str">
        <f>HYPERLINK("http://genome.ucsc.edu/cgi-bin/hgTracks?db=mm10&amp;lastVirtModeType=default&amp;lastVirtModeExtraState=&amp;virtModeType=default&amp;virtMode=0&amp;nonVirtPosition=&amp;position=chr8:34154562-34170847","chr8:34154562-34170847")</f>
        <v>chr8:34154562-34170847</v>
      </c>
      <c r="F3121" t="s">
        <v>30</v>
      </c>
      <c r="G3121">
        <v>-0.43670967832841201</v>
      </c>
      <c r="H3121">
        <v>0.16374340318084299</v>
      </c>
      <c r="I3121">
        <v>-2.66703677732957</v>
      </c>
      <c r="J3121">
        <v>7.6523297449029599E-3</v>
      </c>
      <c r="K3121">
        <v>3.2759701922632799E-2</v>
      </c>
      <c r="L3121" t="s">
        <v>26</v>
      </c>
      <c r="M3121" t="s">
        <v>27</v>
      </c>
      <c r="N3121">
        <v>556.77730524487094</v>
      </c>
      <c r="O3121">
        <v>663.02323662691902</v>
      </c>
      <c r="P3121">
        <v>477.092856708336</v>
      </c>
      <c r="Q3121">
        <v>798.44051097220995</v>
      </c>
      <c r="R3121">
        <v>541.19676533655297</v>
      </c>
      <c r="S3121">
        <v>649.43243357199401</v>
      </c>
      <c r="T3121">
        <v>371.21933196208198</v>
      </c>
      <c r="U3121">
        <v>509.61910552075699</v>
      </c>
      <c r="V3121">
        <v>478.91050914863399</v>
      </c>
      <c r="W3121">
        <v>548.62248020186996</v>
      </c>
    </row>
    <row r="3122" spans="1:23" x14ac:dyDescent="0.2">
      <c r="A3122" t="s">
        <v>6247</v>
      </c>
      <c r="B3122" s="3" t="str">
        <f>HYPERLINK("http://www.ncbi.nlm.nih.gov/gene/223693","Tmem184b")</f>
        <v>Tmem184b</v>
      </c>
      <c r="C3122">
        <v>223693</v>
      </c>
      <c r="D3122" t="s">
        <v>6248</v>
      </c>
      <c r="E3122" s="3" t="str">
        <f>HYPERLINK("http://genome.ucsc.edu/cgi-bin/hgTracks?db=mm10&amp;lastVirtModeType=default&amp;lastVirtModeExtraState=&amp;virtModeType=default&amp;virtMode=0&amp;nonVirtPosition=&amp;position=chr15:79360683-79403303","chr15:79360683-79403303")</f>
        <v>chr15:79360683-79403303</v>
      </c>
      <c r="F3122" t="s">
        <v>25</v>
      </c>
      <c r="G3122">
        <v>0.38962368623042498</v>
      </c>
      <c r="H3122">
        <v>0.14621264877103199</v>
      </c>
      <c r="I3122">
        <v>2.66477414577566</v>
      </c>
      <c r="J3122">
        <v>7.7040044192887604E-3</v>
      </c>
      <c r="K3122">
        <v>3.29650535887362E-2</v>
      </c>
      <c r="L3122" t="s">
        <v>26</v>
      </c>
      <c r="M3122" t="s">
        <v>27</v>
      </c>
      <c r="N3122">
        <v>230.75815267689799</v>
      </c>
      <c r="O3122">
        <v>192.91601984290401</v>
      </c>
      <c r="P3122">
        <v>259.13975230239299</v>
      </c>
      <c r="Q3122">
        <v>211.02437493617001</v>
      </c>
      <c r="R3122">
        <v>163.83812377392499</v>
      </c>
      <c r="S3122">
        <v>203.88556081861799</v>
      </c>
      <c r="T3122">
        <v>297.89205651278201</v>
      </c>
      <c r="U3122">
        <v>248.385782522722</v>
      </c>
      <c r="V3122">
        <v>239.82308138625899</v>
      </c>
      <c r="W3122">
        <v>250.45808878781</v>
      </c>
    </row>
    <row r="3123" spans="1:23" x14ac:dyDescent="0.2">
      <c r="A3123" t="s">
        <v>6249</v>
      </c>
      <c r="B3123" s="3" t="str">
        <f>HYPERLINK("http://www.ncbi.nlm.nih.gov/gene/320795","Pkn1")</f>
        <v>Pkn1</v>
      </c>
      <c r="C3123">
        <v>320795</v>
      </c>
      <c r="D3123" t="s">
        <v>6250</v>
      </c>
      <c r="E3123" s="3" t="str">
        <f>HYPERLINK("http://genome.ucsc.edu/cgi-bin/hgTracks?db=mm10&amp;lastVirtModeType=default&amp;lastVirtModeExtraState=&amp;virtModeType=default&amp;virtMode=0&amp;nonVirtPosition=&amp;position=chr8:83669761-83699179","chr8:83669761-83699179")</f>
        <v>chr8:83669761-83699179</v>
      </c>
      <c r="F3123" t="s">
        <v>25</v>
      </c>
      <c r="G3123">
        <v>0.372328590185105</v>
      </c>
      <c r="H3123">
        <v>0.13972516673712801</v>
      </c>
      <c r="I3123">
        <v>2.6647210297167598</v>
      </c>
      <c r="J3123">
        <v>7.7052212480579804E-3</v>
      </c>
      <c r="K3123">
        <v>3.29650535887362E-2</v>
      </c>
      <c r="L3123" t="s">
        <v>26</v>
      </c>
      <c r="M3123" t="s">
        <v>27</v>
      </c>
      <c r="N3123">
        <v>263.25653770415101</v>
      </c>
      <c r="O3123">
        <v>222.06358966447101</v>
      </c>
      <c r="P3123">
        <v>294.15124873391102</v>
      </c>
      <c r="Q3123">
        <v>227.72815131634201</v>
      </c>
      <c r="R3123">
        <v>192.661497400819</v>
      </c>
      <c r="S3123">
        <v>245.80112027625299</v>
      </c>
      <c r="T3123">
        <v>329.972739521851</v>
      </c>
      <c r="U3123">
        <v>293.352174186318</v>
      </c>
      <c r="V3123">
        <v>267.04226546997597</v>
      </c>
      <c r="W3123">
        <v>286.23781575749803</v>
      </c>
    </row>
    <row r="3124" spans="1:23" x14ac:dyDescent="0.2">
      <c r="A3124" t="s">
        <v>6251</v>
      </c>
      <c r="B3124" s="3" t="str">
        <f>HYPERLINK("http://www.ncbi.nlm.nih.gov/gene/30841","Kdm2b")</f>
        <v>Kdm2b</v>
      </c>
      <c r="C3124">
        <v>30841</v>
      </c>
      <c r="D3124" t="s">
        <v>6252</v>
      </c>
      <c r="E3124" s="3" t="str">
        <f>HYPERLINK("http://genome.ucsc.edu/cgi-bin/hgTracks?db=mm10&amp;lastVirtModeType=default&amp;lastVirtModeExtraState=&amp;virtModeType=default&amp;virtMode=0&amp;nonVirtPosition=&amp;position=chr5:122870674-122900350","chr5:122870674-122900350")</f>
        <v>chr5:122870674-122900350</v>
      </c>
      <c r="F3124" t="s">
        <v>25</v>
      </c>
      <c r="G3124">
        <v>0.47592479234646901</v>
      </c>
      <c r="H3124">
        <v>0.17863837779022601</v>
      </c>
      <c r="I3124">
        <v>2.6641799944317901</v>
      </c>
      <c r="J3124">
        <v>7.71762556998717E-3</v>
      </c>
      <c r="K3124">
        <v>3.3007577134365397E-2</v>
      </c>
      <c r="L3124" t="s">
        <v>26</v>
      </c>
      <c r="M3124" t="s">
        <v>27</v>
      </c>
      <c r="N3124">
        <v>248.362596121374</v>
      </c>
      <c r="O3124">
        <v>196.27431038023201</v>
      </c>
      <c r="P3124">
        <v>287.42881042723002</v>
      </c>
      <c r="Q3124">
        <v>177.060029629821</v>
      </c>
      <c r="R3124">
        <v>189.24820315552901</v>
      </c>
      <c r="S3124">
        <v>222.51469835534499</v>
      </c>
      <c r="T3124">
        <v>394.13410553998898</v>
      </c>
      <c r="U3124">
        <v>278.36337696511998</v>
      </c>
      <c r="V3124">
        <v>224.37435528469001</v>
      </c>
      <c r="W3124">
        <v>252.84340391912301</v>
      </c>
    </row>
    <row r="3125" spans="1:23" x14ac:dyDescent="0.2">
      <c r="A3125" t="s">
        <v>6253</v>
      </c>
      <c r="B3125" s="3" t="str">
        <f>HYPERLINK("http://www.ncbi.nlm.nih.gov/gene/21415","Tcf7l1")</f>
        <v>Tcf7l1</v>
      </c>
      <c r="C3125">
        <v>21415</v>
      </c>
      <c r="D3125" t="s">
        <v>6254</v>
      </c>
      <c r="E3125" s="3" t="str">
        <f>HYPERLINK("http://genome.ucsc.edu/cgi-bin/hgTracks?db=mm10&amp;lastVirtModeType=default&amp;lastVirtModeExtraState=&amp;virtModeType=default&amp;virtMode=0&amp;nonVirtPosition=&amp;position=chr6:72626370-72789045","chr6:72626370-72789045")</f>
        <v>chr6:72626370-72789045</v>
      </c>
      <c r="F3125" t="s">
        <v>25</v>
      </c>
      <c r="G3125">
        <v>0.93121636224101101</v>
      </c>
      <c r="H3125">
        <v>0.34959994321761501</v>
      </c>
      <c r="I3125">
        <v>2.6636627960244201</v>
      </c>
      <c r="J3125">
        <v>7.72950011082503E-3</v>
      </c>
      <c r="K3125">
        <v>3.3047808424028699E-2</v>
      </c>
      <c r="L3125" t="s">
        <v>26</v>
      </c>
      <c r="M3125" t="s">
        <v>27</v>
      </c>
      <c r="N3125">
        <v>23.647354456179499</v>
      </c>
      <c r="O3125">
        <v>13.9048551113491</v>
      </c>
      <c r="P3125">
        <v>30.954228964802301</v>
      </c>
      <c r="Q3125">
        <v>13.363021104137401</v>
      </c>
      <c r="R3125">
        <v>10.2398827358703</v>
      </c>
      <c r="S3125">
        <v>18.111661494039701</v>
      </c>
      <c r="T3125">
        <v>22.914773577906299</v>
      </c>
      <c r="U3125">
        <v>10.7062837294277</v>
      </c>
      <c r="V3125">
        <v>44.874871056937998</v>
      </c>
      <c r="W3125">
        <v>45.3209874949371</v>
      </c>
    </row>
    <row r="3126" spans="1:23" x14ac:dyDescent="0.2">
      <c r="A3126" t="s">
        <v>6255</v>
      </c>
      <c r="B3126" s="3" t="str">
        <f>HYPERLINK("http://www.ncbi.nlm.nih.gov/gene/68904","Abhd13")</f>
        <v>Abhd13</v>
      </c>
      <c r="C3126">
        <v>68904</v>
      </c>
      <c r="D3126" t="s">
        <v>6256</v>
      </c>
      <c r="E3126" s="3" t="str">
        <f>HYPERLINK("http://genome.ucsc.edu/cgi-bin/hgTracks?db=mm10&amp;lastVirtModeType=default&amp;lastVirtModeExtraState=&amp;virtModeType=default&amp;virtMode=0&amp;nonVirtPosition=&amp;position=chr8:9977716-9992154","chr8:9977716-9992154")</f>
        <v>chr8:9977716-9992154</v>
      </c>
      <c r="F3126" t="s">
        <v>30</v>
      </c>
      <c r="G3126">
        <v>-0.34603350116957299</v>
      </c>
      <c r="H3126">
        <v>0.12992390507061799</v>
      </c>
      <c r="I3126">
        <v>-2.6633551460871798</v>
      </c>
      <c r="J3126">
        <v>7.7365713180685301E-3</v>
      </c>
      <c r="K3126">
        <v>3.3067483728137802E-2</v>
      </c>
      <c r="L3126" t="s">
        <v>26</v>
      </c>
      <c r="M3126" t="s">
        <v>27</v>
      </c>
      <c r="N3126">
        <v>257.66346968295102</v>
      </c>
      <c r="O3126">
        <v>295.91599419756699</v>
      </c>
      <c r="P3126">
        <v>228.97407629698901</v>
      </c>
      <c r="Q3126">
        <v>281.73702827889701</v>
      </c>
      <c r="R3126">
        <v>325.02146313484599</v>
      </c>
      <c r="S3126">
        <v>280.98949117895802</v>
      </c>
      <c r="T3126">
        <v>219.98182634790101</v>
      </c>
      <c r="U3126">
        <v>216.26693133443899</v>
      </c>
      <c r="V3126">
        <v>243.50134950568</v>
      </c>
      <c r="W3126">
        <v>236.146197999935</v>
      </c>
    </row>
    <row r="3127" spans="1:23" x14ac:dyDescent="0.2">
      <c r="A3127" t="s">
        <v>6257</v>
      </c>
      <c r="B3127" s="3" t="str">
        <f>HYPERLINK("http://www.ncbi.nlm.nih.gov/gene/18707","Pik3cd")</f>
        <v>Pik3cd</v>
      </c>
      <c r="C3127">
        <v>18707</v>
      </c>
      <c r="D3127" t="s">
        <v>6258</v>
      </c>
      <c r="E3127" s="3" t="str">
        <f>HYPERLINK("http://genome.ucsc.edu/cgi-bin/hgTracks?db=mm10&amp;lastVirtModeType=default&amp;lastVirtModeExtraState=&amp;virtModeType=default&amp;virtMode=0&amp;nonVirtPosition=&amp;position=chr4:149649167-149698708","chr4:149649167-149698708")</f>
        <v>chr4:149649167-149698708</v>
      </c>
      <c r="F3127" t="s">
        <v>25</v>
      </c>
      <c r="G3127">
        <v>0.69241018096500795</v>
      </c>
      <c r="H3127">
        <v>0.26000303563608901</v>
      </c>
      <c r="I3127">
        <v>2.6630849877235101</v>
      </c>
      <c r="J3127">
        <v>7.7427855766492096E-3</v>
      </c>
      <c r="K3127">
        <v>3.3083484893717097E-2</v>
      </c>
      <c r="L3127" t="s">
        <v>26</v>
      </c>
      <c r="M3127" t="s">
        <v>27</v>
      </c>
      <c r="N3127">
        <v>117.73409962936501</v>
      </c>
      <c r="O3127">
        <v>81.549447514400399</v>
      </c>
      <c r="P3127">
        <v>144.87258871558899</v>
      </c>
      <c r="Q3127">
        <v>110.244924109134</v>
      </c>
      <c r="R3127">
        <v>61.439296415221797</v>
      </c>
      <c r="S3127">
        <v>72.964122018845501</v>
      </c>
      <c r="T3127">
        <v>219.98182634790101</v>
      </c>
      <c r="U3127">
        <v>94.215296818963594</v>
      </c>
      <c r="V3127">
        <v>106.669775463213</v>
      </c>
      <c r="W3127">
        <v>158.62345623228001</v>
      </c>
    </row>
    <row r="3128" spans="1:23" x14ac:dyDescent="0.2">
      <c r="A3128" t="s">
        <v>6259</v>
      </c>
      <c r="B3128" s="3" t="str">
        <f>HYPERLINK("http://www.ncbi.nlm.nih.gov/gene/16658","Mafb")</f>
        <v>Mafb</v>
      </c>
      <c r="C3128">
        <v>16658</v>
      </c>
      <c r="D3128" t="s">
        <v>6260</v>
      </c>
      <c r="E3128" s="3" t="str">
        <f>HYPERLINK("http://genome.ucsc.edu/cgi-bin/hgTracks?db=mm10&amp;lastVirtModeType=default&amp;lastVirtModeExtraState=&amp;virtModeType=default&amp;virtMode=0&amp;nonVirtPosition=&amp;position=chr2:160363676-160367065","chr2:160363676-160367065")</f>
        <v>chr2:160363676-160367065</v>
      </c>
      <c r="F3128" t="s">
        <v>25</v>
      </c>
      <c r="G3128">
        <v>0.56019477217034597</v>
      </c>
      <c r="H3128">
        <v>0.210388831253009</v>
      </c>
      <c r="I3128">
        <v>2.6626640246728099</v>
      </c>
      <c r="J3128">
        <v>7.7524776021948997E-3</v>
      </c>
      <c r="K3128">
        <v>3.3113892577104398E-2</v>
      </c>
      <c r="L3128" t="s">
        <v>26</v>
      </c>
      <c r="M3128" t="s">
        <v>27</v>
      </c>
      <c r="N3128">
        <v>165.41983833776899</v>
      </c>
      <c r="O3128">
        <v>128.516677616104</v>
      </c>
      <c r="P3128">
        <v>193.09720887901801</v>
      </c>
      <c r="Q3128">
        <v>149.77719487554</v>
      </c>
      <c r="R3128">
        <v>97.089258532696206</v>
      </c>
      <c r="S3128">
        <v>138.68357944007499</v>
      </c>
      <c r="T3128">
        <v>187.90114333883199</v>
      </c>
      <c r="U3128">
        <v>139.18168848255999</v>
      </c>
      <c r="V3128">
        <v>191.26994220989999</v>
      </c>
      <c r="W3128">
        <v>254.036061484779</v>
      </c>
    </row>
    <row r="3129" spans="1:23" x14ac:dyDescent="0.2">
      <c r="A3129" t="s">
        <v>6261</v>
      </c>
      <c r="B3129" s="3" t="str">
        <f>HYPERLINK("http://www.ncbi.nlm.nih.gov/gene/232784","Zfp212")</f>
        <v>Zfp212</v>
      </c>
      <c r="C3129">
        <v>232784</v>
      </c>
      <c r="D3129" t="s">
        <v>6262</v>
      </c>
      <c r="E3129" s="3" t="str">
        <f>HYPERLINK("http://genome.ucsc.edu/cgi-bin/hgTracks?db=mm10&amp;lastVirtModeType=default&amp;lastVirtModeExtraState=&amp;virtModeType=default&amp;virtMode=0&amp;nonVirtPosition=&amp;position=chr6:47920567-47932637","chr6:47920567-47932637")</f>
        <v>chr6:47920567-47932637</v>
      </c>
      <c r="F3129" t="s">
        <v>30</v>
      </c>
      <c r="G3129">
        <v>0.50773987451406999</v>
      </c>
      <c r="H3129">
        <v>0.19069604271010801</v>
      </c>
      <c r="I3129">
        <v>2.6625611486124301</v>
      </c>
      <c r="J3129">
        <v>7.7548478173250102E-3</v>
      </c>
      <c r="K3129">
        <v>3.3113892577104398E-2</v>
      </c>
      <c r="L3129" t="s">
        <v>26</v>
      </c>
      <c r="M3129" t="s">
        <v>27</v>
      </c>
      <c r="N3129">
        <v>92.694607124877805</v>
      </c>
      <c r="O3129">
        <v>72.504755305665498</v>
      </c>
      <c r="P3129">
        <v>107.836995989287</v>
      </c>
      <c r="Q3129">
        <v>64.587935336664103</v>
      </c>
      <c r="R3129">
        <v>65.990355408941994</v>
      </c>
      <c r="S3129">
        <v>86.935975171390396</v>
      </c>
      <c r="T3129">
        <v>123.739777320694</v>
      </c>
      <c r="U3129">
        <v>109.204094040162</v>
      </c>
      <c r="V3129">
        <v>102.99150734379199</v>
      </c>
      <c r="W3129">
        <v>95.412605252499205</v>
      </c>
    </row>
    <row r="3130" spans="1:23" x14ac:dyDescent="0.2">
      <c r="A3130" t="s">
        <v>6263</v>
      </c>
      <c r="B3130" s="3" t="str">
        <f>HYPERLINK("http://www.ncbi.nlm.nih.gov/gene/74892","4930447A16Rik")</f>
        <v>4930447A16Rik</v>
      </c>
      <c r="C3130">
        <v>74892</v>
      </c>
      <c r="D3130" t="s">
        <v>6264</v>
      </c>
      <c r="E3130" s="3" t="str">
        <f>HYPERLINK("http://genome.ucsc.edu/cgi-bin/hgTracks?db=mm10&amp;lastVirtModeType=default&amp;lastVirtModeExtraState=&amp;virtModeType=default&amp;virtMode=0&amp;nonVirtPosition=&amp;position=chr15:37425553-37440644","chr15:37425553-37440644")</f>
        <v>chr15:37425553-37440644</v>
      </c>
      <c r="F3130" t="s">
        <v>30</v>
      </c>
      <c r="G3130">
        <v>0.94325088335873697</v>
      </c>
      <c r="H3130">
        <v>0.35430198040045602</v>
      </c>
      <c r="I3130">
        <v>2.6622794552054501</v>
      </c>
      <c r="J3130">
        <v>7.7613412220602597E-3</v>
      </c>
      <c r="K3130">
        <v>3.3131055245332802E-2</v>
      </c>
      <c r="L3130" t="s">
        <v>26</v>
      </c>
      <c r="M3130" t="s">
        <v>27</v>
      </c>
      <c r="N3130">
        <v>13.6214434321677</v>
      </c>
      <c r="O3130">
        <v>7.90345198677469</v>
      </c>
      <c r="P3130">
        <v>17.909937016212499</v>
      </c>
      <c r="Q3130">
        <v>9.4654732820973209</v>
      </c>
      <c r="R3130">
        <v>4.9303139098634796</v>
      </c>
      <c r="S3130">
        <v>9.3145687683632605</v>
      </c>
      <c r="T3130">
        <v>13.7488641467438</v>
      </c>
      <c r="U3130">
        <v>14.9887972211987</v>
      </c>
      <c r="V3130">
        <v>25.012223212063802</v>
      </c>
      <c r="W3130">
        <v>17.889863484843598</v>
      </c>
    </row>
    <row r="3131" spans="1:23" x14ac:dyDescent="0.2">
      <c r="A3131" t="s">
        <v>6265</v>
      </c>
      <c r="B3131" s="3" t="str">
        <f>HYPERLINK("http://www.ncbi.nlm.nih.gov/gene/107260","Otub1")</f>
        <v>Otub1</v>
      </c>
      <c r="C3131">
        <v>107260</v>
      </c>
      <c r="D3131" t="s">
        <v>6266</v>
      </c>
      <c r="E3131" s="3" t="str">
        <f>HYPERLINK("http://genome.ucsc.edu/cgi-bin/hgTracks?db=mm10&amp;lastVirtModeType=default&amp;lastVirtModeExtraState=&amp;virtModeType=default&amp;virtMode=0&amp;nonVirtPosition=&amp;position=chr19:7198205-7206284","chr19:7198205-7206284")</f>
        <v>chr19:7198205-7206284</v>
      </c>
      <c r="F3131" t="s">
        <v>25</v>
      </c>
      <c r="G3131">
        <v>-0.47588778517159103</v>
      </c>
      <c r="H3131">
        <v>0.178766711653222</v>
      </c>
      <c r="I3131">
        <v>-2.6620604069438598</v>
      </c>
      <c r="J3131">
        <v>7.7663939403147001E-3</v>
      </c>
      <c r="K3131">
        <v>3.3137158868087602E-2</v>
      </c>
      <c r="L3131" t="s">
        <v>26</v>
      </c>
      <c r="M3131" t="s">
        <v>27</v>
      </c>
      <c r="N3131">
        <v>282.243882394217</v>
      </c>
      <c r="O3131">
        <v>342.70571802656599</v>
      </c>
      <c r="P3131">
        <v>236.897505669955</v>
      </c>
      <c r="Q3131">
        <v>299.55438975108001</v>
      </c>
      <c r="R3131">
        <v>417.559662673822</v>
      </c>
      <c r="S3131">
        <v>311.00310165479499</v>
      </c>
      <c r="T3131">
        <v>160.40341504534399</v>
      </c>
      <c r="U3131">
        <v>289.069660694547</v>
      </c>
      <c r="V3131">
        <v>256.00746111171202</v>
      </c>
      <c r="W3131">
        <v>242.109485828217</v>
      </c>
    </row>
    <row r="3132" spans="1:23" x14ac:dyDescent="0.2">
      <c r="A3132" t="s">
        <v>6267</v>
      </c>
      <c r="B3132" s="3" t="str">
        <f>HYPERLINK("http://www.ncbi.nlm.nih.gov/gene/13831","Epc1")</f>
        <v>Epc1</v>
      </c>
      <c r="C3132">
        <v>13831</v>
      </c>
      <c r="D3132" t="s">
        <v>6268</v>
      </c>
      <c r="E3132" s="3" t="str">
        <f>HYPERLINK("http://genome.ucsc.edu/cgi-bin/hgTracks?db=mm10&amp;lastVirtModeType=default&amp;lastVirtModeExtraState=&amp;virtModeType=default&amp;virtMode=0&amp;nonVirtPosition=&amp;position=chr18:6435950-6490857","chr18:6435950-6490857")</f>
        <v>chr18:6435950-6490857</v>
      </c>
      <c r="F3132" t="s">
        <v>25</v>
      </c>
      <c r="G3132">
        <v>0.30555174260041801</v>
      </c>
      <c r="H3132">
        <v>0.11478264699985501</v>
      </c>
      <c r="I3132">
        <v>2.66200292977042</v>
      </c>
      <c r="J3132">
        <v>7.7677202364966596E-3</v>
      </c>
      <c r="K3132">
        <v>3.3137158868087602E-2</v>
      </c>
      <c r="L3132" t="s">
        <v>26</v>
      </c>
      <c r="M3132" t="s">
        <v>27</v>
      </c>
      <c r="N3132">
        <v>301.73124421338002</v>
      </c>
      <c r="O3132">
        <v>265.97343675370598</v>
      </c>
      <c r="P3132">
        <v>328.54959980813499</v>
      </c>
      <c r="Q3132">
        <v>266.70362953674203</v>
      </c>
      <c r="R3132">
        <v>270.40875521020502</v>
      </c>
      <c r="S3132">
        <v>260.80792551417102</v>
      </c>
      <c r="T3132">
        <v>329.972739521851</v>
      </c>
      <c r="U3132">
        <v>299.77594442397498</v>
      </c>
      <c r="V3132">
        <v>336.19370611509299</v>
      </c>
      <c r="W3132">
        <v>348.256009171622</v>
      </c>
    </row>
    <row r="3133" spans="1:23" x14ac:dyDescent="0.2">
      <c r="A3133" t="s">
        <v>6269</v>
      </c>
      <c r="B3133" s="3" t="str">
        <f>HYPERLINK("http://www.ncbi.nlm.nih.gov/gene/109676","Ank2")</f>
        <v>Ank2</v>
      </c>
      <c r="C3133">
        <v>109676</v>
      </c>
      <c r="D3133" t="s">
        <v>6270</v>
      </c>
      <c r="E3133" s="3" t="str">
        <f>HYPERLINK("http://genome.ucsc.edu/cgi-bin/hgTracks?db=mm10&amp;lastVirtModeType=default&amp;lastVirtModeExtraState=&amp;virtModeType=default&amp;virtMode=0&amp;nonVirtPosition=&amp;position=chr3:126921606-127409058","chr3:126921606-127409058")</f>
        <v>chr3:126921606-127409058</v>
      </c>
      <c r="F3133" t="s">
        <v>25</v>
      </c>
      <c r="G3133">
        <v>-0.43190426507223501</v>
      </c>
      <c r="H3133">
        <v>0.162279130832751</v>
      </c>
      <c r="I3133">
        <v>-2.6614898838555301</v>
      </c>
      <c r="J3133">
        <v>7.7795678575314497E-3</v>
      </c>
      <c r="K3133">
        <v>3.3177131586052101E-2</v>
      </c>
      <c r="L3133" t="s">
        <v>26</v>
      </c>
      <c r="M3133" t="s">
        <v>27</v>
      </c>
      <c r="N3133">
        <v>1967.92625363191</v>
      </c>
      <c r="O3133">
        <v>2330.0019418697698</v>
      </c>
      <c r="P3133">
        <v>1696.3694874535099</v>
      </c>
      <c r="Q3133">
        <v>2131.4018661099199</v>
      </c>
      <c r="R3133">
        <v>2609.6530779823502</v>
      </c>
      <c r="S3133">
        <v>2248.9508815170402</v>
      </c>
      <c r="T3133">
        <v>1287.8102750783401</v>
      </c>
      <c r="U3133">
        <v>1695.8753427413401</v>
      </c>
      <c r="V3133">
        <v>1682.4398378232299</v>
      </c>
      <c r="W3133">
        <v>2119.3524941711398</v>
      </c>
    </row>
    <row r="3134" spans="1:23" x14ac:dyDescent="0.2">
      <c r="A3134" t="s">
        <v>6271</v>
      </c>
      <c r="B3134" s="3" t="str">
        <f>HYPERLINK("http://www.ncbi.nlm.nih.gov/gene/328365","Zmiz1")</f>
        <v>Zmiz1</v>
      </c>
      <c r="C3134">
        <v>328365</v>
      </c>
      <c r="D3134" t="s">
        <v>6272</v>
      </c>
      <c r="E3134" s="3" t="str">
        <f>HYPERLINK("http://genome.ucsc.edu/cgi-bin/hgTracks?db=mm10&amp;lastVirtModeType=default&amp;lastVirtModeExtraState=&amp;virtModeType=default&amp;virtMode=0&amp;nonVirtPosition=&amp;position=chr14:25459184-25666743","chr14:25459184-25666743")</f>
        <v>chr14:25459184-25666743</v>
      </c>
      <c r="F3134" t="s">
        <v>30</v>
      </c>
      <c r="G3134">
        <v>0.53536312476131698</v>
      </c>
      <c r="H3134">
        <v>0.20122574894430501</v>
      </c>
      <c r="I3134">
        <v>2.6605100369609902</v>
      </c>
      <c r="J3134">
        <v>7.8022401781706998E-3</v>
      </c>
      <c r="K3134">
        <v>3.3263227706425903E-2</v>
      </c>
      <c r="L3134" t="s">
        <v>26</v>
      </c>
      <c r="M3134" t="s">
        <v>27</v>
      </c>
      <c r="N3134">
        <v>1343.80475843883</v>
      </c>
      <c r="O3134">
        <v>1051.4089640023101</v>
      </c>
      <c r="P3134">
        <v>1563.10160426621</v>
      </c>
      <c r="Q3134">
        <v>860.24448357884501</v>
      </c>
      <c r="R3134">
        <v>786.57469608129702</v>
      </c>
      <c r="S3134">
        <v>1507.40771234679</v>
      </c>
      <c r="T3134">
        <v>1388.63527882112</v>
      </c>
      <c r="U3134">
        <v>1687.3103157578</v>
      </c>
      <c r="V3134">
        <v>1677.29026245604</v>
      </c>
      <c r="W3134">
        <v>1499.1705600298901</v>
      </c>
    </row>
    <row r="3135" spans="1:23" x14ac:dyDescent="0.2">
      <c r="A3135" t="s">
        <v>6273</v>
      </c>
      <c r="B3135" s="3" t="str">
        <f>HYPERLINK("http://www.ncbi.nlm.nih.gov/gene/50706","Postn")</f>
        <v>Postn</v>
      </c>
      <c r="C3135">
        <v>50706</v>
      </c>
      <c r="D3135" t="s">
        <v>6274</v>
      </c>
      <c r="E3135" s="3" t="str">
        <f>HYPERLINK("http://genome.ucsc.edu/cgi-bin/hgTracks?db=mm10&amp;lastVirtModeType=default&amp;lastVirtModeExtraState=&amp;virtModeType=default&amp;virtMode=0&amp;nonVirtPosition=&amp;position=chr3:54361106-54391041","chr3:54361106-54391041")</f>
        <v>chr3:54361106-54391041</v>
      </c>
      <c r="F3135" t="s">
        <v>30</v>
      </c>
      <c r="G3135">
        <v>-0.93884951873651201</v>
      </c>
      <c r="H3135">
        <v>0.35292807890753602</v>
      </c>
      <c r="I3135">
        <v>-2.6601723547830298</v>
      </c>
      <c r="J3135">
        <v>7.81006738866821E-3</v>
      </c>
      <c r="K3135">
        <v>3.3286000127834503E-2</v>
      </c>
      <c r="L3135" t="s">
        <v>26</v>
      </c>
      <c r="M3135" t="s">
        <v>27</v>
      </c>
      <c r="N3135">
        <v>465.01721893952902</v>
      </c>
      <c r="O3135">
        <v>701.05096368014097</v>
      </c>
      <c r="P3135">
        <v>287.99191038407201</v>
      </c>
      <c r="Q3135">
        <v>1110.2443367354199</v>
      </c>
      <c r="R3135">
        <v>443.34899697156999</v>
      </c>
      <c r="S3135">
        <v>549.55955733343205</v>
      </c>
      <c r="T3135">
        <v>151.237505614182</v>
      </c>
      <c r="U3135">
        <v>274.08086347334898</v>
      </c>
      <c r="V3135">
        <v>414.172990246822</v>
      </c>
      <c r="W3135">
        <v>312.47628220193502</v>
      </c>
    </row>
    <row r="3136" spans="1:23" x14ac:dyDescent="0.2">
      <c r="A3136" t="s">
        <v>6275</v>
      </c>
      <c r="B3136" s="3" t="str">
        <f>HYPERLINK("http://www.ncbi.nlm.nih.gov/gene/69150","Snx4")</f>
        <v>Snx4</v>
      </c>
      <c r="C3136">
        <v>69150</v>
      </c>
      <c r="D3136" t="s">
        <v>6276</v>
      </c>
      <c r="E3136" s="3" t="str">
        <f>HYPERLINK("http://genome.ucsc.edu/cgi-bin/hgTracks?db=mm10&amp;lastVirtModeType=default&amp;lastVirtModeExtraState=&amp;virtModeType=default&amp;virtMode=0&amp;nonVirtPosition=&amp;position=chr16:33251455-33299562","chr16:33251455-33299562")</f>
        <v>chr16:33251455-33299562</v>
      </c>
      <c r="F3136" t="s">
        <v>30</v>
      </c>
      <c r="G3136">
        <v>-0.324031333832414</v>
      </c>
      <c r="H3136">
        <v>0.12182302791004</v>
      </c>
      <c r="I3136">
        <v>-2.6598528980226499</v>
      </c>
      <c r="J3136">
        <v>7.81747862310638E-3</v>
      </c>
      <c r="K3136">
        <v>3.3306985759470997E-2</v>
      </c>
      <c r="L3136" t="s">
        <v>26</v>
      </c>
      <c r="M3136" t="s">
        <v>27</v>
      </c>
      <c r="N3136">
        <v>327.85764799189798</v>
      </c>
      <c r="O3136">
        <v>373.634084563606</v>
      </c>
      <c r="P3136">
        <v>293.52532056311702</v>
      </c>
      <c r="Q3136">
        <v>368.03987290978398</v>
      </c>
      <c r="R3136">
        <v>396.32138736979499</v>
      </c>
      <c r="S3136">
        <v>356.54099341123799</v>
      </c>
      <c r="T3136">
        <v>270.39432821929501</v>
      </c>
      <c r="U3136">
        <v>304.05845791574598</v>
      </c>
      <c r="V3136">
        <v>322.95194088517701</v>
      </c>
      <c r="W3136">
        <v>276.69655523224799</v>
      </c>
    </row>
    <row r="3137" spans="1:23" x14ac:dyDescent="0.2">
      <c r="A3137" t="s">
        <v>6277</v>
      </c>
      <c r="B3137" s="3" t="str">
        <f>HYPERLINK("http://www.ncbi.nlm.nih.gov/gene/244895","Peak1")</f>
        <v>Peak1</v>
      </c>
      <c r="C3137">
        <v>244895</v>
      </c>
      <c r="D3137" t="s">
        <v>6278</v>
      </c>
      <c r="E3137" s="3" t="str">
        <f>HYPERLINK("http://genome.ucsc.edu/cgi-bin/hgTracks?db=mm10&amp;lastVirtModeType=default&amp;lastVirtModeExtraState=&amp;virtModeType=default&amp;virtMode=0&amp;nonVirtPosition=&amp;position=chr9:56201128-56418050","chr9:56201128-56418050")</f>
        <v>chr9:56201128-56418050</v>
      </c>
      <c r="F3137" t="s">
        <v>25</v>
      </c>
      <c r="G3137">
        <v>-0.50397050751235395</v>
      </c>
      <c r="H3137">
        <v>0.189505001461925</v>
      </c>
      <c r="I3137">
        <v>-2.6594047841719402</v>
      </c>
      <c r="J3137">
        <v>7.8278852545645393E-3</v>
      </c>
      <c r="K3137">
        <v>3.3340716108102297E-2</v>
      </c>
      <c r="L3137" t="s">
        <v>26</v>
      </c>
      <c r="M3137" t="s">
        <v>27</v>
      </c>
      <c r="N3137">
        <v>854.44191496070698</v>
      </c>
      <c r="O3137">
        <v>1041.05156104909</v>
      </c>
      <c r="P3137">
        <v>714.48468039442002</v>
      </c>
      <c r="Q3137">
        <v>976.61412569404195</v>
      </c>
      <c r="R3137">
        <v>779.36885267457296</v>
      </c>
      <c r="S3137">
        <v>1367.1717047786501</v>
      </c>
      <c r="T3137">
        <v>600.367067741146</v>
      </c>
      <c r="U3137">
        <v>798.68876621530501</v>
      </c>
      <c r="V3137">
        <v>823.19640512645401</v>
      </c>
      <c r="W3137">
        <v>635.68648249477599</v>
      </c>
    </row>
    <row r="3138" spans="1:23" x14ac:dyDescent="0.2">
      <c r="A3138" t="s">
        <v>6279</v>
      </c>
      <c r="B3138" s="3" t="str">
        <f>HYPERLINK("http://www.ncbi.nlm.nih.gov/gene/30963","Hacd1")</f>
        <v>Hacd1</v>
      </c>
      <c r="C3138">
        <v>30963</v>
      </c>
      <c r="D3138" t="s">
        <v>6280</v>
      </c>
      <c r="E3138" s="3" t="str">
        <f>HYPERLINK("http://genome.ucsc.edu/cgi-bin/hgTracks?db=mm10&amp;lastVirtModeType=default&amp;lastVirtModeExtraState=&amp;virtModeType=default&amp;virtMode=0&amp;nonVirtPosition=&amp;position=chr2:14026830-14056035","chr2:14026830-14056035")</f>
        <v>chr2:14026830-14056035</v>
      </c>
      <c r="F3138" t="s">
        <v>25</v>
      </c>
      <c r="G3138">
        <v>-0.63960651842456795</v>
      </c>
      <c r="H3138">
        <v>0.24057776256212299</v>
      </c>
      <c r="I3138">
        <v>-2.6586269304895001</v>
      </c>
      <c r="J3138">
        <v>7.8459789683499401E-3</v>
      </c>
      <c r="K3138">
        <v>3.3407155601009202E-2</v>
      </c>
      <c r="L3138" t="s">
        <v>26</v>
      </c>
      <c r="M3138" t="s">
        <v>27</v>
      </c>
      <c r="N3138">
        <v>53.326980108262703</v>
      </c>
      <c r="O3138">
        <v>67.984808730420994</v>
      </c>
      <c r="P3138">
        <v>42.333608641643998</v>
      </c>
      <c r="Q3138">
        <v>53.452084416549603</v>
      </c>
      <c r="R3138">
        <v>81.160552054675705</v>
      </c>
      <c r="S3138">
        <v>69.341789720037596</v>
      </c>
      <c r="T3138">
        <v>41.246592440231403</v>
      </c>
      <c r="U3138">
        <v>51.390161901252803</v>
      </c>
      <c r="V3138">
        <v>39.7252956897484</v>
      </c>
      <c r="W3138">
        <v>36.972384535343402</v>
      </c>
    </row>
    <row r="3139" spans="1:23" x14ac:dyDescent="0.2">
      <c r="A3139" t="s">
        <v>6281</v>
      </c>
      <c r="B3139" s="3" t="str">
        <f>HYPERLINK("http://www.ncbi.nlm.nih.gov/gene/381994","E030018B13Rik")</f>
        <v>E030018B13Rik</v>
      </c>
      <c r="C3139">
        <v>381994</v>
      </c>
      <c r="D3139" t="s">
        <v>6282</v>
      </c>
      <c r="E3139" s="3" t="str">
        <f>HYPERLINK("http://genome.ucsc.edu/cgi-bin/hgTracks?db=mm10&amp;lastVirtModeType=default&amp;lastVirtModeExtraState=&amp;virtModeType=default&amp;virtMode=0&amp;nonVirtPosition=&amp;position=chr7:63916856-63920539","chr7:63916856-63920539")</f>
        <v>chr7:63916856-63920539</v>
      </c>
      <c r="F3139" t="s">
        <v>30</v>
      </c>
      <c r="G3139">
        <v>1.05967233496039</v>
      </c>
      <c r="H3139">
        <v>0.39869344972969001</v>
      </c>
      <c r="I3139">
        <v>2.6578624145413898</v>
      </c>
      <c r="J3139">
        <v>7.86379893074181E-3</v>
      </c>
      <c r="K3139">
        <v>3.3472387629231902E-2</v>
      </c>
      <c r="L3139" t="s">
        <v>26</v>
      </c>
      <c r="M3139" t="s">
        <v>27</v>
      </c>
      <c r="N3139">
        <v>10.0999052403458</v>
      </c>
      <c r="O3139">
        <v>3.4668538255169898</v>
      </c>
      <c r="P3139">
        <v>15.074693801467401</v>
      </c>
      <c r="Q3139">
        <v>2.2271701840229001</v>
      </c>
      <c r="R3139">
        <v>4.5510589937201402</v>
      </c>
      <c r="S3139">
        <v>3.6223322988079301</v>
      </c>
      <c r="T3139">
        <v>22.914773577906299</v>
      </c>
      <c r="U3139">
        <v>19.2713107129698</v>
      </c>
      <c r="V3139">
        <v>16.920033349337299</v>
      </c>
      <c r="W3139">
        <v>1.1926575656562399</v>
      </c>
    </row>
    <row r="3140" spans="1:23" x14ac:dyDescent="0.2">
      <c r="A3140" t="s">
        <v>6283</v>
      </c>
      <c r="B3140" s="3" t="str">
        <f>HYPERLINK("http://www.ncbi.nlm.nih.gov/gene/13185","Dscr3")</f>
        <v>Dscr3</v>
      </c>
      <c r="C3140">
        <v>13185</v>
      </c>
      <c r="D3140" t="s">
        <v>6284</v>
      </c>
      <c r="E3140" s="3" t="str">
        <f>HYPERLINK("http://genome.ucsc.edu/cgi-bin/hgTracks?db=mm10&amp;lastVirtModeType=default&amp;lastVirtModeExtraState=&amp;virtModeType=default&amp;virtMode=0&amp;nonVirtPosition=&amp;position=chr16:94497723-94526629","chr16:94497723-94526629")</f>
        <v>chr16:94497723-94526629</v>
      </c>
      <c r="F3140" t="s">
        <v>25</v>
      </c>
      <c r="G3140">
        <v>-0.43680149011205299</v>
      </c>
      <c r="H3140">
        <v>0.16435670550005299</v>
      </c>
      <c r="I3140">
        <v>-2.6576432569823698</v>
      </c>
      <c r="J3140">
        <v>7.8689139159637007E-3</v>
      </c>
      <c r="K3140">
        <v>3.34735726794049E-2</v>
      </c>
      <c r="L3140" t="s">
        <v>26</v>
      </c>
      <c r="M3140" t="s">
        <v>27</v>
      </c>
      <c r="N3140">
        <v>173.571866028031</v>
      </c>
      <c r="O3140">
        <v>209.20996876200499</v>
      </c>
      <c r="P3140">
        <v>146.843288977551</v>
      </c>
      <c r="Q3140">
        <v>229.95532150036399</v>
      </c>
      <c r="R3140">
        <v>210.86573337569999</v>
      </c>
      <c r="S3140">
        <v>186.80885140995201</v>
      </c>
      <c r="T3140">
        <v>114.573867889532</v>
      </c>
      <c r="U3140">
        <v>134.89917499078899</v>
      </c>
      <c r="V3140">
        <v>162.579450878415</v>
      </c>
      <c r="W3140">
        <v>175.32066215146699</v>
      </c>
    </row>
    <row r="3141" spans="1:23" x14ac:dyDescent="0.2">
      <c r="A3141" t="s">
        <v>6285</v>
      </c>
      <c r="B3141" s="3" t="str">
        <f>HYPERLINK("http://www.ncbi.nlm.nih.gov/gene/14756","Gpld1")</f>
        <v>Gpld1</v>
      </c>
      <c r="C3141">
        <v>14756</v>
      </c>
      <c r="D3141" t="s">
        <v>6286</v>
      </c>
      <c r="E3141" s="3" t="str">
        <f>HYPERLINK("http://genome.ucsc.edu/cgi-bin/hgTracks?db=mm10&amp;lastVirtModeType=default&amp;lastVirtModeExtraState=&amp;virtModeType=default&amp;virtMode=0&amp;nonVirtPosition=&amp;position=chr13:24943151-24991936","chr13:24943151-24991936")</f>
        <v>chr13:24943151-24991936</v>
      </c>
      <c r="F3141" t="s">
        <v>30</v>
      </c>
      <c r="G3141">
        <v>-0.88967111094594098</v>
      </c>
      <c r="H3141">
        <v>0.334760296930674</v>
      </c>
      <c r="I3141">
        <v>-2.65763628214903</v>
      </c>
      <c r="J3141">
        <v>7.8690767526522695E-3</v>
      </c>
      <c r="K3141">
        <v>3.34735726794049E-2</v>
      </c>
      <c r="L3141" t="s">
        <v>26</v>
      </c>
      <c r="M3141" t="s">
        <v>27</v>
      </c>
      <c r="N3141">
        <v>46.965500640729601</v>
      </c>
      <c r="O3141">
        <v>69.894715513637905</v>
      </c>
      <c r="P3141">
        <v>29.768589486048601</v>
      </c>
      <c r="Q3141">
        <v>111.91530174715101</v>
      </c>
      <c r="R3141">
        <v>56.888237421501699</v>
      </c>
      <c r="S3141">
        <v>40.880607372260997</v>
      </c>
      <c r="T3141">
        <v>13.7488641467438</v>
      </c>
      <c r="U3141">
        <v>27.836337696512</v>
      </c>
      <c r="V3141">
        <v>25.012223212063802</v>
      </c>
      <c r="W3141">
        <v>52.4769328888746</v>
      </c>
    </row>
    <row r="3142" spans="1:23" x14ac:dyDescent="0.2">
      <c r="A3142" t="s">
        <v>6287</v>
      </c>
      <c r="B3142" s="3" t="str">
        <f>HYPERLINK("http://www.ncbi.nlm.nih.gov/gene/93704","Pcdhgb7")</f>
        <v>Pcdhgb7</v>
      </c>
      <c r="C3142">
        <v>93704</v>
      </c>
      <c r="D3142" t="s">
        <v>6288</v>
      </c>
      <c r="E3142" s="3" t="str">
        <f>HYPERLINK("http://genome.ucsc.edu/cgi-bin/hgTracks?db=mm10&amp;lastVirtModeType=default&amp;lastVirtModeExtraState=&amp;virtModeType=default&amp;virtMode=0&amp;nonVirtPosition=&amp;position=chr18:37751778-37841870","chr18:37751778-37841870")</f>
        <v>chr18:37751778-37841870</v>
      </c>
      <c r="F3142" t="s">
        <v>30</v>
      </c>
      <c r="G3142">
        <v>0.55727703264465001</v>
      </c>
      <c r="H3142">
        <v>0.209725460531522</v>
      </c>
      <c r="I3142">
        <v>2.65717396081669</v>
      </c>
      <c r="J3142">
        <v>7.8798769875679502E-3</v>
      </c>
      <c r="K3142">
        <v>3.3502267526716499E-2</v>
      </c>
      <c r="L3142" t="s">
        <v>26</v>
      </c>
      <c r="M3142" t="s">
        <v>27</v>
      </c>
      <c r="N3142">
        <v>67.904325069309195</v>
      </c>
      <c r="O3142">
        <v>53.184834643698103</v>
      </c>
      <c r="P3142">
        <v>78.943942888517498</v>
      </c>
      <c r="Q3142">
        <v>55.122462054566803</v>
      </c>
      <c r="R3142">
        <v>48.544629266348103</v>
      </c>
      <c r="S3142">
        <v>55.887412610179503</v>
      </c>
      <c r="T3142">
        <v>54.995456586975202</v>
      </c>
      <c r="U3142">
        <v>104.92158054839101</v>
      </c>
      <c r="V3142">
        <v>73.565362388422997</v>
      </c>
      <c r="W3142">
        <v>82.293372030280594</v>
      </c>
    </row>
    <row r="3143" spans="1:23" x14ac:dyDescent="0.2">
      <c r="A3143" t="s">
        <v>6289</v>
      </c>
      <c r="B3143" s="3" t="str">
        <f>HYPERLINK("http://www.ncbi.nlm.nih.gov/gene/74552","Nipal3")</f>
        <v>Nipal3</v>
      </c>
      <c r="C3143">
        <v>74552</v>
      </c>
      <c r="D3143" t="s">
        <v>6290</v>
      </c>
      <c r="E3143" s="3" t="str">
        <f>HYPERLINK("http://genome.ucsc.edu/cgi-bin/hgTracks?db=mm10&amp;lastVirtModeType=default&amp;lastVirtModeExtraState=&amp;virtModeType=default&amp;virtMode=0&amp;nonVirtPosition=&amp;position=chr4:135448900-135494504","chr4:135448900-135494504")</f>
        <v>chr4:135448900-135494504</v>
      </c>
      <c r="F3143" t="s">
        <v>25</v>
      </c>
      <c r="G3143">
        <v>-0.62866045203835996</v>
      </c>
      <c r="H3143">
        <v>0.23659348901480901</v>
      </c>
      <c r="I3143">
        <v>-2.6571333583867598</v>
      </c>
      <c r="J3143">
        <v>7.8808261301737698E-3</v>
      </c>
      <c r="K3143">
        <v>3.3502267526716499E-2</v>
      </c>
      <c r="L3143" t="s">
        <v>26</v>
      </c>
      <c r="M3143" t="s">
        <v>27</v>
      </c>
      <c r="N3143">
        <v>307.31835788064399</v>
      </c>
      <c r="O3143">
        <v>394.80760788215298</v>
      </c>
      <c r="P3143">
        <v>241.701420379512</v>
      </c>
      <c r="Q3143">
        <v>599.10877950216002</v>
      </c>
      <c r="R3143">
        <v>263.96142163576798</v>
      </c>
      <c r="S3143">
        <v>321.35262250853202</v>
      </c>
      <c r="T3143">
        <v>229.147735779063</v>
      </c>
      <c r="U3143">
        <v>196.99562062146899</v>
      </c>
      <c r="V3143">
        <v>285.43360606708097</v>
      </c>
      <c r="W3143">
        <v>255.22871905043499</v>
      </c>
    </row>
    <row r="3144" spans="1:23" x14ac:dyDescent="0.2">
      <c r="A3144" t="s">
        <v>6291</v>
      </c>
      <c r="B3144" s="3" t="str">
        <f>HYPERLINK("http://www.ncbi.nlm.nih.gov/gene/14199","Fhl1")</f>
        <v>Fhl1</v>
      </c>
      <c r="C3144">
        <v>14199</v>
      </c>
      <c r="D3144" t="s">
        <v>6292</v>
      </c>
      <c r="E3144" s="3" t="str">
        <f>HYPERLINK("http://genome.ucsc.edu/cgi-bin/hgTracks?db=mm10&amp;lastVirtModeType=default&amp;lastVirtModeExtraState=&amp;virtModeType=default&amp;virtMode=0&amp;nonVirtPosition=&amp;position=chrX:56779682-56793346","chrX:56779682-56793346")</f>
        <v>chrX:56779682-56793346</v>
      </c>
      <c r="F3144" t="s">
        <v>30</v>
      </c>
      <c r="G3144">
        <v>0.48531285907882599</v>
      </c>
      <c r="H3144">
        <v>0.18269827339285699</v>
      </c>
      <c r="I3144">
        <v>2.6563625920823801</v>
      </c>
      <c r="J3144">
        <v>7.8988633811085101E-3</v>
      </c>
      <c r="K3144">
        <v>3.3568289284806097E-2</v>
      </c>
      <c r="L3144" t="s">
        <v>26</v>
      </c>
      <c r="M3144" t="s">
        <v>27</v>
      </c>
      <c r="N3144">
        <v>291.60572358299999</v>
      </c>
      <c r="O3144">
        <v>235.33535213986599</v>
      </c>
      <c r="P3144">
        <v>333.808502165351</v>
      </c>
      <c r="Q3144">
        <v>168.15134889372899</v>
      </c>
      <c r="R3144">
        <v>246.51569549317401</v>
      </c>
      <c r="S3144">
        <v>291.339012032695</v>
      </c>
      <c r="T3144">
        <v>284.14319236603802</v>
      </c>
      <c r="U3144">
        <v>379.00244402174002</v>
      </c>
      <c r="V3144">
        <v>346.49285684947199</v>
      </c>
      <c r="W3144">
        <v>325.59551542415301</v>
      </c>
    </row>
    <row r="3145" spans="1:23" x14ac:dyDescent="0.2">
      <c r="A3145" t="s">
        <v>6293</v>
      </c>
      <c r="B3145" s="3" t="str">
        <f>HYPERLINK("http://www.ncbi.nlm.nih.gov/gene/227541","Camk1d")</f>
        <v>Camk1d</v>
      </c>
      <c r="C3145">
        <v>227541</v>
      </c>
      <c r="D3145" t="s">
        <v>6294</v>
      </c>
      <c r="E3145" s="3" t="str">
        <f>HYPERLINK("http://genome.ucsc.edu/cgi-bin/hgTracks?db=mm10&amp;lastVirtModeType=default&amp;lastVirtModeExtraState=&amp;virtModeType=default&amp;virtMode=0&amp;nonVirtPosition=&amp;position=chr2:5293456-5714762","chr2:5293456-5714762")</f>
        <v>chr2:5293456-5714762</v>
      </c>
      <c r="F3145" t="s">
        <v>25</v>
      </c>
      <c r="G3145">
        <v>0.35715666491736398</v>
      </c>
      <c r="H3145">
        <v>0.13447668914927499</v>
      </c>
      <c r="I3145">
        <v>2.6559001948724701</v>
      </c>
      <c r="J3145">
        <v>7.9097020045049999E-3</v>
      </c>
      <c r="K3145">
        <v>3.3603686403022401E-2</v>
      </c>
      <c r="L3145" t="s">
        <v>26</v>
      </c>
      <c r="M3145" t="s">
        <v>27</v>
      </c>
      <c r="N3145">
        <v>202.95385867467999</v>
      </c>
      <c r="O3145">
        <v>175.236556989788</v>
      </c>
      <c r="P3145">
        <v>223.741834938349</v>
      </c>
      <c r="Q3145">
        <v>167.03776380171701</v>
      </c>
      <c r="R3145">
        <v>185.83490891023899</v>
      </c>
      <c r="S3145">
        <v>172.836998257407</v>
      </c>
      <c r="T3145">
        <v>206.23296220115699</v>
      </c>
      <c r="U3145">
        <v>233.39698530152299</v>
      </c>
      <c r="V3145">
        <v>244.23700312956399</v>
      </c>
      <c r="W3145">
        <v>211.100389121154</v>
      </c>
    </row>
    <row r="3146" spans="1:23" x14ac:dyDescent="0.2">
      <c r="A3146" t="s">
        <v>6295</v>
      </c>
      <c r="B3146" s="3" t="str">
        <f>HYPERLINK("http://www.ncbi.nlm.nih.gov/gene/114886","Cygb")</f>
        <v>Cygb</v>
      </c>
      <c r="C3146">
        <v>114886</v>
      </c>
      <c r="D3146" t="s">
        <v>6296</v>
      </c>
      <c r="E3146" s="3" t="str">
        <f>HYPERLINK("http://genome.ucsc.edu/cgi-bin/hgTracks?db=mm10&amp;lastVirtModeType=default&amp;lastVirtModeExtraState=&amp;virtModeType=default&amp;virtMode=0&amp;nonVirtPosition=&amp;position=chr11:116645594-116654313","chr11:116645594-116654313")</f>
        <v>chr11:116645594-116654313</v>
      </c>
      <c r="F3146" t="s">
        <v>25</v>
      </c>
      <c r="G3146">
        <v>-0.76104125706771797</v>
      </c>
      <c r="H3146">
        <v>0.28659185759455502</v>
      </c>
      <c r="I3146">
        <v>-2.6554880639504201</v>
      </c>
      <c r="J3146">
        <v>7.9193736078955104E-3</v>
      </c>
      <c r="K3146">
        <v>3.3634104656939098E-2</v>
      </c>
      <c r="L3146" t="s">
        <v>26</v>
      </c>
      <c r="M3146" t="s">
        <v>27</v>
      </c>
      <c r="N3146">
        <v>62.503420424746899</v>
      </c>
      <c r="O3146">
        <v>86.999918776927501</v>
      </c>
      <c r="P3146">
        <v>44.131046660611403</v>
      </c>
      <c r="Q3146">
        <v>123.60794521327099</v>
      </c>
      <c r="R3146">
        <v>83.056826635392497</v>
      </c>
      <c r="S3146">
        <v>54.334984482118998</v>
      </c>
      <c r="T3146">
        <v>22.914773577906299</v>
      </c>
      <c r="U3146">
        <v>44.966391663596198</v>
      </c>
      <c r="V3146">
        <v>47.817485552474999</v>
      </c>
      <c r="W3146">
        <v>60.825535848468199</v>
      </c>
    </row>
    <row r="3147" spans="1:23" x14ac:dyDescent="0.2">
      <c r="A3147" t="s">
        <v>6297</v>
      </c>
      <c r="B3147" s="3" t="str">
        <f>HYPERLINK("http://www.ncbi.nlm.nih.gov/gene/18712","Pim1")</f>
        <v>Pim1</v>
      </c>
      <c r="C3147">
        <v>18712</v>
      </c>
      <c r="D3147" t="s">
        <v>6298</v>
      </c>
      <c r="E3147" s="3" t="str">
        <f>HYPERLINK("http://genome.ucsc.edu/cgi-bin/hgTracks?db=mm10&amp;lastVirtModeType=default&amp;lastVirtModeExtraState=&amp;virtModeType=default&amp;virtMode=0&amp;nonVirtPosition=&amp;position=chr17:29491044-29495459","chr17:29491044-29495459")</f>
        <v>chr17:29491044-29495459</v>
      </c>
      <c r="F3147" t="s">
        <v>30</v>
      </c>
      <c r="G3147">
        <v>0.76808904846507597</v>
      </c>
      <c r="H3147">
        <v>0.28933170371523198</v>
      </c>
      <c r="I3147">
        <v>2.6547006035019498</v>
      </c>
      <c r="J3147">
        <v>7.9378826428434992E-3</v>
      </c>
      <c r="K3147">
        <v>3.3702024879618701E-2</v>
      </c>
      <c r="L3147" t="s">
        <v>26</v>
      </c>
      <c r="M3147" t="s">
        <v>27</v>
      </c>
      <c r="N3147">
        <v>32.247273986568302</v>
      </c>
      <c r="O3147">
        <v>21.989841921871101</v>
      </c>
      <c r="P3147">
        <v>39.940348035091297</v>
      </c>
      <c r="Q3147">
        <v>14.4766061961489</v>
      </c>
      <c r="R3147">
        <v>21.996785136313999</v>
      </c>
      <c r="S3147">
        <v>29.496134433150299</v>
      </c>
      <c r="T3147">
        <v>32.0806830090688</v>
      </c>
      <c r="U3147">
        <v>40.683878171825199</v>
      </c>
      <c r="V3147">
        <v>50.024446424127703</v>
      </c>
      <c r="W3147">
        <v>36.972384535343402</v>
      </c>
    </row>
    <row r="3148" spans="1:23" x14ac:dyDescent="0.2">
      <c r="A3148" t="s">
        <v>6299</v>
      </c>
      <c r="B3148" s="3" t="str">
        <f>HYPERLINK("http://www.ncbi.nlm.nih.gov/gene/215705","Arrdc1")</f>
        <v>Arrdc1</v>
      </c>
      <c r="C3148">
        <v>215705</v>
      </c>
      <c r="D3148" t="s">
        <v>6300</v>
      </c>
      <c r="E3148" s="3" t="str">
        <f>HYPERLINK("http://genome.ucsc.edu/cgi-bin/hgTracks?db=mm10&amp;lastVirtModeType=default&amp;lastVirtModeExtraState=&amp;virtModeType=default&amp;virtMode=0&amp;nonVirtPosition=&amp;position=chr2:24925351-24935281","chr2:24925351-24935281")</f>
        <v>chr2:24925351-24935281</v>
      </c>
      <c r="F3148" t="s">
        <v>25</v>
      </c>
      <c r="G3148">
        <v>0.76130528451179902</v>
      </c>
      <c r="H3148">
        <v>0.28691236135381398</v>
      </c>
      <c r="I3148">
        <v>2.65344191138901</v>
      </c>
      <c r="J3148">
        <v>7.9675483097817502E-3</v>
      </c>
      <c r="K3148">
        <v>3.3806751250608502E-2</v>
      </c>
      <c r="L3148" t="s">
        <v>26</v>
      </c>
      <c r="M3148" t="s">
        <v>27</v>
      </c>
      <c r="N3148">
        <v>26.330384249665101</v>
      </c>
      <c r="O3148">
        <v>17.608590880824799</v>
      </c>
      <c r="P3148">
        <v>32.871729276295298</v>
      </c>
      <c r="Q3148">
        <v>18.3741540181889</v>
      </c>
      <c r="R3148">
        <v>20.479765471740599</v>
      </c>
      <c r="S3148">
        <v>13.971853152544901</v>
      </c>
      <c r="T3148">
        <v>36.663637724650101</v>
      </c>
      <c r="U3148">
        <v>23.553824204740899</v>
      </c>
      <c r="V3148">
        <v>33.104413074790401</v>
      </c>
      <c r="W3148">
        <v>38.165042100999699</v>
      </c>
    </row>
    <row r="3149" spans="1:23" x14ac:dyDescent="0.2">
      <c r="A3149" t="s">
        <v>6301</v>
      </c>
      <c r="B3149" s="3" t="str">
        <f>HYPERLINK("http://www.ncbi.nlm.nih.gov/gene/52392","D1Ertd622e")</f>
        <v>D1Ertd622e</v>
      </c>
      <c r="C3149">
        <v>52392</v>
      </c>
      <c r="D3149" t="s">
        <v>6302</v>
      </c>
      <c r="E3149" s="3" t="str">
        <f>HYPERLINK("http://genome.ucsc.edu/cgi-bin/hgTracks?db=mm10&amp;lastVirtModeType=default&amp;lastVirtModeExtraState=&amp;virtModeType=default&amp;virtMode=0&amp;nonVirtPosition=&amp;position=chr1:97643901-97662018","chr1:97643901-97662018")</f>
        <v>chr1:97643901-97662018</v>
      </c>
      <c r="F3149" t="s">
        <v>25</v>
      </c>
      <c r="G3149">
        <v>0.38532002082386602</v>
      </c>
      <c r="H3149">
        <v>0.145215286528946</v>
      </c>
      <c r="I3149">
        <v>2.6534397998592301</v>
      </c>
      <c r="J3149">
        <v>7.9675981589814298E-3</v>
      </c>
      <c r="K3149">
        <v>3.3806751250608502E-2</v>
      </c>
      <c r="L3149" t="s">
        <v>26</v>
      </c>
      <c r="M3149" t="s">
        <v>27</v>
      </c>
      <c r="N3149">
        <v>154.55703418971299</v>
      </c>
      <c r="O3149">
        <v>130.479064168832</v>
      </c>
      <c r="P3149">
        <v>172.61551170537501</v>
      </c>
      <c r="Q3149">
        <v>142.53889177746601</v>
      </c>
      <c r="R3149">
        <v>127.80890674030699</v>
      </c>
      <c r="S3149">
        <v>121.08939398872199</v>
      </c>
      <c r="T3149">
        <v>183.31818862325099</v>
      </c>
      <c r="U3149">
        <v>160.59425594141501</v>
      </c>
      <c r="V3149">
        <v>173.61425523667799</v>
      </c>
      <c r="W3149">
        <v>172.93534702015501</v>
      </c>
    </row>
    <row r="3150" spans="1:23" x14ac:dyDescent="0.2">
      <c r="A3150" t="s">
        <v>6303</v>
      </c>
      <c r="B3150" s="3" t="str">
        <f>HYPERLINK("http://www.ncbi.nlm.nih.gov/gene/56703","Pigo")</f>
        <v>Pigo</v>
      </c>
      <c r="C3150">
        <v>56703</v>
      </c>
      <c r="D3150" t="s">
        <v>6304</v>
      </c>
      <c r="E3150" s="3" t="str">
        <f>HYPERLINK("http://genome.ucsc.edu/cgi-bin/hgTracks?db=mm10&amp;lastVirtModeType=default&amp;lastVirtModeExtraState=&amp;virtModeType=default&amp;virtMode=0&amp;nonVirtPosition=&amp;position=chr4:43017625-43025774","chr4:43017625-43025774")</f>
        <v>chr4:43017625-43025774</v>
      </c>
      <c r="F3150" t="s">
        <v>25</v>
      </c>
      <c r="G3150">
        <v>0.50772283548905695</v>
      </c>
      <c r="H3150">
        <v>0.19136285244010201</v>
      </c>
      <c r="I3150">
        <v>2.6531943322070699</v>
      </c>
      <c r="J3150">
        <v>7.9733950869202794E-3</v>
      </c>
      <c r="K3150">
        <v>3.3820631488422397E-2</v>
      </c>
      <c r="L3150" t="s">
        <v>26</v>
      </c>
      <c r="M3150" t="s">
        <v>27</v>
      </c>
      <c r="N3150">
        <v>115.32538084000601</v>
      </c>
      <c r="O3150">
        <v>91.075350392656603</v>
      </c>
      <c r="P3150">
        <v>133.512903675518</v>
      </c>
      <c r="Q3150">
        <v>96.881903004996104</v>
      </c>
      <c r="R3150">
        <v>76.988747977098996</v>
      </c>
      <c r="S3150">
        <v>99.355400195874793</v>
      </c>
      <c r="T3150">
        <v>123.739777320694</v>
      </c>
      <c r="U3150">
        <v>173.44179641672801</v>
      </c>
      <c r="V3150">
        <v>114.02631170205601</v>
      </c>
      <c r="W3150">
        <v>122.843729262593</v>
      </c>
    </row>
    <row r="3151" spans="1:23" x14ac:dyDescent="0.2">
      <c r="A3151" t="s">
        <v>6305</v>
      </c>
      <c r="B3151" s="3" t="str">
        <f>HYPERLINK("http://www.ncbi.nlm.nih.gov/gene/28240","Trpm2")</f>
        <v>Trpm2</v>
      </c>
      <c r="C3151">
        <v>28240</v>
      </c>
      <c r="D3151" t="s">
        <v>6306</v>
      </c>
      <c r="E3151" s="3" t="str">
        <f>HYPERLINK("http://genome.ucsc.edu/cgi-bin/hgTracks?db=mm10&amp;lastVirtModeType=default&amp;lastVirtModeExtraState=&amp;virtModeType=default&amp;virtMode=0&amp;nonVirtPosition=&amp;position=chr10:77907721-77969872","chr10:77907721-77969872")</f>
        <v>chr10:77907721-77969872</v>
      </c>
      <c r="F3151" t="s">
        <v>25</v>
      </c>
      <c r="G3151">
        <v>0.77880377435219705</v>
      </c>
      <c r="H3151">
        <v>0.29357150771270102</v>
      </c>
      <c r="I3151">
        <v>2.6528588568423301</v>
      </c>
      <c r="J3151">
        <v>7.9813237318752204E-3</v>
      </c>
      <c r="K3151">
        <v>3.38435421448832E-2</v>
      </c>
      <c r="L3151" t="s">
        <v>26</v>
      </c>
      <c r="M3151" t="s">
        <v>27</v>
      </c>
      <c r="N3151">
        <v>80.640013056460703</v>
      </c>
      <c r="O3151">
        <v>51.484898773766403</v>
      </c>
      <c r="P3151">
        <v>102.506348768481</v>
      </c>
      <c r="Q3151">
        <v>67.928690612698404</v>
      </c>
      <c r="R3151">
        <v>50.820158763208198</v>
      </c>
      <c r="S3151">
        <v>35.705846945392501</v>
      </c>
      <c r="T3151">
        <v>164.98636976092499</v>
      </c>
      <c r="U3151">
        <v>79.2264995977648</v>
      </c>
      <c r="V3151">
        <v>53.702714543548801</v>
      </c>
      <c r="W3151">
        <v>112.109811171687</v>
      </c>
    </row>
    <row r="3152" spans="1:23" x14ac:dyDescent="0.2">
      <c r="A3152" t="s">
        <v>6307</v>
      </c>
      <c r="B3152" s="3" t="str">
        <f>HYPERLINK("http://www.ncbi.nlm.nih.gov/gene/70892","Ttll7")</f>
        <v>Ttll7</v>
      </c>
      <c r="C3152">
        <v>70892</v>
      </c>
      <c r="D3152" t="s">
        <v>6308</v>
      </c>
      <c r="E3152" s="3" t="str">
        <f>HYPERLINK("http://genome.ucsc.edu/cgi-bin/hgTracks?db=mm10&amp;lastVirtModeType=default&amp;lastVirtModeExtraState=&amp;virtModeType=default&amp;virtMode=0&amp;nonVirtPosition=&amp;position=chr3:146852366-146984008","chr3:146852366-146984008")</f>
        <v>chr3:146852366-146984008</v>
      </c>
      <c r="F3152" t="s">
        <v>30</v>
      </c>
      <c r="G3152">
        <v>-0.40142710048610902</v>
      </c>
      <c r="H3152">
        <v>0.15134264881207601</v>
      </c>
      <c r="I3152">
        <v>-2.6524387120022301</v>
      </c>
      <c r="J3152">
        <v>7.9912634177122504E-3</v>
      </c>
      <c r="K3152">
        <v>3.38749630980009E-2</v>
      </c>
      <c r="L3152" t="s">
        <v>26</v>
      </c>
      <c r="M3152" t="s">
        <v>27</v>
      </c>
      <c r="N3152">
        <v>388.37380950069598</v>
      </c>
      <c r="O3152">
        <v>453.92832083285401</v>
      </c>
      <c r="P3152">
        <v>339.20792600157802</v>
      </c>
      <c r="Q3152">
        <v>485.523100116992</v>
      </c>
      <c r="R3152">
        <v>513.51115645808898</v>
      </c>
      <c r="S3152">
        <v>362.75070592347998</v>
      </c>
      <c r="T3152">
        <v>320.80683009068798</v>
      </c>
      <c r="U3152">
        <v>344.742336087571</v>
      </c>
      <c r="V3152">
        <v>315.595404646335</v>
      </c>
      <c r="W3152">
        <v>375.68713318171598</v>
      </c>
    </row>
    <row r="3153" spans="1:23" x14ac:dyDescent="0.2">
      <c r="A3153" t="s">
        <v>6309</v>
      </c>
      <c r="B3153" s="3" t="str">
        <f>HYPERLINK("http://www.ncbi.nlm.nih.gov/gene/67417","Ears2")</f>
        <v>Ears2</v>
      </c>
      <c r="C3153">
        <v>67417</v>
      </c>
      <c r="D3153" t="s">
        <v>6310</v>
      </c>
      <c r="E3153" s="3" t="str">
        <f>HYPERLINK("http://genome.ucsc.edu/cgi-bin/hgTracks?db=mm10&amp;lastVirtModeType=default&amp;lastVirtModeExtraState=&amp;virtModeType=default&amp;virtMode=0&amp;nonVirtPosition=&amp;position=chr7:122034161-122067086","chr7:122034161-122067086")</f>
        <v>chr7:122034161-122067086</v>
      </c>
      <c r="F3153" t="s">
        <v>25</v>
      </c>
      <c r="G3153">
        <v>0.55253253372281197</v>
      </c>
      <c r="H3153">
        <v>0.20834907025118199</v>
      </c>
      <c r="I3153">
        <v>2.65195584053573</v>
      </c>
      <c r="J3153">
        <v>8.0027007642514501E-3</v>
      </c>
      <c r="K3153">
        <v>3.3912710738636401E-2</v>
      </c>
      <c r="L3153" t="s">
        <v>26</v>
      </c>
      <c r="M3153" t="s">
        <v>27</v>
      </c>
      <c r="N3153">
        <v>67.786578381401</v>
      </c>
      <c r="O3153">
        <v>51.270982960335502</v>
      </c>
      <c r="P3153">
        <v>80.173274947199999</v>
      </c>
      <c r="Q3153">
        <v>49.5545365945095</v>
      </c>
      <c r="R3153">
        <v>50.440903847064803</v>
      </c>
      <c r="S3153">
        <v>53.817508439432203</v>
      </c>
      <c r="T3153">
        <v>91.659094311625296</v>
      </c>
      <c r="U3153">
        <v>81.367756343650299</v>
      </c>
      <c r="V3153">
        <v>61.7949044062753</v>
      </c>
      <c r="W3153">
        <v>85.871344727249294</v>
      </c>
    </row>
    <row r="3154" spans="1:23" x14ac:dyDescent="0.2">
      <c r="A3154" t="s">
        <v>6311</v>
      </c>
      <c r="B3154" s="3" t="str">
        <f>HYPERLINK("http://www.ncbi.nlm.nih.gov/gene/54130","Actr1a")</f>
        <v>Actr1a</v>
      </c>
      <c r="C3154">
        <v>54130</v>
      </c>
      <c r="D3154" t="s">
        <v>6312</v>
      </c>
      <c r="E3154" s="3" t="str">
        <f>HYPERLINK("http://genome.ucsc.edu/cgi-bin/hgTracks?db=mm10&amp;lastVirtModeType=default&amp;lastVirtModeExtraState=&amp;virtModeType=default&amp;virtMode=0&amp;nonVirtPosition=&amp;position=chr19:46376813-46395735","chr19:46376813-46395735")</f>
        <v>chr19:46376813-46395735</v>
      </c>
      <c r="F3154" t="s">
        <v>25</v>
      </c>
      <c r="G3154">
        <v>-0.36177694287669698</v>
      </c>
      <c r="H3154">
        <v>0.13649864593843999</v>
      </c>
      <c r="I3154">
        <v>-2.6504068255728699</v>
      </c>
      <c r="J3154">
        <v>8.0394898978817207E-3</v>
      </c>
      <c r="K3154">
        <v>3.4057832718296099E-2</v>
      </c>
      <c r="L3154" t="s">
        <v>26</v>
      </c>
      <c r="M3154" t="s">
        <v>27</v>
      </c>
      <c r="N3154">
        <v>974.04266728416405</v>
      </c>
      <c r="O3154">
        <v>1123.30279972879</v>
      </c>
      <c r="P3154">
        <v>862.097567950692</v>
      </c>
      <c r="Q3154">
        <v>983.29563624611001</v>
      </c>
      <c r="R3154">
        <v>1185.5508678640999</v>
      </c>
      <c r="S3154">
        <v>1201.06189507617</v>
      </c>
      <c r="T3154">
        <v>737.85570920858299</v>
      </c>
      <c r="U3154">
        <v>961.42427890260501</v>
      </c>
      <c r="V3154">
        <v>960.76363279280497</v>
      </c>
      <c r="W3154">
        <v>788.34665089877501</v>
      </c>
    </row>
    <row r="3155" spans="1:23" x14ac:dyDescent="0.2">
      <c r="A3155" t="s">
        <v>6313</v>
      </c>
      <c r="B3155" s="3" t="str">
        <f>HYPERLINK("http://www.ncbi.nlm.nih.gov/gene/23874","Farsb")</f>
        <v>Farsb</v>
      </c>
      <c r="C3155">
        <v>23874</v>
      </c>
      <c r="D3155" t="s">
        <v>6314</v>
      </c>
      <c r="E3155" s="3" t="str">
        <f>HYPERLINK("http://genome.ucsc.edu/cgi-bin/hgTracks?db=mm10&amp;lastVirtModeType=default&amp;lastVirtModeExtraState=&amp;virtModeType=default&amp;virtMode=0&amp;nonVirtPosition=&amp;position=chr1:78424744-78488897","chr1:78424744-78488897")</f>
        <v>chr1:78424744-78488897</v>
      </c>
      <c r="F3155" t="s">
        <v>25</v>
      </c>
      <c r="G3155">
        <v>-0.45341160993971102</v>
      </c>
      <c r="H3155">
        <v>0.17111921858432</v>
      </c>
      <c r="I3155">
        <v>-2.64968256453492</v>
      </c>
      <c r="J3155">
        <v>8.0567430043634904E-3</v>
      </c>
      <c r="K3155">
        <v>3.4120128264209799E-2</v>
      </c>
      <c r="L3155" t="s">
        <v>26</v>
      </c>
      <c r="M3155" t="s">
        <v>27</v>
      </c>
      <c r="N3155">
        <v>269.31076250820098</v>
      </c>
      <c r="O3155">
        <v>320.06825202490199</v>
      </c>
      <c r="P3155">
        <v>231.242645370676</v>
      </c>
      <c r="Q3155">
        <v>260.02211898467402</v>
      </c>
      <c r="R3155">
        <v>397.45915211822501</v>
      </c>
      <c r="S3155">
        <v>302.72348497180599</v>
      </c>
      <c r="T3155">
        <v>252.062509356969</v>
      </c>
      <c r="U3155">
        <v>194.854363875584</v>
      </c>
      <c r="V3155">
        <v>228.788277027996</v>
      </c>
      <c r="W3155">
        <v>249.26543122215401</v>
      </c>
    </row>
    <row r="3156" spans="1:23" x14ac:dyDescent="0.2">
      <c r="A3156" t="s">
        <v>6315</v>
      </c>
      <c r="B3156" s="3" t="str">
        <f>HYPERLINK("http://www.ncbi.nlm.nih.gov/gene/67582","Slc25a26")</f>
        <v>Slc25a26</v>
      </c>
      <c r="C3156">
        <v>67582</v>
      </c>
      <c r="D3156" t="s">
        <v>6316</v>
      </c>
      <c r="E3156" s="3" t="str">
        <f>HYPERLINK("http://genome.ucsc.edu/cgi-bin/hgTracks?db=mm10&amp;lastVirtModeType=default&amp;lastVirtModeExtraState=&amp;virtModeType=default&amp;virtMode=0&amp;nonVirtPosition=&amp;position=chr6:94500313-94604652","chr6:94500313-94604652")</f>
        <v>chr6:94500313-94604652</v>
      </c>
      <c r="F3156" t="s">
        <v>30</v>
      </c>
      <c r="G3156">
        <v>0.79609902339845795</v>
      </c>
      <c r="H3156">
        <v>0.300642033208249</v>
      </c>
      <c r="I3156">
        <v>2.6479964059018202</v>
      </c>
      <c r="J3156">
        <v>8.0970386040236896E-3</v>
      </c>
      <c r="K3156">
        <v>3.4279938016592203E-2</v>
      </c>
      <c r="L3156" t="s">
        <v>26</v>
      </c>
      <c r="M3156" t="s">
        <v>27</v>
      </c>
      <c r="N3156">
        <v>46.055480801562801</v>
      </c>
      <c r="O3156">
        <v>27.849600740110901</v>
      </c>
      <c r="P3156">
        <v>59.7098908476517</v>
      </c>
      <c r="Q3156">
        <v>25.055664570257601</v>
      </c>
      <c r="R3156">
        <v>26.927099046177499</v>
      </c>
      <c r="S3156">
        <v>31.566038603897699</v>
      </c>
      <c r="T3156">
        <v>105.407958458369</v>
      </c>
      <c r="U3156">
        <v>59.955188884795</v>
      </c>
      <c r="V3156">
        <v>35.311373946442998</v>
      </c>
      <c r="W3156">
        <v>38.165042100999699</v>
      </c>
    </row>
    <row r="3157" spans="1:23" x14ac:dyDescent="0.2">
      <c r="A3157" t="s">
        <v>6317</v>
      </c>
      <c r="B3157" s="3" t="str">
        <f>HYPERLINK("http://www.ncbi.nlm.nih.gov/gene/11899","Astn1")</f>
        <v>Astn1</v>
      </c>
      <c r="C3157">
        <v>11899</v>
      </c>
      <c r="D3157" t="s">
        <v>6318</v>
      </c>
      <c r="E3157" s="3" t="str">
        <f>HYPERLINK("http://genome.ucsc.edu/cgi-bin/hgTracks?db=mm10&amp;lastVirtModeType=default&amp;lastVirtModeExtraState=&amp;virtModeType=default&amp;virtMode=0&amp;nonVirtPosition=&amp;position=chr1:158362303-158691786","chr1:158362303-158691786")</f>
        <v>chr1:158362303-158691786</v>
      </c>
      <c r="F3157" t="s">
        <v>30</v>
      </c>
      <c r="G3157">
        <v>-0.38345854002759899</v>
      </c>
      <c r="H3157">
        <v>0.14484862456945699</v>
      </c>
      <c r="I3157">
        <v>-2.6473053587314199</v>
      </c>
      <c r="J3157">
        <v>8.1136052145393302E-3</v>
      </c>
      <c r="K3157">
        <v>3.4339218529676398E-2</v>
      </c>
      <c r="L3157" t="s">
        <v>26</v>
      </c>
      <c r="M3157" t="s">
        <v>27</v>
      </c>
      <c r="N3157">
        <v>1471.29866081881</v>
      </c>
      <c r="O3157">
        <v>1705.5696883365699</v>
      </c>
      <c r="P3157">
        <v>1295.5953901805001</v>
      </c>
      <c r="Q3157">
        <v>2109.1301642696899</v>
      </c>
      <c r="R3157">
        <v>1424.10221011826</v>
      </c>
      <c r="S3157">
        <v>1583.4766906217501</v>
      </c>
      <c r="T3157">
        <v>1306.1420939406601</v>
      </c>
      <c r="U3157">
        <v>1312.59038522783</v>
      </c>
      <c r="V3157">
        <v>1256.4963895942701</v>
      </c>
      <c r="W3157">
        <v>1307.15269195924</v>
      </c>
    </row>
    <row r="3158" spans="1:23" x14ac:dyDescent="0.2">
      <c r="A3158" t="s">
        <v>6319</v>
      </c>
      <c r="B3158" s="3" t="str">
        <f>HYPERLINK("http://www.ncbi.nlm.nih.gov/gene/83771","Tas1r3")</f>
        <v>Tas1r3</v>
      </c>
      <c r="C3158">
        <v>83771</v>
      </c>
      <c r="D3158" t="s">
        <v>6320</v>
      </c>
      <c r="E3158" s="3" t="str">
        <f>HYPERLINK("http://genome.ucsc.edu/cgi-bin/hgTracks?db=mm10&amp;lastVirtModeType=default&amp;lastVirtModeExtraState=&amp;virtModeType=default&amp;virtMode=0&amp;nonVirtPosition=&amp;position=chr4:155859269-155863353","chr4:155859269-155863353")</f>
        <v>chr4:155859269-155863353</v>
      </c>
      <c r="F3158" t="s">
        <v>25</v>
      </c>
      <c r="G3158">
        <v>0.82483258365745304</v>
      </c>
      <c r="H3158">
        <v>0.31167808281480602</v>
      </c>
      <c r="I3158">
        <v>2.64642472197044</v>
      </c>
      <c r="J3158">
        <v>8.1347608602878093E-3</v>
      </c>
      <c r="K3158">
        <v>3.4417877624048701E-2</v>
      </c>
      <c r="L3158" t="s">
        <v>26</v>
      </c>
      <c r="M3158" t="s">
        <v>27</v>
      </c>
      <c r="N3158">
        <v>23.395076378152599</v>
      </c>
      <c r="O3158">
        <v>14.7965404545459</v>
      </c>
      <c r="P3158">
        <v>29.843978320857701</v>
      </c>
      <c r="Q3158">
        <v>11.692643466120201</v>
      </c>
      <c r="R3158">
        <v>12.5154122327304</v>
      </c>
      <c r="S3158">
        <v>20.181565664787101</v>
      </c>
      <c r="T3158">
        <v>22.914773577906299</v>
      </c>
      <c r="U3158">
        <v>42.825134917710699</v>
      </c>
      <c r="V3158">
        <v>25.012223212063802</v>
      </c>
      <c r="W3158">
        <v>28.623781575749799</v>
      </c>
    </row>
    <row r="3159" spans="1:23" x14ac:dyDescent="0.2">
      <c r="A3159" t="s">
        <v>6321</v>
      </c>
      <c r="B3159" s="3" t="str">
        <f>HYPERLINK("http://www.ncbi.nlm.nih.gov/gene/30951","Cbx8")</f>
        <v>Cbx8</v>
      </c>
      <c r="C3159">
        <v>30951</v>
      </c>
      <c r="D3159" t="s">
        <v>6322</v>
      </c>
      <c r="E3159" s="3" t="str">
        <f>HYPERLINK("http://genome.ucsc.edu/cgi-bin/hgTracks?db=mm10&amp;lastVirtModeType=default&amp;lastVirtModeExtraState=&amp;virtModeType=default&amp;virtMode=0&amp;nonVirtPosition=&amp;position=chr11:119038435-119040913","chr11:119038435-119040913")</f>
        <v>chr11:119038435-119040913</v>
      </c>
      <c r="F3159" t="s">
        <v>25</v>
      </c>
      <c r="G3159">
        <v>0.57173605659945403</v>
      </c>
      <c r="H3159">
        <v>0.21606040776165</v>
      </c>
      <c r="I3159">
        <v>2.64618614082304</v>
      </c>
      <c r="J3159">
        <v>8.1405008185367108E-3</v>
      </c>
      <c r="K3159">
        <v>3.44312844159902E-2</v>
      </c>
      <c r="L3159" t="s">
        <v>26</v>
      </c>
      <c r="M3159" t="s">
        <v>27</v>
      </c>
      <c r="N3159">
        <v>69.495281578799606</v>
      </c>
      <c r="O3159">
        <v>51.029540260784103</v>
      </c>
      <c r="P3159">
        <v>83.344587567311194</v>
      </c>
      <c r="Q3159">
        <v>53.452084416549603</v>
      </c>
      <c r="R3159">
        <v>48.923884182491499</v>
      </c>
      <c r="S3159">
        <v>50.7126521833111</v>
      </c>
      <c r="T3159">
        <v>109.99091317395001</v>
      </c>
      <c r="U3159">
        <v>89.932783327192496</v>
      </c>
      <c r="V3159">
        <v>65.473172525696498</v>
      </c>
      <c r="W3159">
        <v>67.981481242405707</v>
      </c>
    </row>
    <row r="3160" spans="1:23" x14ac:dyDescent="0.2">
      <c r="A3160" t="s">
        <v>6323</v>
      </c>
      <c r="B3160" s="3" t="str">
        <f>HYPERLINK("http://www.ncbi.nlm.nih.gov/gene/75770","Brsk2")</f>
        <v>Brsk2</v>
      </c>
      <c r="C3160">
        <v>75770</v>
      </c>
      <c r="D3160" t="s">
        <v>6324</v>
      </c>
      <c r="E3160" s="3" t="str">
        <f>HYPERLINK("http://genome.ucsc.edu/cgi-bin/hgTracks?db=mm10&amp;lastVirtModeType=default&amp;lastVirtModeExtraState=&amp;virtModeType=default&amp;virtMode=0&amp;nonVirtPosition=&amp;position=chr7:141949750-142004243","chr7:141949750-142004243")</f>
        <v>chr7:141949750-142004243</v>
      </c>
      <c r="F3160" t="s">
        <v>30</v>
      </c>
      <c r="G3160">
        <v>0.44694348246666898</v>
      </c>
      <c r="H3160">
        <v>0.16894507567490999</v>
      </c>
      <c r="I3160">
        <v>2.64549576648623</v>
      </c>
      <c r="J3160">
        <v>8.1571307730521504E-3</v>
      </c>
      <c r="K3160">
        <v>3.44862254213196E-2</v>
      </c>
      <c r="L3160" t="s">
        <v>26</v>
      </c>
      <c r="M3160" t="s">
        <v>27</v>
      </c>
      <c r="N3160">
        <v>283.50072695100403</v>
      </c>
      <c r="O3160">
        <v>231.967654444191</v>
      </c>
      <c r="P3160">
        <v>322.15053133111297</v>
      </c>
      <c r="Q3160">
        <v>170.378519077752</v>
      </c>
      <c r="R3160">
        <v>270.40875521020502</v>
      </c>
      <c r="S3160">
        <v>255.115689044616</v>
      </c>
      <c r="T3160">
        <v>316.22387537510701</v>
      </c>
      <c r="U3160">
        <v>342.60107934168599</v>
      </c>
      <c r="V3160">
        <v>299.41102492088203</v>
      </c>
      <c r="W3160">
        <v>330.366145686778</v>
      </c>
    </row>
    <row r="3161" spans="1:23" x14ac:dyDescent="0.2">
      <c r="A3161" t="s">
        <v>6325</v>
      </c>
      <c r="B3161" s="3" t="str">
        <f>HYPERLINK("http://www.ncbi.nlm.nih.gov/gene/20102","Rps4x")</f>
        <v>Rps4x</v>
      </c>
      <c r="C3161">
        <v>20102</v>
      </c>
      <c r="D3161" t="s">
        <v>6326</v>
      </c>
      <c r="E3161" s="3" t="str">
        <f>HYPERLINK("http://genome.ucsc.edu/cgi-bin/hgTracks?db=mm10&amp;lastVirtModeType=default&amp;lastVirtModeExtraState=&amp;virtModeType=default&amp;virtMode=0&amp;nonVirtPosition=&amp;position=chrX:102184940-102189391","chrX:102184940-102189391")</f>
        <v>chrX:102184940-102189391</v>
      </c>
      <c r="F3161" t="s">
        <v>25</v>
      </c>
      <c r="G3161">
        <v>-0.49988153673969199</v>
      </c>
      <c r="H3161">
        <v>0.18896407276102001</v>
      </c>
      <c r="I3161">
        <v>-2.6453787190112399</v>
      </c>
      <c r="J3161">
        <v>8.15995326219323E-3</v>
      </c>
      <c r="K3161">
        <v>3.44862254213196E-2</v>
      </c>
      <c r="L3161" t="s">
        <v>26</v>
      </c>
      <c r="M3161" t="s">
        <v>27</v>
      </c>
      <c r="N3161">
        <v>221.99155493185901</v>
      </c>
      <c r="O3161">
        <v>274.14211814204202</v>
      </c>
      <c r="P3161">
        <v>182.87863252422201</v>
      </c>
      <c r="Q3161">
        <v>231.625699138382</v>
      </c>
      <c r="R3161">
        <v>261.685892138908</v>
      </c>
      <c r="S3161">
        <v>329.11476314883498</v>
      </c>
      <c r="T3161">
        <v>119.15682260511301</v>
      </c>
      <c r="U3161">
        <v>188.43059363792699</v>
      </c>
      <c r="V3161">
        <v>229.52393065187999</v>
      </c>
      <c r="W3161">
        <v>194.40318320196701</v>
      </c>
    </row>
    <row r="3162" spans="1:23" x14ac:dyDescent="0.2">
      <c r="A3162" t="s">
        <v>6327</v>
      </c>
      <c r="B3162" s="3" t="str">
        <f>HYPERLINK("http://www.ncbi.nlm.nih.gov/gene/24015","Abce1")</f>
        <v>Abce1</v>
      </c>
      <c r="C3162">
        <v>24015</v>
      </c>
      <c r="D3162" t="s">
        <v>6328</v>
      </c>
      <c r="E3162" s="3" t="str">
        <f>HYPERLINK("http://genome.ucsc.edu/cgi-bin/hgTracks?db=mm10&amp;lastVirtModeType=default&amp;lastVirtModeExtraState=&amp;virtModeType=default&amp;virtMode=0&amp;nonVirtPosition=&amp;position=chr8:79683441-79711740","chr8:79683441-79711740")</f>
        <v>chr8:79683441-79711740</v>
      </c>
      <c r="F3162" t="s">
        <v>25</v>
      </c>
      <c r="G3162">
        <v>-0.36548093010679</v>
      </c>
      <c r="H3162">
        <v>0.13816099857022801</v>
      </c>
      <c r="I3162">
        <v>-2.64532635033768</v>
      </c>
      <c r="J3162">
        <v>8.1612163662282099E-3</v>
      </c>
      <c r="K3162">
        <v>3.44862254213196E-2</v>
      </c>
      <c r="L3162" t="s">
        <v>26</v>
      </c>
      <c r="M3162" t="s">
        <v>27</v>
      </c>
      <c r="N3162">
        <v>851.48669751387001</v>
      </c>
      <c r="O3162">
        <v>982.154264460474</v>
      </c>
      <c r="P3162">
        <v>753.486022303916</v>
      </c>
      <c r="Q3162">
        <v>837.41598919261003</v>
      </c>
      <c r="R3162">
        <v>1171.89769088293</v>
      </c>
      <c r="S3162">
        <v>937.14911330588097</v>
      </c>
      <c r="T3162">
        <v>714.94093563067702</v>
      </c>
      <c r="U3162">
        <v>717.32100987165404</v>
      </c>
      <c r="V3162">
        <v>804.069410905464</v>
      </c>
      <c r="W3162">
        <v>777.61273280786804</v>
      </c>
    </row>
    <row r="3163" spans="1:23" x14ac:dyDescent="0.2">
      <c r="A3163" t="s">
        <v>6329</v>
      </c>
      <c r="B3163" s="3" t="str">
        <f>HYPERLINK("http://www.ncbi.nlm.nih.gov/gene/279653","Pcdh19")</f>
        <v>Pcdh19</v>
      </c>
      <c r="C3163">
        <v>279653</v>
      </c>
      <c r="D3163" t="s">
        <v>6330</v>
      </c>
      <c r="E3163" s="3" t="str">
        <f>HYPERLINK("http://genome.ucsc.edu/cgi-bin/hgTracks?db=mm10&amp;lastVirtModeType=default&amp;lastVirtModeExtraState=&amp;virtModeType=default&amp;virtMode=0&amp;nonVirtPosition=&amp;position=chrX:133582860-133688993","chrX:133582860-133688993")</f>
        <v>chrX:133582860-133688993</v>
      </c>
      <c r="F3163" t="s">
        <v>25</v>
      </c>
      <c r="G3163">
        <v>-0.683485847931107</v>
      </c>
      <c r="H3163">
        <v>0.25842627938923401</v>
      </c>
      <c r="I3163">
        <v>-2.6448000936532501</v>
      </c>
      <c r="J3163">
        <v>8.1739191108146907E-3</v>
      </c>
      <c r="K3163">
        <v>3.4529006565589701E-2</v>
      </c>
      <c r="L3163" t="s">
        <v>26</v>
      </c>
      <c r="M3163" t="s">
        <v>27</v>
      </c>
      <c r="N3163">
        <v>168.12257585686999</v>
      </c>
      <c r="O3163">
        <v>221.223930097595</v>
      </c>
      <c r="P3163">
        <v>128.29656017632601</v>
      </c>
      <c r="Q3163">
        <v>350.22251143760099</v>
      </c>
      <c r="R3163">
        <v>177.870555671229</v>
      </c>
      <c r="S3163">
        <v>135.578723183954</v>
      </c>
      <c r="T3163">
        <v>109.99091317395001</v>
      </c>
      <c r="U3163">
        <v>143.46420197433099</v>
      </c>
      <c r="V3163">
        <v>121.382847940898</v>
      </c>
      <c r="W3163">
        <v>138.34827761612399</v>
      </c>
    </row>
    <row r="3164" spans="1:23" x14ac:dyDescent="0.2">
      <c r="A3164" t="s">
        <v>6331</v>
      </c>
      <c r="B3164" s="3" t="str">
        <f>HYPERLINK("http://www.ncbi.nlm.nih.gov/gene/54604","Pcnx")</f>
        <v>Pcnx</v>
      </c>
      <c r="C3164">
        <v>54604</v>
      </c>
      <c r="D3164" t="s">
        <v>6332</v>
      </c>
      <c r="E3164" s="3" t="str">
        <f>HYPERLINK("http://genome.ucsc.edu/cgi-bin/hgTracks?db=mm10&amp;lastVirtModeType=default&amp;lastVirtModeExtraState=&amp;virtModeType=default&amp;virtMode=0&amp;nonVirtPosition=&amp;position=chr12:81860029-82000924","chr12:81860029-82000924")</f>
        <v>chr12:81860029-82000924</v>
      </c>
      <c r="F3164" t="s">
        <v>30</v>
      </c>
      <c r="G3164">
        <v>0.32944735667981401</v>
      </c>
      <c r="H3164">
        <v>0.124577916751205</v>
      </c>
      <c r="I3164">
        <v>2.64450847526816</v>
      </c>
      <c r="J3164">
        <v>8.1809657907418992E-3</v>
      </c>
      <c r="K3164">
        <v>3.4547875403287499E-2</v>
      </c>
      <c r="L3164" t="s">
        <v>26</v>
      </c>
      <c r="M3164" t="s">
        <v>27</v>
      </c>
      <c r="N3164">
        <v>714.44428687056302</v>
      </c>
      <c r="O3164">
        <v>624.86346341566502</v>
      </c>
      <c r="P3164">
        <v>781.62990446173796</v>
      </c>
      <c r="Q3164">
        <v>616.36934842833796</v>
      </c>
      <c r="R3164">
        <v>582.914806112321</v>
      </c>
      <c r="S3164">
        <v>675.306235706336</v>
      </c>
      <c r="T3164">
        <v>687.44320733718996</v>
      </c>
      <c r="U3164">
        <v>775.13494201056403</v>
      </c>
      <c r="V3164">
        <v>907.79657187314001</v>
      </c>
      <c r="W3164">
        <v>756.14489662605604</v>
      </c>
    </row>
    <row r="3165" spans="1:23" x14ac:dyDescent="0.2">
      <c r="A3165" t="s">
        <v>6333</v>
      </c>
      <c r="B3165" s="3" t="str">
        <f>HYPERLINK("http://www.ncbi.nlm.nih.gov/gene/72147","Zbtb46")</f>
        <v>Zbtb46</v>
      </c>
      <c r="C3165">
        <v>72147</v>
      </c>
      <c r="D3165" t="s">
        <v>6334</v>
      </c>
      <c r="E3165" s="3" t="str">
        <f>HYPERLINK("http://genome.ucsc.edu/cgi-bin/hgTracks?db=mm10&amp;lastVirtModeType=default&amp;lastVirtModeExtraState=&amp;virtModeType=default&amp;virtMode=0&amp;nonVirtPosition=&amp;position=chr2:181390885-181424388","chr2:181390885-181424388")</f>
        <v>chr2:181390885-181424388</v>
      </c>
      <c r="F3165" t="s">
        <v>25</v>
      </c>
      <c r="G3165">
        <v>0.62469923861160204</v>
      </c>
      <c r="H3165">
        <v>0.23624548938587001</v>
      </c>
      <c r="I3165">
        <v>2.6442800674651301</v>
      </c>
      <c r="J3165">
        <v>8.1864888436489099E-3</v>
      </c>
      <c r="K3165">
        <v>3.4560300159300901E-2</v>
      </c>
      <c r="L3165" t="s">
        <v>26</v>
      </c>
      <c r="M3165" t="s">
        <v>27</v>
      </c>
      <c r="N3165">
        <v>67.6432610122706</v>
      </c>
      <c r="O3165">
        <v>49.841969320202502</v>
      </c>
      <c r="P3165">
        <v>80.994229781321593</v>
      </c>
      <c r="Q3165">
        <v>45.656988772469397</v>
      </c>
      <c r="R3165">
        <v>67.128120157371995</v>
      </c>
      <c r="S3165">
        <v>36.740799030766198</v>
      </c>
      <c r="T3165">
        <v>77.910230164881497</v>
      </c>
      <c r="U3165">
        <v>83.509013089535898</v>
      </c>
      <c r="V3165">
        <v>74.301016012307201</v>
      </c>
      <c r="W3165">
        <v>88.256659858561704</v>
      </c>
    </row>
    <row r="3166" spans="1:23" x14ac:dyDescent="0.2">
      <c r="A3166" t="s">
        <v>6335</v>
      </c>
      <c r="B3166" s="3" t="str">
        <f>HYPERLINK("http://www.ncbi.nlm.nih.gov/gene/67532","Mfap1a")</f>
        <v>Mfap1a</v>
      </c>
      <c r="C3166">
        <v>67532</v>
      </c>
      <c r="D3166" t="s">
        <v>6336</v>
      </c>
      <c r="E3166" s="3" t="str">
        <f>HYPERLINK("http://genome.ucsc.edu/cgi-bin/hgTracks?db=mm10&amp;lastVirtModeType=default&amp;lastVirtModeExtraState=&amp;virtModeType=default&amp;virtMode=0&amp;nonVirtPosition=&amp;position=chr2:121492680-121506656","chr2:121492680-121506656")</f>
        <v>chr2:121492680-121506656</v>
      </c>
      <c r="F3166" t="s">
        <v>25</v>
      </c>
      <c r="G3166">
        <v>-0.47743180211469799</v>
      </c>
      <c r="H3166">
        <v>0.18067074109783601</v>
      </c>
      <c r="I3166">
        <v>-2.6425518554560101</v>
      </c>
      <c r="J3166">
        <v>8.2283864229553798E-3</v>
      </c>
      <c r="K3166">
        <v>3.4726228361107898E-2</v>
      </c>
      <c r="L3166" t="s">
        <v>26</v>
      </c>
      <c r="M3166" t="s">
        <v>27</v>
      </c>
      <c r="N3166">
        <v>97.679695756603607</v>
      </c>
      <c r="O3166">
        <v>117.823090160251</v>
      </c>
      <c r="P3166">
        <v>82.572149953867793</v>
      </c>
      <c r="Q3166">
        <v>123.60794521327099</v>
      </c>
      <c r="R3166">
        <v>117.569024004437</v>
      </c>
      <c r="S3166">
        <v>112.292301263046</v>
      </c>
      <c r="T3166">
        <v>82.493184880462707</v>
      </c>
      <c r="U3166">
        <v>85.650269835421398</v>
      </c>
      <c r="V3166">
        <v>94.163663857181504</v>
      </c>
      <c r="W3166">
        <v>67.981481242405707</v>
      </c>
    </row>
    <row r="3167" spans="1:23" x14ac:dyDescent="0.2">
      <c r="A3167" t="s">
        <v>6337</v>
      </c>
      <c r="B3167" s="3" t="str">
        <f>HYPERLINK("http://www.ncbi.nlm.nih.gov/gene/20437","Siah1a")</f>
        <v>Siah1a</v>
      </c>
      <c r="C3167">
        <v>20437</v>
      </c>
      <c r="D3167" t="s">
        <v>6338</v>
      </c>
      <c r="E3167" s="3" t="str">
        <f>HYPERLINK("http://genome.ucsc.edu/cgi-bin/hgTracks?db=mm10&amp;lastVirtModeType=default&amp;lastVirtModeExtraState=&amp;virtModeType=default&amp;virtMode=0&amp;nonVirtPosition=&amp;position=chr8:86723937-86746006","chr8:86723937-86746006")</f>
        <v>chr8:86723937-86746006</v>
      </c>
      <c r="F3167" t="s">
        <v>25</v>
      </c>
      <c r="G3167">
        <v>-0.491601362618931</v>
      </c>
      <c r="H3167">
        <v>0.186047052570882</v>
      </c>
      <c r="I3167">
        <v>-2.64234964126419</v>
      </c>
      <c r="J3167">
        <v>8.2333012824687309E-3</v>
      </c>
      <c r="K3167">
        <v>3.4736023148562903E-2</v>
      </c>
      <c r="L3167" t="s">
        <v>26</v>
      </c>
      <c r="M3167" t="s">
        <v>27</v>
      </c>
      <c r="N3167">
        <v>86.577853576672197</v>
      </c>
      <c r="O3167">
        <v>106.35250109470201</v>
      </c>
      <c r="P3167">
        <v>71.746867938149805</v>
      </c>
      <c r="Q3167">
        <v>100.779450827036</v>
      </c>
      <c r="R3167">
        <v>103.915847023276</v>
      </c>
      <c r="S3167">
        <v>114.36220543379299</v>
      </c>
      <c r="T3167">
        <v>64.161366018137699</v>
      </c>
      <c r="U3167">
        <v>62.096445630680499</v>
      </c>
      <c r="V3167">
        <v>77.243630507844202</v>
      </c>
      <c r="W3167">
        <v>83.486029595936799</v>
      </c>
    </row>
    <row r="3168" spans="1:23" x14ac:dyDescent="0.2">
      <c r="A3168" t="s">
        <v>6339</v>
      </c>
      <c r="B3168" s="3" t="str">
        <f>HYPERLINK("http://www.ncbi.nlm.nih.gov/gene/72931","Swi5")</f>
        <v>Swi5</v>
      </c>
      <c r="C3168">
        <v>72931</v>
      </c>
      <c r="D3168" t="s">
        <v>6340</v>
      </c>
      <c r="E3168" s="3" t="str">
        <f>HYPERLINK("http://genome.ucsc.edu/cgi-bin/hgTracks?db=mm10&amp;lastVirtModeType=default&amp;lastVirtModeExtraState=&amp;virtModeType=default&amp;virtMode=0&amp;nonVirtPosition=&amp;position=chr2:32278804-32288069","chr2:32278804-32288069")</f>
        <v>chr2:32278804-32288069</v>
      </c>
      <c r="F3168" t="s">
        <v>25</v>
      </c>
      <c r="G3168">
        <v>-0.35299964498148301</v>
      </c>
      <c r="H3168">
        <v>0.13361642032990101</v>
      </c>
      <c r="I3168">
        <v>-2.6418882058801101</v>
      </c>
      <c r="J3168">
        <v>8.2445264070104204E-3</v>
      </c>
      <c r="K3168">
        <v>3.4772426178354798E-2</v>
      </c>
      <c r="L3168" t="s">
        <v>26</v>
      </c>
      <c r="M3168" t="s">
        <v>27</v>
      </c>
      <c r="N3168">
        <v>365.38206548137401</v>
      </c>
      <c r="O3168">
        <v>419.50974413693802</v>
      </c>
      <c r="P3168">
        <v>324.7863064897</v>
      </c>
      <c r="Q3168">
        <v>375.83496855386397</v>
      </c>
      <c r="R3168">
        <v>487.34256724419799</v>
      </c>
      <c r="S3168">
        <v>395.35169661275199</v>
      </c>
      <c r="T3168">
        <v>311.64092065952599</v>
      </c>
      <c r="U3168">
        <v>323.32976862871601</v>
      </c>
      <c r="V3168">
        <v>336.19370611509299</v>
      </c>
      <c r="W3168">
        <v>327.98083055546601</v>
      </c>
    </row>
    <row r="3169" spans="1:23" x14ac:dyDescent="0.2">
      <c r="A3169" t="s">
        <v>6341</v>
      </c>
      <c r="B3169" s="3" t="str">
        <f>HYPERLINK("http://www.ncbi.nlm.nih.gov/gene/76501","Commd9")</f>
        <v>Commd9</v>
      </c>
      <c r="C3169">
        <v>76501</v>
      </c>
      <c r="D3169" t="s">
        <v>6342</v>
      </c>
      <c r="E3169" s="3" t="str">
        <f>HYPERLINK("http://genome.ucsc.edu/cgi-bin/hgTracks?db=mm10&amp;lastVirtModeType=default&amp;lastVirtModeExtraState=&amp;virtModeType=default&amp;virtMode=0&amp;nonVirtPosition=&amp;position=chr2:101886261-101901639","chr2:101886261-101901639")</f>
        <v>chr2:101886261-101901639</v>
      </c>
      <c r="F3169" t="s">
        <v>30</v>
      </c>
      <c r="G3169">
        <v>-0.50073662635848903</v>
      </c>
      <c r="H3169">
        <v>0.189612080758846</v>
      </c>
      <c r="I3169">
        <v>-2.6408476946958901</v>
      </c>
      <c r="J3169">
        <v>8.2698887112654905E-3</v>
      </c>
      <c r="K3169">
        <v>3.4868413014029001E-2</v>
      </c>
      <c r="L3169" t="s">
        <v>26</v>
      </c>
      <c r="M3169" t="s">
        <v>27</v>
      </c>
      <c r="N3169">
        <v>105.50557389116901</v>
      </c>
      <c r="O3169">
        <v>128.393142585156</v>
      </c>
      <c r="P3169">
        <v>88.339897370679395</v>
      </c>
      <c r="Q3169">
        <v>109.131339017122</v>
      </c>
      <c r="R3169">
        <v>128.567416572594</v>
      </c>
      <c r="S3169">
        <v>147.480672165752</v>
      </c>
      <c r="T3169">
        <v>73.327275449300203</v>
      </c>
      <c r="U3169">
        <v>109.204094040162</v>
      </c>
      <c r="V3169">
        <v>80.186245003381103</v>
      </c>
      <c r="W3169">
        <v>90.6419749898742</v>
      </c>
    </row>
    <row r="3170" spans="1:23" x14ac:dyDescent="0.2">
      <c r="A3170" t="s">
        <v>6343</v>
      </c>
      <c r="B3170" s="3" t="str">
        <f>HYPERLINK("http://www.ncbi.nlm.nih.gov/gene/66705","Dnase1l2")</f>
        <v>Dnase1l2</v>
      </c>
      <c r="C3170">
        <v>66705</v>
      </c>
      <c r="D3170" t="s">
        <v>6344</v>
      </c>
      <c r="E3170" s="3" t="str">
        <f>HYPERLINK("http://genome.ucsc.edu/cgi-bin/hgTracks?db=mm10&amp;lastVirtModeType=default&amp;lastVirtModeExtraState=&amp;virtModeType=default&amp;virtMode=0&amp;nonVirtPosition=&amp;position=chr17:24440767-24443101","chr17:24440767-24443101")</f>
        <v>chr17:24440767-24443101</v>
      </c>
      <c r="F3170" t="s">
        <v>25</v>
      </c>
      <c r="G3170">
        <v>0.95196386339599104</v>
      </c>
      <c r="H3170">
        <v>0.36052734638893202</v>
      </c>
      <c r="I3170">
        <v>2.64047616063228</v>
      </c>
      <c r="J3170">
        <v>8.2789616981591308E-3</v>
      </c>
      <c r="K3170">
        <v>3.4895680232939499E-2</v>
      </c>
      <c r="L3170" t="s">
        <v>26</v>
      </c>
      <c r="M3170" t="s">
        <v>27</v>
      </c>
      <c r="N3170">
        <v>17.207825322522599</v>
      </c>
      <c r="O3170">
        <v>8.8569218998133792</v>
      </c>
      <c r="P3170">
        <v>23.471002889554502</v>
      </c>
      <c r="Q3170">
        <v>9.4654732820973209</v>
      </c>
      <c r="R3170">
        <v>9.8606278197269592</v>
      </c>
      <c r="S3170">
        <v>7.2446645976158699</v>
      </c>
      <c r="T3170">
        <v>32.0806830090688</v>
      </c>
      <c r="U3170">
        <v>14.9887972211987</v>
      </c>
      <c r="V3170">
        <v>11.0348043582635</v>
      </c>
      <c r="W3170">
        <v>35.779726969687196</v>
      </c>
    </row>
    <row r="3171" spans="1:23" x14ac:dyDescent="0.2">
      <c r="A3171" t="s">
        <v>6345</v>
      </c>
      <c r="B3171" s="3" t="str">
        <f>HYPERLINK("http://www.ncbi.nlm.nih.gov/gene/74173","Rab10os")</f>
        <v>Rab10os</v>
      </c>
      <c r="C3171">
        <v>74173</v>
      </c>
      <c r="D3171" t="s">
        <v>6346</v>
      </c>
      <c r="E3171" s="3" t="str">
        <f>HYPERLINK("http://genome.ucsc.edu/cgi-bin/hgTracks?db=mm10&amp;lastVirtModeType=default&amp;lastVirtModeExtraState=&amp;virtModeType=default&amp;virtMode=0&amp;nonVirtPosition=&amp;position=chr12:3235790-3250374","chr12:3235790-3250374")</f>
        <v>chr12:3235790-3250374</v>
      </c>
      <c r="F3171" t="s">
        <v>30</v>
      </c>
      <c r="G3171">
        <v>0.43656567246301398</v>
      </c>
      <c r="H3171">
        <v>0.16535116025320501</v>
      </c>
      <c r="I3171">
        <v>2.6402334993869498</v>
      </c>
      <c r="J3171">
        <v>8.2848923745344298E-3</v>
      </c>
      <c r="K3171">
        <v>3.4909689675075697E-2</v>
      </c>
      <c r="L3171" t="s">
        <v>26</v>
      </c>
      <c r="M3171" t="s">
        <v>27</v>
      </c>
      <c r="N3171">
        <v>135.16189259627299</v>
      </c>
      <c r="O3171">
        <v>113.22515284174401</v>
      </c>
      <c r="P3171">
        <v>151.61444741216999</v>
      </c>
      <c r="Q3171">
        <v>107.460961379105</v>
      </c>
      <c r="R3171">
        <v>105.43286668784999</v>
      </c>
      <c r="S3171">
        <v>126.781630458278</v>
      </c>
      <c r="T3171">
        <v>114.573867889532</v>
      </c>
      <c r="U3171">
        <v>179.86556665438499</v>
      </c>
      <c r="V3171">
        <v>158.16552913510901</v>
      </c>
      <c r="W3171">
        <v>153.85282596965499</v>
      </c>
    </row>
    <row r="3172" spans="1:23" x14ac:dyDescent="0.2">
      <c r="A3172" t="s">
        <v>6347</v>
      </c>
      <c r="B3172" s="3" t="str">
        <f>HYPERLINK("http://www.ncbi.nlm.nih.gov/gene/327655","Ppip5k1")</f>
        <v>Ppip5k1</v>
      </c>
      <c r="C3172">
        <v>327655</v>
      </c>
      <c r="D3172" t="s">
        <v>6348</v>
      </c>
      <c r="E3172" s="3" t="str">
        <f>HYPERLINK("http://genome.ucsc.edu/cgi-bin/hgTracks?db=mm10&amp;lastVirtModeType=default&amp;lastVirtModeExtraState=&amp;virtModeType=default&amp;virtMode=0&amp;nonVirtPosition=&amp;position=chr2:121310560-121351013","chr2:121310560-121351013")</f>
        <v>chr2:121310560-121351013</v>
      </c>
      <c r="F3172" t="s">
        <v>25</v>
      </c>
      <c r="G3172">
        <v>0.45050224741825301</v>
      </c>
      <c r="H3172">
        <v>0.17064802985689201</v>
      </c>
      <c r="I3172">
        <v>2.6399498886453698</v>
      </c>
      <c r="J3172">
        <v>8.2918286798724598E-3</v>
      </c>
      <c r="K3172">
        <v>3.4927926345445802E-2</v>
      </c>
      <c r="L3172" t="s">
        <v>26</v>
      </c>
      <c r="M3172" t="s">
        <v>27</v>
      </c>
      <c r="N3172">
        <v>177.124157663213</v>
      </c>
      <c r="O3172">
        <v>145.62850433793801</v>
      </c>
      <c r="P3172">
        <v>200.74589765716999</v>
      </c>
      <c r="Q3172">
        <v>139.19813650143101</v>
      </c>
      <c r="R3172">
        <v>171.42322209679199</v>
      </c>
      <c r="S3172">
        <v>126.26415441559099</v>
      </c>
      <c r="T3172">
        <v>192.48409805441301</v>
      </c>
      <c r="U3172">
        <v>173.44179641672801</v>
      </c>
      <c r="V3172">
        <v>194.948210329321</v>
      </c>
      <c r="W3172">
        <v>242.109485828217</v>
      </c>
    </row>
    <row r="3173" spans="1:23" x14ac:dyDescent="0.2">
      <c r="A3173" t="s">
        <v>6349</v>
      </c>
      <c r="B3173" s="3" t="str">
        <f>HYPERLINK("http://www.ncbi.nlm.nih.gov/gene/216831","Arhgap44")</f>
        <v>Arhgap44</v>
      </c>
      <c r="C3173">
        <v>216831</v>
      </c>
      <c r="D3173" t="s">
        <v>6350</v>
      </c>
      <c r="E3173" s="3" t="str">
        <f>HYPERLINK("http://genome.ucsc.edu/cgi-bin/hgTracks?db=mm10&amp;lastVirtModeType=default&amp;lastVirtModeExtraState=&amp;virtModeType=default&amp;virtMode=0&amp;nonVirtPosition=&amp;position=chr11:65002038-65162961","chr11:65002038-65162961")</f>
        <v>chr11:65002038-65162961</v>
      </c>
      <c r="F3173" t="s">
        <v>25</v>
      </c>
      <c r="G3173">
        <v>-0.55628531552666005</v>
      </c>
      <c r="H3173">
        <v>0.21073812178785101</v>
      </c>
      <c r="I3173">
        <v>-2.6396995038546902</v>
      </c>
      <c r="J3173">
        <v>8.2979566916035995E-3</v>
      </c>
      <c r="K3173">
        <v>3.4942747816749602E-2</v>
      </c>
      <c r="L3173" t="s">
        <v>26</v>
      </c>
      <c r="M3173" t="s">
        <v>27</v>
      </c>
      <c r="N3173">
        <v>170.805992908528</v>
      </c>
      <c r="O3173">
        <v>209.418660651697</v>
      </c>
      <c r="P3173">
        <v>141.84649210115199</v>
      </c>
      <c r="Q3173">
        <v>270.04438481277703</v>
      </c>
      <c r="R3173">
        <v>205.55616454969299</v>
      </c>
      <c r="S3173">
        <v>152.65543259262</v>
      </c>
      <c r="T3173">
        <v>183.31818862325099</v>
      </c>
      <c r="U3173">
        <v>122.051634515476</v>
      </c>
      <c r="V3173">
        <v>117.704579821477</v>
      </c>
      <c r="W3173">
        <v>144.31156544440501</v>
      </c>
    </row>
    <row r="3174" spans="1:23" x14ac:dyDescent="0.2">
      <c r="A3174" t="s">
        <v>6351</v>
      </c>
      <c r="B3174" s="3" t="str">
        <f>HYPERLINK("http://www.ncbi.nlm.nih.gov/gene/56220","Zfp386")</f>
        <v>Zfp386</v>
      </c>
      <c r="C3174">
        <v>56220</v>
      </c>
      <c r="D3174" t="s">
        <v>6352</v>
      </c>
      <c r="E3174" s="3" t="str">
        <f>HYPERLINK("http://genome.ucsc.edu/cgi-bin/hgTracks?db=mm10&amp;lastVirtModeType=default&amp;lastVirtModeExtraState=&amp;virtModeType=default&amp;virtMode=0&amp;nonVirtPosition=&amp;position=chr12:116047723-116063207","chr12:116047723-116063207")</f>
        <v>chr12:116047723-116063207</v>
      </c>
      <c r="F3174" t="s">
        <v>30</v>
      </c>
      <c r="G3174">
        <v>-0.45641793806207598</v>
      </c>
      <c r="H3174">
        <v>0.172935313121757</v>
      </c>
      <c r="I3174">
        <v>-2.6392408226116801</v>
      </c>
      <c r="J3174">
        <v>8.3091931402463695E-3</v>
      </c>
      <c r="K3174">
        <v>3.4979064866720901E-2</v>
      </c>
      <c r="L3174" t="s">
        <v>26</v>
      </c>
      <c r="M3174" t="s">
        <v>27</v>
      </c>
      <c r="N3174">
        <v>243.09342763426801</v>
      </c>
      <c r="O3174">
        <v>294.01656888025798</v>
      </c>
      <c r="P3174">
        <v>204.901071699775</v>
      </c>
      <c r="Q3174">
        <v>357.46081453567501</v>
      </c>
      <c r="R3174">
        <v>277.23534370078499</v>
      </c>
      <c r="S3174">
        <v>247.35354840431299</v>
      </c>
      <c r="T3174">
        <v>155.82046032976299</v>
      </c>
      <c r="U3174">
        <v>203.419390859126</v>
      </c>
      <c r="V3174">
        <v>236.14481326683801</v>
      </c>
      <c r="W3174">
        <v>224.219622343373</v>
      </c>
    </row>
    <row r="3175" spans="1:23" x14ac:dyDescent="0.2">
      <c r="A3175" t="s">
        <v>6353</v>
      </c>
      <c r="B3175" s="3" t="str">
        <f>HYPERLINK("http://www.ncbi.nlm.nih.gov/gene/20788","Srebf2")</f>
        <v>Srebf2</v>
      </c>
      <c r="C3175">
        <v>20788</v>
      </c>
      <c r="D3175" t="s">
        <v>6354</v>
      </c>
      <c r="E3175" s="3" t="str">
        <f>HYPERLINK("http://genome.ucsc.edu/cgi-bin/hgTracks?db=mm10&amp;lastVirtModeType=default&amp;lastVirtModeExtraState=&amp;virtModeType=default&amp;virtMode=0&amp;nonVirtPosition=&amp;position=chr15:82147268-82204960","chr15:82147268-82204960")</f>
        <v>chr15:82147268-82204960</v>
      </c>
      <c r="F3175" t="s">
        <v>30</v>
      </c>
      <c r="G3175">
        <v>0.61412670388651303</v>
      </c>
      <c r="H3175">
        <v>0.23273761921384301</v>
      </c>
      <c r="I3175">
        <v>2.6387083702280298</v>
      </c>
      <c r="J3175">
        <v>8.3222538534318997E-3</v>
      </c>
      <c r="K3175">
        <v>3.50230362511963E-2</v>
      </c>
      <c r="L3175" t="s">
        <v>26</v>
      </c>
      <c r="M3175" t="s">
        <v>27</v>
      </c>
      <c r="N3175">
        <v>953.58492344322303</v>
      </c>
      <c r="O3175">
        <v>711.21856372979903</v>
      </c>
      <c r="P3175">
        <v>1135.3596932282901</v>
      </c>
      <c r="Q3175">
        <v>402.00421821613298</v>
      </c>
      <c r="R3175">
        <v>740.68485122795198</v>
      </c>
      <c r="S3175">
        <v>990.96662174531298</v>
      </c>
      <c r="T3175">
        <v>893.67616953834602</v>
      </c>
      <c r="U3175">
        <v>1353.27426339966</v>
      </c>
      <c r="V3175">
        <v>1104.2160894502299</v>
      </c>
      <c r="W3175">
        <v>1190.2722505249301</v>
      </c>
    </row>
    <row r="3176" spans="1:23" x14ac:dyDescent="0.2">
      <c r="A3176" t="s">
        <v>6355</v>
      </c>
      <c r="B3176" s="3" t="str">
        <f>HYPERLINK("http://www.ncbi.nlm.nih.gov/gene/67890","Ufm1")</f>
        <v>Ufm1</v>
      </c>
      <c r="C3176">
        <v>67890</v>
      </c>
      <c r="D3176" t="s">
        <v>6356</v>
      </c>
      <c r="E3176" s="3" t="str">
        <f>HYPERLINK("http://genome.ucsc.edu/cgi-bin/hgTracks?db=mm10&amp;lastVirtModeType=default&amp;lastVirtModeExtraState=&amp;virtModeType=default&amp;virtMode=0&amp;nonVirtPosition=&amp;position=chr3:53853375-53863807","chr3:53853375-53863807")</f>
        <v>chr3:53853375-53863807</v>
      </c>
      <c r="F3176" t="s">
        <v>25</v>
      </c>
      <c r="G3176">
        <v>-0.38214389267611998</v>
      </c>
      <c r="H3176">
        <v>0.144828436151173</v>
      </c>
      <c r="I3176">
        <v>-2.63859710725065</v>
      </c>
      <c r="J3176">
        <v>8.3249853812076696E-3</v>
      </c>
      <c r="K3176">
        <v>3.5023524737590898E-2</v>
      </c>
      <c r="L3176" t="s">
        <v>26</v>
      </c>
      <c r="M3176" t="s">
        <v>27</v>
      </c>
      <c r="N3176">
        <v>177.61745906489099</v>
      </c>
      <c r="O3176">
        <v>203.35722140748999</v>
      </c>
      <c r="P3176">
        <v>158.312637307942</v>
      </c>
      <c r="Q3176">
        <v>206.57003456812399</v>
      </c>
      <c r="R3176">
        <v>216.17530220170599</v>
      </c>
      <c r="S3176">
        <v>187.32632745263899</v>
      </c>
      <c r="T3176">
        <v>187.90114333883199</v>
      </c>
      <c r="U3176">
        <v>141.32294522844501</v>
      </c>
      <c r="V3176">
        <v>153.75160739180399</v>
      </c>
      <c r="W3176">
        <v>150.27485327268599</v>
      </c>
    </row>
    <row r="3177" spans="1:23" x14ac:dyDescent="0.2">
      <c r="A3177" t="s">
        <v>6357</v>
      </c>
      <c r="B3177" s="3" t="str">
        <f>HYPERLINK("http://www.ncbi.nlm.nih.gov/gene/18845","Plxna2")</f>
        <v>Plxna2</v>
      </c>
      <c r="C3177">
        <v>18845</v>
      </c>
      <c r="D3177" t="s">
        <v>6358</v>
      </c>
      <c r="E3177" s="3" t="str">
        <f>HYPERLINK("http://genome.ucsc.edu/cgi-bin/hgTracks?db=mm10&amp;lastVirtModeType=default&amp;lastVirtModeExtraState=&amp;virtModeType=default&amp;virtMode=0&amp;nonVirtPosition=&amp;position=chr1:194619828-194816868","chr1:194619828-194816868")</f>
        <v>chr1:194619828-194816868</v>
      </c>
      <c r="F3177" t="s">
        <v>30</v>
      </c>
      <c r="G3177">
        <v>0.57392176847073195</v>
      </c>
      <c r="H3177">
        <v>0.21753497073630201</v>
      </c>
      <c r="I3177">
        <v>2.63829657607763</v>
      </c>
      <c r="J3177">
        <v>8.3323674895968598E-3</v>
      </c>
      <c r="K3177">
        <v>3.5043571938816402E-2</v>
      </c>
      <c r="L3177" t="s">
        <v>26</v>
      </c>
      <c r="M3177" t="s">
        <v>27</v>
      </c>
      <c r="N3177">
        <v>678.97876086900203</v>
      </c>
      <c r="O3177">
        <v>519.96831791554098</v>
      </c>
      <c r="P3177">
        <v>798.23659308409799</v>
      </c>
      <c r="Q3177">
        <v>506.68121686520999</v>
      </c>
      <c r="R3177">
        <v>480.89523366976101</v>
      </c>
      <c r="S3177">
        <v>572.32850321165301</v>
      </c>
      <c r="T3177">
        <v>710.35798091509605</v>
      </c>
      <c r="U3177">
        <v>561.00926742201</v>
      </c>
      <c r="V3177">
        <v>681.21525571679695</v>
      </c>
      <c r="W3177">
        <v>1240.3638682824901</v>
      </c>
    </row>
    <row r="3178" spans="1:23" x14ac:dyDescent="0.2">
      <c r="A3178" t="s">
        <v>6359</v>
      </c>
      <c r="B3178" s="3" t="str">
        <f>HYPERLINK("http://www.ncbi.nlm.nih.gov/gene/67923","Tceb1")</f>
        <v>Tceb1</v>
      </c>
      <c r="C3178">
        <v>67923</v>
      </c>
      <c r="D3178" t="s">
        <v>6360</v>
      </c>
      <c r="E3178" s="3" t="str">
        <f>HYPERLINK("http://genome.ucsc.edu/cgi-bin/hgTracks?db=mm10&amp;lastVirtModeType=default&amp;lastVirtModeExtraState=&amp;virtModeType=default&amp;virtMode=0&amp;nonVirtPosition=&amp;position=chr1:16641724-16657119","chr1:16641724-16657119")</f>
        <v>chr1:16641724-16657119</v>
      </c>
      <c r="F3178" t="s">
        <v>25</v>
      </c>
      <c r="G3178">
        <v>-0.461982093593379</v>
      </c>
      <c r="H3178">
        <v>0.17514070606974</v>
      </c>
      <c r="I3178">
        <v>-2.6377768136290398</v>
      </c>
      <c r="J3178">
        <v>8.3451485164006498E-3</v>
      </c>
      <c r="K3178">
        <v>3.5086305740383399E-2</v>
      </c>
      <c r="L3178" t="s">
        <v>26</v>
      </c>
      <c r="M3178" t="s">
        <v>27</v>
      </c>
      <c r="N3178">
        <v>232.31937822478</v>
      </c>
      <c r="O3178">
        <v>276.71626680819298</v>
      </c>
      <c r="P3178">
        <v>199.02171178722099</v>
      </c>
      <c r="Q3178">
        <v>221.04664076427301</v>
      </c>
      <c r="R3178">
        <v>347.77675810344698</v>
      </c>
      <c r="S3178">
        <v>261.32540155685803</v>
      </c>
      <c r="T3178">
        <v>206.23296220115699</v>
      </c>
      <c r="U3178">
        <v>209.84316109678201</v>
      </c>
      <c r="V3178">
        <v>202.30474656816301</v>
      </c>
      <c r="W3178">
        <v>177.70597728278</v>
      </c>
    </row>
    <row r="3179" spans="1:23" x14ac:dyDescent="0.2">
      <c r="A3179" t="s">
        <v>6361</v>
      </c>
      <c r="B3179" s="3" t="str">
        <f>HYPERLINK("http://www.ncbi.nlm.nih.gov/gene/320706","Soga1")</f>
        <v>Soga1</v>
      </c>
      <c r="C3179">
        <v>320706</v>
      </c>
      <c r="D3179" t="s">
        <v>6362</v>
      </c>
      <c r="E3179" s="3" t="str">
        <f>HYPERLINK("http://genome.ucsc.edu/cgi-bin/hgTracks?db=mm10&amp;lastVirtModeType=default&amp;lastVirtModeExtraState=&amp;virtModeType=default&amp;virtMode=0&amp;nonVirtPosition=&amp;position=chr2:157010441-157079265","chr2:157010441-157079265")</f>
        <v>chr2:157010441-157079265</v>
      </c>
      <c r="F3179" t="s">
        <v>25</v>
      </c>
      <c r="G3179">
        <v>0.51099050158245696</v>
      </c>
      <c r="H3179">
        <v>0.193765470436146</v>
      </c>
      <c r="I3179">
        <v>2.6371597603653001</v>
      </c>
      <c r="J3179">
        <v>8.3603447043946698E-3</v>
      </c>
      <c r="K3179">
        <v>3.5139163821892298E-2</v>
      </c>
      <c r="L3179" t="s">
        <v>26</v>
      </c>
      <c r="M3179" t="s">
        <v>27</v>
      </c>
      <c r="N3179">
        <v>1194.93228318514</v>
      </c>
      <c r="O3179">
        <v>947.19487969422096</v>
      </c>
      <c r="P3179">
        <v>1380.7353358033399</v>
      </c>
      <c r="Q3179">
        <v>824.60976063447902</v>
      </c>
      <c r="R3179">
        <v>704.65563419433397</v>
      </c>
      <c r="S3179">
        <v>1312.31924425385</v>
      </c>
      <c r="T3179">
        <v>1255.72959206927</v>
      </c>
      <c r="U3179">
        <v>1608.08381616004</v>
      </c>
      <c r="V3179">
        <v>1363.9018186813601</v>
      </c>
      <c r="W3179">
        <v>1295.2261163026801</v>
      </c>
    </row>
    <row r="3180" spans="1:23" x14ac:dyDescent="0.2">
      <c r="A3180" t="s">
        <v>6363</v>
      </c>
      <c r="B3180" s="3" t="str">
        <f>HYPERLINK("http://www.ncbi.nlm.nih.gov/gene/21936","Tnfrsf18")</f>
        <v>Tnfrsf18</v>
      </c>
      <c r="C3180">
        <v>21936</v>
      </c>
      <c r="D3180" t="s">
        <v>6364</v>
      </c>
      <c r="E3180" s="3" t="str">
        <f>HYPERLINK("http://genome.ucsc.edu/cgi-bin/hgTracks?db=mm10&amp;lastVirtModeType=default&amp;lastVirtModeExtraState=&amp;virtModeType=default&amp;virtMode=0&amp;nonVirtPosition=&amp;position=chr4:156026341-156028891","chr4:156026341-156028891")</f>
        <v>chr4:156026341-156028891</v>
      </c>
      <c r="F3180" t="s">
        <v>30</v>
      </c>
      <c r="G3180">
        <v>0.75776615745607501</v>
      </c>
      <c r="H3180">
        <v>0.28737247617142703</v>
      </c>
      <c r="I3180">
        <v>2.6368779903752602</v>
      </c>
      <c r="J3180">
        <v>8.3672920905251101E-3</v>
      </c>
      <c r="K3180">
        <v>3.5149801151044303E-2</v>
      </c>
      <c r="L3180" t="s">
        <v>26</v>
      </c>
      <c r="M3180" t="s">
        <v>27</v>
      </c>
      <c r="N3180">
        <v>36.308927385554703</v>
      </c>
      <c r="O3180">
        <v>25.111137704836299</v>
      </c>
      <c r="P3180">
        <v>44.707269646093501</v>
      </c>
      <c r="Q3180">
        <v>20.0445316562061</v>
      </c>
      <c r="R3180">
        <v>20.1005105555973</v>
      </c>
      <c r="S3180">
        <v>35.1883709027056</v>
      </c>
      <c r="T3180">
        <v>27.497728293487601</v>
      </c>
      <c r="U3180">
        <v>57.8139321389095</v>
      </c>
      <c r="V3180">
        <v>52.967060919664597</v>
      </c>
      <c r="W3180">
        <v>40.550357232312201</v>
      </c>
    </row>
    <row r="3181" spans="1:23" x14ac:dyDescent="0.2">
      <c r="A3181" t="s">
        <v>6365</v>
      </c>
      <c r="B3181" s="3" t="str">
        <f>HYPERLINK("http://www.ncbi.nlm.nih.gov/gene/59052","Mettl9")</f>
        <v>Mettl9</v>
      </c>
      <c r="C3181">
        <v>59052</v>
      </c>
      <c r="D3181" t="s">
        <v>6366</v>
      </c>
      <c r="E3181" s="3" t="str">
        <f>HYPERLINK("http://genome.ucsc.edu/cgi-bin/hgTracks?db=mm10&amp;lastVirtModeType=default&amp;lastVirtModeExtraState=&amp;virtModeType=default&amp;virtMode=0&amp;nonVirtPosition=&amp;position=chr7:121034444-121076835","chr7:121034444-121076835")</f>
        <v>chr7:121034444-121076835</v>
      </c>
      <c r="F3181" t="s">
        <v>30</v>
      </c>
      <c r="G3181">
        <v>-0.343374125938186</v>
      </c>
      <c r="H3181">
        <v>0.130221620423042</v>
      </c>
      <c r="I3181">
        <v>-2.6368442108360499</v>
      </c>
      <c r="J3181">
        <v>8.3681253132349594E-3</v>
      </c>
      <c r="K3181">
        <v>3.5149801151044303E-2</v>
      </c>
      <c r="L3181" t="s">
        <v>26</v>
      </c>
      <c r="M3181" t="s">
        <v>27</v>
      </c>
      <c r="N3181">
        <v>395.73212383215002</v>
      </c>
      <c r="O3181">
        <v>451.13688048618098</v>
      </c>
      <c r="P3181">
        <v>354.178556341628</v>
      </c>
      <c r="Q3181">
        <v>423.16233496435098</v>
      </c>
      <c r="R3181">
        <v>461.93248786259397</v>
      </c>
      <c r="S3181">
        <v>468.31581863159698</v>
      </c>
      <c r="T3181">
        <v>352.88751309975697</v>
      </c>
      <c r="U3181">
        <v>391.84998449705301</v>
      </c>
      <c r="V3181">
        <v>377.39030905261001</v>
      </c>
      <c r="W3181">
        <v>294.58641871709102</v>
      </c>
    </row>
    <row r="3182" spans="1:23" x14ac:dyDescent="0.2">
      <c r="A3182" t="s">
        <v>6367</v>
      </c>
      <c r="B3182" s="3" t="str">
        <f>HYPERLINK("http://www.ncbi.nlm.nih.gov/gene/102791","Tcta")</f>
        <v>Tcta</v>
      </c>
      <c r="C3182">
        <v>102791</v>
      </c>
      <c r="D3182" t="s">
        <v>6368</v>
      </c>
      <c r="E3182" s="3" t="str">
        <f>HYPERLINK("http://genome.ucsc.edu/cgi-bin/hgTracks?db=mm10&amp;lastVirtModeType=default&amp;lastVirtModeExtraState=&amp;virtModeType=default&amp;virtMode=0&amp;nonVirtPosition=&amp;position=chr9:108302954-108306159","chr9:108302954-108306159")</f>
        <v>chr9:108302954-108306159</v>
      </c>
      <c r="F3182" t="s">
        <v>25</v>
      </c>
      <c r="G3182">
        <v>-0.65832388641447803</v>
      </c>
      <c r="H3182">
        <v>0.24968487686068</v>
      </c>
      <c r="I3182">
        <v>-2.6366189842639498</v>
      </c>
      <c r="J3182">
        <v>8.3736827599772898E-3</v>
      </c>
      <c r="K3182">
        <v>3.5162115346144801E-2</v>
      </c>
      <c r="L3182" t="s">
        <v>26</v>
      </c>
      <c r="M3182" t="s">
        <v>27</v>
      </c>
      <c r="N3182">
        <v>57.251519835602203</v>
      </c>
      <c r="O3182">
        <v>77.032528412959294</v>
      </c>
      <c r="P3182">
        <v>42.415763402584403</v>
      </c>
      <c r="Q3182">
        <v>72.383030980744294</v>
      </c>
      <c r="R3182">
        <v>78.505767641672307</v>
      </c>
      <c r="S3182">
        <v>80.208786616461396</v>
      </c>
      <c r="T3182">
        <v>9.1659094311625307</v>
      </c>
      <c r="U3182">
        <v>64.237702376566105</v>
      </c>
      <c r="V3182">
        <v>48.553139176359203</v>
      </c>
      <c r="W3182">
        <v>47.706302626249602</v>
      </c>
    </row>
    <row r="3183" spans="1:23" x14ac:dyDescent="0.2">
      <c r="A3183" t="s">
        <v>6369</v>
      </c>
      <c r="B3183" s="3" t="str">
        <f>HYPERLINK("http://www.ncbi.nlm.nih.gov/gene/232333","Slc6a1")</f>
        <v>Slc6a1</v>
      </c>
      <c r="C3183">
        <v>232333</v>
      </c>
      <c r="D3183" t="s">
        <v>6370</v>
      </c>
      <c r="E3183" s="3" t="str">
        <f>HYPERLINK("http://genome.ucsc.edu/cgi-bin/hgTracks?db=mm10&amp;lastVirtModeType=default&amp;lastVirtModeExtraState=&amp;virtModeType=default&amp;virtMode=0&amp;nonVirtPosition=&amp;position=chr6:114282634-114317525","chr6:114282634-114317525")</f>
        <v>chr6:114282634-114317525</v>
      </c>
      <c r="F3183" t="s">
        <v>30</v>
      </c>
      <c r="G3183">
        <v>-0.54793382029668303</v>
      </c>
      <c r="H3183">
        <v>0.207877901833594</v>
      </c>
      <c r="I3183">
        <v>-2.6358444811286601</v>
      </c>
      <c r="J3183">
        <v>8.3928187648007607E-3</v>
      </c>
      <c r="K3183">
        <v>3.5231421968478699E-2</v>
      </c>
      <c r="L3183" t="s">
        <v>26</v>
      </c>
      <c r="M3183" t="s">
        <v>27</v>
      </c>
      <c r="N3183">
        <v>1231.6509865000901</v>
      </c>
      <c r="O3183">
        <v>1524.6475981590399</v>
      </c>
      <c r="P3183">
        <v>1011.90352775587</v>
      </c>
      <c r="Q3183">
        <v>2160.9118710482198</v>
      </c>
      <c r="R3183">
        <v>1428.27401419584</v>
      </c>
      <c r="S3183">
        <v>984.75690923307104</v>
      </c>
      <c r="T3183">
        <v>971.58639970322804</v>
      </c>
      <c r="U3183">
        <v>1094.1821971475099</v>
      </c>
      <c r="V3183">
        <v>993.13239224371102</v>
      </c>
      <c r="W3183">
        <v>988.71312192902303</v>
      </c>
    </row>
    <row r="3184" spans="1:23" x14ac:dyDescent="0.2">
      <c r="A3184" t="s">
        <v>6371</v>
      </c>
      <c r="B3184" s="3" t="str">
        <f>HYPERLINK("http://www.ncbi.nlm.nih.gov/gene/100502766","Kifc1")</f>
        <v>Kifc1</v>
      </c>
      <c r="C3184">
        <v>100502766</v>
      </c>
      <c r="D3184" t="s">
        <v>6372</v>
      </c>
      <c r="E3184" s="3" t="str">
        <f>HYPERLINK("http://genome.ucsc.edu/cgi-bin/hgTracks?db=mm10&amp;lastVirtModeType=default&amp;lastVirtModeExtraState=&amp;virtModeType=default&amp;virtMode=0&amp;nonVirtPosition=&amp;position=chr17:33875665-33890633","chr17:33875665-33890633")</f>
        <v>chr17:33875665-33890633</v>
      </c>
      <c r="F3184" t="s">
        <v>25</v>
      </c>
      <c r="G3184">
        <v>0.80230639012076899</v>
      </c>
      <c r="H3184">
        <v>0.30439976850844702</v>
      </c>
      <c r="I3184">
        <v>2.6356997380518901</v>
      </c>
      <c r="J3184">
        <v>8.3963993334633495E-3</v>
      </c>
      <c r="K3184">
        <v>3.5235406917708503E-2</v>
      </c>
      <c r="L3184" t="s">
        <v>26</v>
      </c>
      <c r="M3184" t="s">
        <v>27</v>
      </c>
      <c r="N3184">
        <v>99.305248142472095</v>
      </c>
      <c r="O3184">
        <v>63.579150182688998</v>
      </c>
      <c r="P3184">
        <v>126.099821612309</v>
      </c>
      <c r="Q3184">
        <v>23.9420794782462</v>
      </c>
      <c r="R3184">
        <v>64.852590660511893</v>
      </c>
      <c r="S3184">
        <v>101.94278040930899</v>
      </c>
      <c r="T3184">
        <v>137.48864146743799</v>
      </c>
      <c r="U3184">
        <v>137.04043173667401</v>
      </c>
      <c r="V3184">
        <v>102.255853719908</v>
      </c>
      <c r="W3184">
        <v>127.61435952521801</v>
      </c>
    </row>
    <row r="3185" spans="1:23" x14ac:dyDescent="0.2">
      <c r="A3185" t="s">
        <v>6373</v>
      </c>
      <c r="B3185" s="3" t="str">
        <f>HYPERLINK("http://www.ncbi.nlm.nih.gov/gene/50927","Nasp")</f>
        <v>Nasp</v>
      </c>
      <c r="C3185">
        <v>50927</v>
      </c>
      <c r="D3185" t="s">
        <v>6374</v>
      </c>
      <c r="E3185" s="3" t="str">
        <f>HYPERLINK("http://genome.ucsc.edu/cgi-bin/hgTracks?db=mm10&amp;lastVirtModeType=default&amp;lastVirtModeExtraState=&amp;virtModeType=default&amp;virtMode=0&amp;nonVirtPosition=&amp;position=chr4:116601051-116627497","chr4:116601051-116627497")</f>
        <v>chr4:116601051-116627497</v>
      </c>
      <c r="F3185" t="s">
        <v>25</v>
      </c>
      <c r="G3185">
        <v>0.51940094555112604</v>
      </c>
      <c r="H3185">
        <v>0.19708165947537101</v>
      </c>
      <c r="I3185">
        <v>2.6354605848852901</v>
      </c>
      <c r="J3185">
        <v>8.4023183569213507E-3</v>
      </c>
      <c r="K3185">
        <v>3.5249199598224902E-2</v>
      </c>
      <c r="L3185" t="s">
        <v>26</v>
      </c>
      <c r="M3185" t="s">
        <v>27</v>
      </c>
      <c r="N3185">
        <v>521.85975974266603</v>
      </c>
      <c r="O3185">
        <v>409.29843942870599</v>
      </c>
      <c r="P3185">
        <v>606.28074997813701</v>
      </c>
      <c r="Q3185">
        <v>271.71476245079401</v>
      </c>
      <c r="R3185">
        <v>537.02496125897596</v>
      </c>
      <c r="S3185">
        <v>419.15559457634703</v>
      </c>
      <c r="T3185">
        <v>710.35798091509605</v>
      </c>
      <c r="U3185">
        <v>605.97565908560603</v>
      </c>
      <c r="V3185">
        <v>545.85498892209898</v>
      </c>
      <c r="W3185">
        <v>562.93437098974505</v>
      </c>
    </row>
    <row r="3186" spans="1:23" x14ac:dyDescent="0.2">
      <c r="A3186" t="s">
        <v>6375</v>
      </c>
      <c r="B3186" s="3" t="str">
        <f>HYPERLINK("http://www.ncbi.nlm.nih.gov/gene/106529","Tecr")</f>
        <v>Tecr</v>
      </c>
      <c r="C3186">
        <v>106529</v>
      </c>
      <c r="D3186" t="s">
        <v>6376</v>
      </c>
      <c r="E3186" s="3" t="str">
        <f>HYPERLINK("http://genome.ucsc.edu/cgi-bin/hgTracks?db=mm10&amp;lastVirtModeType=default&amp;lastVirtModeExtraState=&amp;virtModeType=default&amp;virtMode=0&amp;nonVirtPosition=&amp;position=chr8:83571697-83594491","chr8:83571697-83594491")</f>
        <v>chr8:83571697-83594491</v>
      </c>
      <c r="F3186" t="s">
        <v>25</v>
      </c>
      <c r="G3186">
        <v>-0.47601303480446</v>
      </c>
      <c r="H3186">
        <v>0.18066784862579399</v>
      </c>
      <c r="I3186">
        <v>-2.6347412581991598</v>
      </c>
      <c r="J3186">
        <v>8.4201441410990206E-3</v>
      </c>
      <c r="K3186">
        <v>3.5312918945648898E-2</v>
      </c>
      <c r="L3186" t="s">
        <v>26</v>
      </c>
      <c r="M3186" t="s">
        <v>27</v>
      </c>
      <c r="N3186">
        <v>460.680822475029</v>
      </c>
      <c r="O3186">
        <v>557.25856173141199</v>
      </c>
      <c r="P3186">
        <v>388.24751803274103</v>
      </c>
      <c r="Q3186">
        <v>540.64556217155905</v>
      </c>
      <c r="R3186">
        <v>695.93277112303701</v>
      </c>
      <c r="S3186">
        <v>435.19735189963899</v>
      </c>
      <c r="T3186">
        <v>288.72614708162001</v>
      </c>
      <c r="U3186">
        <v>419.68632219356499</v>
      </c>
      <c r="V3186">
        <v>391.36772790640998</v>
      </c>
      <c r="W3186">
        <v>453.209874949371</v>
      </c>
    </row>
    <row r="3187" spans="1:23" x14ac:dyDescent="0.2">
      <c r="A3187" t="s">
        <v>6377</v>
      </c>
      <c r="B3187" s="3" t="str">
        <f>HYPERLINK("http://www.ncbi.nlm.nih.gov/gene/70461","Crtc3")</f>
        <v>Crtc3</v>
      </c>
      <c r="C3187">
        <v>70461</v>
      </c>
      <c r="D3187" t="s">
        <v>6378</v>
      </c>
      <c r="E3187" s="3" t="str">
        <f>HYPERLINK("http://genome.ucsc.edu/cgi-bin/hgTracks?db=mm10&amp;lastVirtModeType=default&amp;lastVirtModeExtraState=&amp;virtModeType=default&amp;virtMode=0&amp;nonVirtPosition=&amp;position=chr7:80586631-80688877","chr7:80586631-80688877")</f>
        <v>chr7:80586631-80688877</v>
      </c>
      <c r="F3187" t="s">
        <v>25</v>
      </c>
      <c r="G3187">
        <v>0.39764605332341701</v>
      </c>
      <c r="H3187">
        <v>0.150958534008723</v>
      </c>
      <c r="I3187">
        <v>2.63414093104825</v>
      </c>
      <c r="J3187">
        <v>8.4350468582308404E-3</v>
      </c>
      <c r="K3187">
        <v>3.5355849871642302E-2</v>
      </c>
      <c r="L3187" t="s">
        <v>26</v>
      </c>
      <c r="M3187" t="s">
        <v>27</v>
      </c>
      <c r="N3187">
        <v>176.49691794976201</v>
      </c>
      <c r="O3187">
        <v>149.23249951109199</v>
      </c>
      <c r="P3187">
        <v>196.945231778764</v>
      </c>
      <c r="Q3187">
        <v>149.77719487554</v>
      </c>
      <c r="R3187">
        <v>128.18816165645001</v>
      </c>
      <c r="S3187">
        <v>169.73214200128601</v>
      </c>
      <c r="T3187">
        <v>187.90114333883199</v>
      </c>
      <c r="U3187">
        <v>199.136877367355</v>
      </c>
      <c r="V3187">
        <v>201.56909294427899</v>
      </c>
      <c r="W3187">
        <v>199.173813464592</v>
      </c>
    </row>
    <row r="3188" spans="1:23" x14ac:dyDescent="0.2">
      <c r="A3188" t="s">
        <v>6379</v>
      </c>
      <c r="B3188" s="3" t="str">
        <f>HYPERLINK("http://www.ncbi.nlm.nih.gov/gene/276952","Rasl10b")</f>
        <v>Rasl10b</v>
      </c>
      <c r="C3188">
        <v>276952</v>
      </c>
      <c r="D3188" t="s">
        <v>6380</v>
      </c>
      <c r="E3188" s="3" t="str">
        <f>HYPERLINK("http://genome.ucsc.edu/cgi-bin/hgTracks?db=mm10&amp;lastVirtModeType=default&amp;lastVirtModeExtraState=&amp;virtModeType=default&amp;virtMode=0&amp;nonVirtPosition=&amp;position=chr11:83410071-83421038","chr11:83410071-83421038")</f>
        <v>chr11:83410071-83421038</v>
      </c>
      <c r="F3188" t="s">
        <v>30</v>
      </c>
      <c r="G3188">
        <v>-0.53990006815993397</v>
      </c>
      <c r="H3188">
        <v>0.20496440822103101</v>
      </c>
      <c r="I3188">
        <v>-2.6341162002024801</v>
      </c>
      <c r="J3188">
        <v>8.4356612904112702E-3</v>
      </c>
      <c r="K3188">
        <v>3.5355849871642302E-2</v>
      </c>
      <c r="L3188" t="s">
        <v>26</v>
      </c>
      <c r="M3188" t="s">
        <v>27</v>
      </c>
      <c r="N3188">
        <v>210.56556157180401</v>
      </c>
      <c r="O3188">
        <v>256.86005034730499</v>
      </c>
      <c r="P3188">
        <v>175.84469499017899</v>
      </c>
      <c r="Q3188">
        <v>335.189112695446</v>
      </c>
      <c r="R3188">
        <v>252.204519235324</v>
      </c>
      <c r="S3188">
        <v>183.18651911114401</v>
      </c>
      <c r="T3188">
        <v>219.98182634790101</v>
      </c>
      <c r="U3188">
        <v>171.30053967084299</v>
      </c>
      <c r="V3188">
        <v>152.280300144036</v>
      </c>
      <c r="W3188">
        <v>159.816113797936</v>
      </c>
    </row>
    <row r="3189" spans="1:23" x14ac:dyDescent="0.2">
      <c r="A3189" t="s">
        <v>6381</v>
      </c>
      <c r="B3189" s="3" t="str">
        <f>HYPERLINK("http://www.ncbi.nlm.nih.gov/gene/17149","Magoh")</f>
        <v>Magoh</v>
      </c>
      <c r="C3189">
        <v>17149</v>
      </c>
      <c r="D3189" t="s">
        <v>6382</v>
      </c>
      <c r="E3189" s="3" t="str">
        <f>HYPERLINK("http://genome.ucsc.edu/cgi-bin/hgTracks?db=mm10&amp;lastVirtModeType=default&amp;lastVirtModeExtraState=&amp;virtModeType=default&amp;virtMode=0&amp;nonVirtPosition=&amp;position=chr4:107879754-107887424","chr4:107879754-107887424")</f>
        <v>chr4:107879754-107887424</v>
      </c>
      <c r="F3189" t="s">
        <v>30</v>
      </c>
      <c r="G3189">
        <v>-0.58508948567866104</v>
      </c>
      <c r="H3189">
        <v>0.22213031924080201</v>
      </c>
      <c r="I3189">
        <v>-2.6339920082876702</v>
      </c>
      <c r="J3189">
        <v>8.4387474152562095E-3</v>
      </c>
      <c r="K3189">
        <v>3.5357717971744702E-2</v>
      </c>
      <c r="L3189" t="s">
        <v>26</v>
      </c>
      <c r="M3189" t="s">
        <v>27</v>
      </c>
      <c r="N3189">
        <v>98.318860531062498</v>
      </c>
      <c r="O3189">
        <v>125.27593039855</v>
      </c>
      <c r="P3189">
        <v>78.101058130446603</v>
      </c>
      <c r="Q3189">
        <v>99.109073189019</v>
      </c>
      <c r="R3189">
        <v>160.804084444778</v>
      </c>
      <c r="S3189">
        <v>115.914633561854</v>
      </c>
      <c r="T3189">
        <v>50.4125018713939</v>
      </c>
      <c r="U3189">
        <v>98.497810310734593</v>
      </c>
      <c r="V3189">
        <v>82.3932058750338</v>
      </c>
      <c r="W3189">
        <v>81.100714464624303</v>
      </c>
    </row>
    <row r="3190" spans="1:23" x14ac:dyDescent="0.2">
      <c r="A3190" t="s">
        <v>6383</v>
      </c>
      <c r="B3190" s="3" t="str">
        <f>HYPERLINK("http://www.ncbi.nlm.nih.gov/gene/72507","Dzip1l")</f>
        <v>Dzip1l</v>
      </c>
      <c r="C3190">
        <v>72507</v>
      </c>
      <c r="D3190" t="s">
        <v>6384</v>
      </c>
      <c r="E3190" s="3" t="str">
        <f>HYPERLINK("http://genome.ucsc.edu/cgi-bin/hgTracks?db=mm10&amp;lastVirtModeType=default&amp;lastVirtModeExtraState=&amp;virtModeType=default&amp;virtMode=0&amp;nonVirtPosition=&amp;position=chr9:99629530-99670075","chr9:99629530-99670075")</f>
        <v>chr9:99629530-99670075</v>
      </c>
      <c r="F3190" t="s">
        <v>30</v>
      </c>
      <c r="G3190">
        <v>0.53129823865585202</v>
      </c>
      <c r="H3190">
        <v>0.20175722342864499</v>
      </c>
      <c r="I3190">
        <v>2.63335423449537</v>
      </c>
      <c r="J3190">
        <v>8.4546117795695607E-3</v>
      </c>
      <c r="K3190">
        <v>3.5402034502881798E-2</v>
      </c>
      <c r="L3190" t="s">
        <v>26</v>
      </c>
      <c r="M3190" t="s">
        <v>27</v>
      </c>
      <c r="N3190">
        <v>183.72735806139599</v>
      </c>
      <c r="O3190">
        <v>143.491188266813</v>
      </c>
      <c r="P3190">
        <v>213.904485407332</v>
      </c>
      <c r="Q3190">
        <v>128.61907812732201</v>
      </c>
      <c r="R3190">
        <v>125.91263215959</v>
      </c>
      <c r="S3190">
        <v>175.941854513528</v>
      </c>
      <c r="T3190">
        <v>192.48409805441301</v>
      </c>
      <c r="U3190">
        <v>278.36337696511998</v>
      </c>
      <c r="V3190">
        <v>158.16552913510901</v>
      </c>
      <c r="W3190">
        <v>226.60493747468601</v>
      </c>
    </row>
    <row r="3191" spans="1:23" x14ac:dyDescent="0.2">
      <c r="A3191" t="s">
        <v>6385</v>
      </c>
      <c r="B3191" s="3" t="str">
        <f>HYPERLINK("http://www.ncbi.nlm.nih.gov/gene/66071","Ethe1")</f>
        <v>Ethe1</v>
      </c>
      <c r="C3191">
        <v>66071</v>
      </c>
      <c r="D3191" t="s">
        <v>6386</v>
      </c>
      <c r="E3191" s="3" t="str">
        <f>HYPERLINK("http://genome.ucsc.edu/cgi-bin/hgTracks?db=mm10&amp;lastVirtModeType=default&amp;lastVirtModeExtraState=&amp;virtModeType=default&amp;virtMode=0&amp;nonVirtPosition=&amp;position=chr7:24587542-24608926","chr7:24587542-24608926")</f>
        <v>chr7:24587542-24608926</v>
      </c>
      <c r="F3191" t="s">
        <v>30</v>
      </c>
      <c r="G3191">
        <v>-0.634443951151763</v>
      </c>
      <c r="H3191">
        <v>0.24102924084080901</v>
      </c>
      <c r="I3191">
        <v>-2.6322281435171999</v>
      </c>
      <c r="J3191">
        <v>8.4826879683122802E-3</v>
      </c>
      <c r="K3191">
        <v>3.5508494711994298E-2</v>
      </c>
      <c r="L3191" t="s">
        <v>26</v>
      </c>
      <c r="M3191" t="s">
        <v>27</v>
      </c>
      <c r="N3191">
        <v>43.188993198557696</v>
      </c>
      <c r="O3191">
        <v>55.252707468651501</v>
      </c>
      <c r="P3191">
        <v>34.141207495987203</v>
      </c>
      <c r="Q3191">
        <v>50.668121686520998</v>
      </c>
      <c r="R3191">
        <v>51.957923511638199</v>
      </c>
      <c r="S3191">
        <v>63.132077207795398</v>
      </c>
      <c r="T3191">
        <v>32.0806830090688</v>
      </c>
      <c r="U3191">
        <v>38.5426214259396</v>
      </c>
      <c r="V3191">
        <v>30.1617985792534</v>
      </c>
      <c r="W3191">
        <v>35.779726969687196</v>
      </c>
    </row>
    <row r="3192" spans="1:23" x14ac:dyDescent="0.2">
      <c r="A3192" t="s">
        <v>6387</v>
      </c>
      <c r="B3192" s="3" t="str">
        <f>HYPERLINK("http://www.ncbi.nlm.nih.gov/gene/232816","Zfp628")</f>
        <v>Zfp628</v>
      </c>
      <c r="C3192">
        <v>232816</v>
      </c>
      <c r="D3192" t="s">
        <v>6388</v>
      </c>
      <c r="E3192" s="3" t="str">
        <f>HYPERLINK("http://genome.ucsc.edu/cgi-bin/hgTracks?db=mm10&amp;lastVirtModeType=default&amp;lastVirtModeExtraState=&amp;virtModeType=default&amp;virtMode=0&amp;nonVirtPosition=&amp;position=chr7:4915216-4922003","chr7:4915216-4922003")</f>
        <v>chr7:4915216-4922003</v>
      </c>
      <c r="F3192" t="s">
        <v>30</v>
      </c>
      <c r="G3192">
        <v>0.72205506446309897</v>
      </c>
      <c r="H3192">
        <v>0.274413248570195</v>
      </c>
      <c r="I3192">
        <v>2.6312689646921199</v>
      </c>
      <c r="J3192">
        <v>8.5066683526373692E-3</v>
      </c>
      <c r="K3192">
        <v>3.5597748721927197E-2</v>
      </c>
      <c r="L3192" t="s">
        <v>26</v>
      </c>
      <c r="M3192" t="s">
        <v>27</v>
      </c>
      <c r="N3192">
        <v>66.268201371347203</v>
      </c>
      <c r="O3192">
        <v>45.340320812646397</v>
      </c>
      <c r="P3192">
        <v>81.964111790372897</v>
      </c>
      <c r="Q3192">
        <v>33.407552760343499</v>
      </c>
      <c r="R3192">
        <v>32.236667872184299</v>
      </c>
      <c r="S3192">
        <v>70.376741805411299</v>
      </c>
      <c r="T3192">
        <v>87.076139596044001</v>
      </c>
      <c r="U3192">
        <v>98.497810310734593</v>
      </c>
      <c r="V3192">
        <v>74.301016012307201</v>
      </c>
      <c r="W3192">
        <v>67.981481242405707</v>
      </c>
    </row>
    <row r="3193" spans="1:23" x14ac:dyDescent="0.2">
      <c r="A3193" t="s">
        <v>6389</v>
      </c>
      <c r="B3193" s="3" t="str">
        <f>HYPERLINK("http://www.ncbi.nlm.nih.gov/gene/474332","Dnm3os")</f>
        <v>Dnm3os</v>
      </c>
      <c r="C3193">
        <v>474332</v>
      </c>
      <c r="D3193" t="s">
        <v>6390</v>
      </c>
      <c r="E3193" s="3" t="str">
        <f>HYPERLINK("http://genome.ucsc.edu/cgi-bin/hgTracks?db=mm10&amp;lastVirtModeType=default&amp;lastVirtModeExtraState=&amp;virtModeType=default&amp;virtMode=0&amp;nonVirtPosition=&amp;position=chr1:162217622-162225550","chr1:162217622-162225550")</f>
        <v>chr1:162217622-162225550</v>
      </c>
      <c r="F3193" t="s">
        <v>30</v>
      </c>
      <c r="G3193">
        <v>0.63681104583501702</v>
      </c>
      <c r="H3193">
        <v>0.24218901738448601</v>
      </c>
      <c r="I3193">
        <v>2.6293968765067901</v>
      </c>
      <c r="J3193">
        <v>8.5536470212103591E-3</v>
      </c>
      <c r="K3193">
        <v>3.5783157532342402E-2</v>
      </c>
      <c r="L3193" t="s">
        <v>26</v>
      </c>
      <c r="M3193" t="s">
        <v>27</v>
      </c>
      <c r="N3193">
        <v>93.2003153835619</v>
      </c>
      <c r="O3193">
        <v>70.944178138078897</v>
      </c>
      <c r="P3193">
        <v>109.892418317674</v>
      </c>
      <c r="Q3193">
        <v>77.394163894795795</v>
      </c>
      <c r="R3193">
        <v>61.439296415221797</v>
      </c>
      <c r="S3193">
        <v>73.999074104219204</v>
      </c>
      <c r="T3193">
        <v>64.161366018137699</v>
      </c>
      <c r="U3193">
        <v>83.509013089535898</v>
      </c>
      <c r="V3193">
        <v>146.395071152962</v>
      </c>
      <c r="W3193">
        <v>145.504223010061</v>
      </c>
    </row>
    <row r="3194" spans="1:23" x14ac:dyDescent="0.2">
      <c r="A3194" t="s">
        <v>6391</v>
      </c>
      <c r="B3194" s="3" t="str">
        <f>HYPERLINK("http://www.ncbi.nlm.nih.gov/gene/11799","Birc5")</f>
        <v>Birc5</v>
      </c>
      <c r="C3194">
        <v>11799</v>
      </c>
      <c r="D3194" t="s">
        <v>6392</v>
      </c>
      <c r="E3194" s="3" t="str">
        <f>HYPERLINK("http://genome.ucsc.edu/cgi-bin/hgTracks?db=mm10&amp;lastVirtModeType=default&amp;lastVirtModeExtraState=&amp;virtModeType=default&amp;virtMode=0&amp;nonVirtPosition=&amp;position=chr11:117849236-117855743","chr11:117849236-117855743")</f>
        <v>chr11:117849236-117855743</v>
      </c>
      <c r="F3194" t="s">
        <v>30</v>
      </c>
      <c r="G3194">
        <v>0.70455186007494697</v>
      </c>
      <c r="H3194">
        <v>0.26798744856214401</v>
      </c>
      <c r="I3194">
        <v>2.6290479791316299</v>
      </c>
      <c r="J3194">
        <v>8.5624279414658697E-3</v>
      </c>
      <c r="K3194">
        <v>3.5808704735843098E-2</v>
      </c>
      <c r="L3194" t="s">
        <v>26</v>
      </c>
      <c r="M3194" t="s">
        <v>27</v>
      </c>
      <c r="N3194">
        <v>157.90335571817801</v>
      </c>
      <c r="O3194">
        <v>109.58747675054001</v>
      </c>
      <c r="P3194">
        <v>194.140264943906</v>
      </c>
      <c r="Q3194">
        <v>52.338499324538098</v>
      </c>
      <c r="R3194">
        <v>134.63549523088699</v>
      </c>
      <c r="S3194">
        <v>141.78843569619599</v>
      </c>
      <c r="T3194">
        <v>247.47955464138801</v>
      </c>
      <c r="U3194">
        <v>143.46420197433099</v>
      </c>
      <c r="V3194">
        <v>206.718668311469</v>
      </c>
      <c r="W3194">
        <v>178.89863484843599</v>
      </c>
    </row>
    <row r="3195" spans="1:23" x14ac:dyDescent="0.2">
      <c r="A3195" t="s">
        <v>6393</v>
      </c>
      <c r="B3195" s="3" t="str">
        <f>HYPERLINK("http://www.ncbi.nlm.nih.gov/gene/16651","Sspn")</f>
        <v>Sspn</v>
      </c>
      <c r="C3195">
        <v>16651</v>
      </c>
      <c r="D3195" t="s">
        <v>6394</v>
      </c>
      <c r="E3195" s="3" t="str">
        <f>HYPERLINK("http://genome.ucsc.edu/cgi-bin/hgTracks?db=mm10&amp;lastVirtModeType=default&amp;lastVirtModeExtraState=&amp;virtModeType=default&amp;virtMode=0&amp;nonVirtPosition=&amp;position=chr6:145931872-145965225","chr6:145931872-145965225")</f>
        <v>chr6:145931872-145965225</v>
      </c>
      <c r="F3195" t="s">
        <v>30</v>
      </c>
      <c r="G3195">
        <v>-0.65357718941473797</v>
      </c>
      <c r="H3195">
        <v>0.24861698143576799</v>
      </c>
      <c r="I3195">
        <v>-2.62885176081021</v>
      </c>
      <c r="J3195">
        <v>8.5673698315767398E-3</v>
      </c>
      <c r="K3195">
        <v>3.58181858928018E-2</v>
      </c>
      <c r="L3195" t="s">
        <v>26</v>
      </c>
      <c r="M3195" t="s">
        <v>27</v>
      </c>
      <c r="N3195">
        <v>133.48018812898701</v>
      </c>
      <c r="O3195">
        <v>175.44179159095199</v>
      </c>
      <c r="P3195">
        <v>102.00898553251299</v>
      </c>
      <c r="Q3195">
        <v>251.11343824858201</v>
      </c>
      <c r="R3195">
        <v>142.22059355375399</v>
      </c>
      <c r="S3195">
        <v>132.99134297052001</v>
      </c>
      <c r="T3195">
        <v>59.578411302556397</v>
      </c>
      <c r="U3195">
        <v>126.33414800724699</v>
      </c>
      <c r="V3195">
        <v>124.325462436435</v>
      </c>
      <c r="W3195">
        <v>97.7979203838117</v>
      </c>
    </row>
    <row r="3196" spans="1:23" x14ac:dyDescent="0.2">
      <c r="A3196" t="s">
        <v>6395</v>
      </c>
      <c r="B3196" s="3" t="str">
        <f>HYPERLINK("http://www.ncbi.nlm.nih.gov/gene/22240","Dpysl3")</f>
        <v>Dpysl3</v>
      </c>
      <c r="C3196">
        <v>22240</v>
      </c>
      <c r="D3196" t="s">
        <v>6396</v>
      </c>
      <c r="E3196" s="3" t="str">
        <f>HYPERLINK("http://genome.ucsc.edu/cgi-bin/hgTracks?db=mm10&amp;lastVirtModeType=default&amp;lastVirtModeExtraState=&amp;virtModeType=default&amp;virtMode=0&amp;nonVirtPosition=&amp;position=chr18:43320978-43373272","chr18:43320978-43373272")</f>
        <v>chr18:43320978-43373272</v>
      </c>
      <c r="F3196" t="s">
        <v>25</v>
      </c>
      <c r="G3196">
        <v>-0.44860516846812598</v>
      </c>
      <c r="H3196">
        <v>0.17065979482695601</v>
      </c>
      <c r="I3196">
        <v>-2.6286517508297602</v>
      </c>
      <c r="J3196">
        <v>8.5724098413835197E-3</v>
      </c>
      <c r="K3196">
        <v>3.58280712190907E-2</v>
      </c>
      <c r="L3196" t="s">
        <v>26</v>
      </c>
      <c r="M3196" t="s">
        <v>27</v>
      </c>
      <c r="N3196">
        <v>1990.8452694114001</v>
      </c>
      <c r="O3196">
        <v>2367.2658247450699</v>
      </c>
      <c r="P3196">
        <v>1708.5298529111501</v>
      </c>
      <c r="Q3196">
        <v>3010.02050370695</v>
      </c>
      <c r="R3196">
        <v>1913.7203068593201</v>
      </c>
      <c r="S3196">
        <v>2178.05666366894</v>
      </c>
      <c r="T3196">
        <v>1874.4284786727401</v>
      </c>
      <c r="U3196">
        <v>1432.50076299742</v>
      </c>
      <c r="V3196">
        <v>1872.9741264092499</v>
      </c>
      <c r="W3196">
        <v>1654.2160435651999</v>
      </c>
    </row>
    <row r="3197" spans="1:23" x14ac:dyDescent="0.2">
      <c r="A3197" t="s">
        <v>6397</v>
      </c>
      <c r="B3197" s="3" t="str">
        <f>HYPERLINK("http://www.ncbi.nlm.nih.gov/gene/235505","Cd109")</f>
        <v>Cd109</v>
      </c>
      <c r="C3197">
        <v>235505</v>
      </c>
      <c r="D3197" t="s">
        <v>6398</v>
      </c>
      <c r="E3197" s="3" t="str">
        <f>HYPERLINK("http://genome.ucsc.edu/cgi-bin/hgTracks?db=mm10&amp;lastVirtModeType=default&amp;lastVirtModeExtraState=&amp;virtModeType=default&amp;virtMode=0&amp;nonVirtPosition=&amp;position=chr9:78615545-78716260","chr9:78615545-78716260")</f>
        <v>chr9:78615545-78716260</v>
      </c>
      <c r="F3197" t="s">
        <v>30</v>
      </c>
      <c r="G3197">
        <v>-1.0291849161592199</v>
      </c>
      <c r="H3197">
        <v>0.391558533735756</v>
      </c>
      <c r="I3197">
        <v>-2.6284318370999</v>
      </c>
      <c r="J3197">
        <v>8.5779544609519993E-3</v>
      </c>
      <c r="K3197">
        <v>3.5840058716570401E-2</v>
      </c>
      <c r="L3197" t="s">
        <v>26</v>
      </c>
      <c r="M3197" t="s">
        <v>27</v>
      </c>
      <c r="N3197">
        <v>195.63237450816499</v>
      </c>
      <c r="O3197">
        <v>324.83513599110199</v>
      </c>
      <c r="P3197">
        <v>98.730303395963105</v>
      </c>
      <c r="Q3197">
        <v>130.84624831134499</v>
      </c>
      <c r="R3197">
        <v>286.33746168822501</v>
      </c>
      <c r="S3197">
        <v>557.32169797373501</v>
      </c>
      <c r="T3197">
        <v>36.663637724650101</v>
      </c>
      <c r="U3197">
        <v>89.932783327192496</v>
      </c>
      <c r="V3197">
        <v>147.86637840073001</v>
      </c>
      <c r="W3197">
        <v>120.45841413127999</v>
      </c>
    </row>
    <row r="3198" spans="1:23" x14ac:dyDescent="0.2">
      <c r="A3198" t="s">
        <v>6399</v>
      </c>
      <c r="B3198" s="3" t="str">
        <f>HYPERLINK("http://www.ncbi.nlm.nih.gov/gene/12412","Cbx1")</f>
        <v>Cbx1</v>
      </c>
      <c r="C3198">
        <v>12412</v>
      </c>
      <c r="D3198" t="s">
        <v>6400</v>
      </c>
      <c r="E3198" s="3" t="str">
        <f>HYPERLINK("http://genome.ucsc.edu/cgi-bin/hgTracks?db=mm10&amp;lastVirtModeType=default&amp;lastVirtModeExtraState=&amp;virtModeType=default&amp;virtMode=0&amp;nonVirtPosition=&amp;position=chr11:96789135-96808640","chr11:96789135-96808640")</f>
        <v>chr11:96789135-96808640</v>
      </c>
      <c r="F3198" t="s">
        <v>30</v>
      </c>
      <c r="G3198">
        <v>0.36096848620377397</v>
      </c>
      <c r="H3198">
        <v>0.137341193705314</v>
      </c>
      <c r="I3198">
        <v>2.6282608769098599</v>
      </c>
      <c r="J3198">
        <v>8.5822670442212302E-3</v>
      </c>
      <c r="K3198">
        <v>3.5846892697806103E-2</v>
      </c>
      <c r="L3198" t="s">
        <v>26</v>
      </c>
      <c r="M3198" t="s">
        <v>27</v>
      </c>
      <c r="N3198">
        <v>262.31605236684197</v>
      </c>
      <c r="O3198">
        <v>223.799416106352</v>
      </c>
      <c r="P3198">
        <v>291.20352956220898</v>
      </c>
      <c r="Q3198">
        <v>240.53437987447299</v>
      </c>
      <c r="R3198">
        <v>207.831694046553</v>
      </c>
      <c r="S3198">
        <v>223.032174398031</v>
      </c>
      <c r="T3198">
        <v>329.972739521851</v>
      </c>
      <c r="U3198">
        <v>235.538242047409</v>
      </c>
      <c r="V3198">
        <v>292.79014230592401</v>
      </c>
      <c r="W3198">
        <v>306.51299437365401</v>
      </c>
    </row>
    <row r="3199" spans="1:23" x14ac:dyDescent="0.2">
      <c r="A3199" t="s">
        <v>6401</v>
      </c>
      <c r="B3199" s="3" t="str">
        <f>HYPERLINK("http://www.ncbi.nlm.nih.gov/gene/12925","Crip1")</f>
        <v>Crip1</v>
      </c>
      <c r="C3199">
        <v>12925</v>
      </c>
      <c r="D3199" t="s">
        <v>6402</v>
      </c>
      <c r="E3199" s="3" t="str">
        <f>HYPERLINK("http://genome.ucsc.edu/cgi-bin/hgTracks?db=mm10&amp;lastVirtModeType=default&amp;lastVirtModeExtraState=&amp;virtModeType=default&amp;virtMode=0&amp;nonVirtPosition=&amp;position=chr12:113152011-113153879","chr12:113152011-113153879")</f>
        <v>chr12:113152011-113153879</v>
      </c>
      <c r="F3199" t="s">
        <v>30</v>
      </c>
      <c r="G3199">
        <v>0.78140939665460096</v>
      </c>
      <c r="H3199">
        <v>0.29743843842436501</v>
      </c>
      <c r="I3199">
        <v>2.62712983834234</v>
      </c>
      <c r="J3199">
        <v>8.6108470990733793E-3</v>
      </c>
      <c r="K3199">
        <v>3.5955052542467003E-2</v>
      </c>
      <c r="L3199" t="s">
        <v>26</v>
      </c>
      <c r="M3199" t="s">
        <v>27</v>
      </c>
      <c r="N3199">
        <v>26.356962790576802</v>
      </c>
      <c r="O3199">
        <v>16.620850080100698</v>
      </c>
      <c r="P3199">
        <v>33.659047323433903</v>
      </c>
      <c r="Q3199">
        <v>18.3741540181889</v>
      </c>
      <c r="R3199">
        <v>14.411686813447099</v>
      </c>
      <c r="S3199">
        <v>17.076709408666002</v>
      </c>
      <c r="T3199">
        <v>45.829547155812598</v>
      </c>
      <c r="U3199">
        <v>27.836337696512</v>
      </c>
      <c r="V3199">
        <v>22.805262340411101</v>
      </c>
      <c r="W3199">
        <v>38.165042100999699</v>
      </c>
    </row>
    <row r="3200" spans="1:23" x14ac:dyDescent="0.2">
      <c r="A3200" t="s">
        <v>6403</v>
      </c>
      <c r="B3200" s="3" t="str">
        <f>HYPERLINK("http://www.ncbi.nlm.nih.gov/gene/74106","Dcaf6")</f>
        <v>Dcaf6</v>
      </c>
      <c r="C3200">
        <v>74106</v>
      </c>
      <c r="D3200" t="s">
        <v>6404</v>
      </c>
      <c r="E3200" s="3" t="str">
        <f>HYPERLINK("http://genome.ucsc.edu/cgi-bin/hgTracks?db=mm10&amp;lastVirtModeType=default&amp;lastVirtModeExtraState=&amp;virtModeType=default&amp;virtMode=0&amp;nonVirtPosition=&amp;position=chr1:165329500-165460463","chr1:165329500-165460463")</f>
        <v>chr1:165329500-165460463</v>
      </c>
      <c r="F3200" t="s">
        <v>25</v>
      </c>
      <c r="G3200">
        <v>-0.40143273707722399</v>
      </c>
      <c r="H3200">
        <v>0.15288683599335101</v>
      </c>
      <c r="I3200">
        <v>-2.6256854258837699</v>
      </c>
      <c r="J3200">
        <v>8.6474694432169905E-3</v>
      </c>
      <c r="K3200">
        <v>3.6096715496919798E-2</v>
      </c>
      <c r="L3200" t="s">
        <v>26</v>
      </c>
      <c r="M3200" t="s">
        <v>27</v>
      </c>
      <c r="N3200">
        <v>268.95507147350099</v>
      </c>
      <c r="O3200">
        <v>314.70087989920501</v>
      </c>
      <c r="P3200">
        <v>234.64571515422301</v>
      </c>
      <c r="Q3200">
        <v>365.81270272576103</v>
      </c>
      <c r="R3200">
        <v>298.85287392095597</v>
      </c>
      <c r="S3200">
        <v>279.43706305089802</v>
      </c>
      <c r="T3200">
        <v>247.47955464138801</v>
      </c>
      <c r="U3200">
        <v>203.419390859126</v>
      </c>
      <c r="V3200">
        <v>267.04226546997597</v>
      </c>
      <c r="W3200">
        <v>220.64164964640401</v>
      </c>
    </row>
    <row r="3201" spans="1:23" x14ac:dyDescent="0.2">
      <c r="A3201" t="s">
        <v>6405</v>
      </c>
      <c r="B3201" s="3" t="str">
        <f>HYPERLINK("http://www.ncbi.nlm.nih.gov/gene/97130","C77080")</f>
        <v>C77080</v>
      </c>
      <c r="C3201">
        <v>97130</v>
      </c>
      <c r="D3201" t="s">
        <v>6406</v>
      </c>
      <c r="E3201" s="3" t="str">
        <f>HYPERLINK("http://genome.ucsc.edu/cgi-bin/hgTracks?db=mm10&amp;lastVirtModeType=default&amp;lastVirtModeExtraState=&amp;virtModeType=default&amp;virtMode=0&amp;nonVirtPosition=&amp;position=chr4:129219577-129248443","chr4:129219577-129248443")</f>
        <v>chr4:129219577-129248443</v>
      </c>
      <c r="F3201" t="s">
        <v>25</v>
      </c>
      <c r="G3201">
        <v>0.51014350414449205</v>
      </c>
      <c r="H3201">
        <v>0.19435013497252199</v>
      </c>
      <c r="I3201">
        <v>2.6248682781548802</v>
      </c>
      <c r="J3201">
        <v>8.6682494109657608E-3</v>
      </c>
      <c r="K3201">
        <v>3.6172180698735602E-2</v>
      </c>
      <c r="L3201" t="s">
        <v>26</v>
      </c>
      <c r="M3201" t="s">
        <v>27</v>
      </c>
      <c r="N3201">
        <v>95.809220014184703</v>
      </c>
      <c r="O3201">
        <v>77.274036610213898</v>
      </c>
      <c r="P3201">
        <v>109.710607567163</v>
      </c>
      <c r="Q3201">
        <v>87.416429722898798</v>
      </c>
      <c r="R3201">
        <v>65.231845576655303</v>
      </c>
      <c r="S3201">
        <v>79.173834531087707</v>
      </c>
      <c r="T3201">
        <v>91.659094311625296</v>
      </c>
      <c r="U3201">
        <v>119.91037776959</v>
      </c>
      <c r="V3201">
        <v>129.47503780362501</v>
      </c>
      <c r="W3201">
        <v>97.7979203838117</v>
      </c>
    </row>
    <row r="3202" spans="1:23" x14ac:dyDescent="0.2">
      <c r="A3202" t="s">
        <v>6407</v>
      </c>
      <c r="B3202" s="3" t="str">
        <f>HYPERLINK("http://www.ncbi.nlm.nih.gov/gene/11989","Slc7a3")</f>
        <v>Slc7a3</v>
      </c>
      <c r="C3202">
        <v>11989</v>
      </c>
      <c r="D3202" t="s">
        <v>6408</v>
      </c>
      <c r="E3202" s="3" t="str">
        <f>HYPERLINK("http://genome.ucsc.edu/cgi-bin/hgTracks?db=mm10&amp;lastVirtModeType=default&amp;lastVirtModeExtraState=&amp;virtModeType=default&amp;virtMode=0&amp;nonVirtPosition=&amp;position=chrX:101079209-101085405","chrX:101079209-101085405")</f>
        <v>chrX:101079209-101085405</v>
      </c>
      <c r="F3202" t="s">
        <v>25</v>
      </c>
      <c r="G3202">
        <v>-0.69739092584652895</v>
      </c>
      <c r="H3202">
        <v>0.26572563280640499</v>
      </c>
      <c r="I3202">
        <v>-2.62447742990084</v>
      </c>
      <c r="J3202">
        <v>8.6782044043911596E-3</v>
      </c>
      <c r="K3202">
        <v>3.6202440865795001E-2</v>
      </c>
      <c r="L3202" t="s">
        <v>26</v>
      </c>
      <c r="M3202" t="s">
        <v>27</v>
      </c>
      <c r="N3202">
        <v>123.585299727088</v>
      </c>
      <c r="O3202">
        <v>162.877380533587</v>
      </c>
      <c r="P3202">
        <v>94.116239122212406</v>
      </c>
      <c r="Q3202">
        <v>242.20475751249</v>
      </c>
      <c r="R3202">
        <v>106.191376520136</v>
      </c>
      <c r="S3202">
        <v>140.23600756813599</v>
      </c>
      <c r="T3202">
        <v>87.076139596044001</v>
      </c>
      <c r="U3202">
        <v>117.769121023704</v>
      </c>
      <c r="V3202">
        <v>65.473172525696498</v>
      </c>
      <c r="W3202">
        <v>106.14652334340499</v>
      </c>
    </row>
    <row r="3203" spans="1:23" x14ac:dyDescent="0.2">
      <c r="A3203" t="s">
        <v>6409</v>
      </c>
      <c r="B3203" s="3" t="str">
        <f>HYPERLINK("http://www.ncbi.nlm.nih.gov/gene/27375","Tjp3")</f>
        <v>Tjp3</v>
      </c>
      <c r="C3203">
        <v>27375</v>
      </c>
      <c r="D3203" t="s">
        <v>6410</v>
      </c>
      <c r="E3203" s="3" t="str">
        <f>HYPERLINK("http://genome.ucsc.edu/cgi-bin/hgTracks?db=mm10&amp;lastVirtModeType=default&amp;lastVirtModeExtraState=&amp;virtModeType=default&amp;virtMode=0&amp;nonVirtPosition=&amp;position=chr10:81273187-81291267","chr10:81273187-81291267")</f>
        <v>chr10:81273187-81291267</v>
      </c>
      <c r="F3203" t="s">
        <v>25</v>
      </c>
      <c r="G3203">
        <v>1.00683603293872</v>
      </c>
      <c r="H3203">
        <v>0.38371703130414703</v>
      </c>
      <c r="I3203">
        <v>2.62390238326604</v>
      </c>
      <c r="J3203">
        <v>8.6928695486167898E-3</v>
      </c>
      <c r="K3203">
        <v>3.6245049579056998E-2</v>
      </c>
      <c r="L3203" t="s">
        <v>26</v>
      </c>
      <c r="M3203" t="s">
        <v>27</v>
      </c>
      <c r="N3203">
        <v>12.870714536603799</v>
      </c>
      <c r="O3203">
        <v>5.2636497689152799</v>
      </c>
      <c r="P3203">
        <v>18.576013112370099</v>
      </c>
      <c r="Q3203">
        <v>7.2383030980744296</v>
      </c>
      <c r="R3203">
        <v>4.9303139098634796</v>
      </c>
      <c r="S3203">
        <v>3.6223322988079301</v>
      </c>
      <c r="T3203">
        <v>36.663637724650101</v>
      </c>
      <c r="U3203">
        <v>19.2713107129698</v>
      </c>
      <c r="V3203">
        <v>8.8278434866107602</v>
      </c>
      <c r="W3203">
        <v>9.5412605252499194</v>
      </c>
    </row>
    <row r="3204" spans="1:23" x14ac:dyDescent="0.2">
      <c r="A3204" t="s">
        <v>6411</v>
      </c>
      <c r="B3204" s="3" t="str">
        <f>HYPERLINK("http://www.ncbi.nlm.nih.gov/gene/224792","Adgrf5")</f>
        <v>Adgrf5</v>
      </c>
      <c r="C3204">
        <v>224792</v>
      </c>
      <c r="D3204" t="s">
        <v>6412</v>
      </c>
      <c r="E3204" s="3" t="str">
        <f>HYPERLINK("http://genome.ucsc.edu/cgi-bin/hgTracks?db=mm10&amp;lastVirtModeType=default&amp;lastVirtModeExtraState=&amp;virtModeType=default&amp;virtMode=0&amp;nonVirtPosition=&amp;position=chr17:43389465-43459557","chr17:43389465-43459557")</f>
        <v>chr17:43389465-43459557</v>
      </c>
      <c r="F3204" t="s">
        <v>30</v>
      </c>
      <c r="G3204">
        <v>-0.56477368142401096</v>
      </c>
      <c r="H3204">
        <v>0.21524497196832401</v>
      </c>
      <c r="I3204">
        <v>-2.6238646889606501</v>
      </c>
      <c r="J3204">
        <v>8.6938316218304092E-3</v>
      </c>
      <c r="K3204">
        <v>3.6245049579056998E-2</v>
      </c>
      <c r="L3204" t="s">
        <v>26</v>
      </c>
      <c r="M3204" t="s">
        <v>27</v>
      </c>
      <c r="N3204">
        <v>259.07297368461701</v>
      </c>
      <c r="O3204">
        <v>321.961538253399</v>
      </c>
      <c r="P3204">
        <v>211.90655025803099</v>
      </c>
      <c r="Q3204">
        <v>429.84384551642</v>
      </c>
      <c r="R3204">
        <v>279.89012811378802</v>
      </c>
      <c r="S3204">
        <v>256.15064112998999</v>
      </c>
      <c r="T3204">
        <v>256.64546407255102</v>
      </c>
      <c r="U3204">
        <v>171.30053967084299</v>
      </c>
      <c r="V3204">
        <v>257.47876835948102</v>
      </c>
      <c r="W3204">
        <v>162.201428929249</v>
      </c>
    </row>
    <row r="3205" spans="1:23" x14ac:dyDescent="0.2">
      <c r="A3205" t="s">
        <v>6413</v>
      </c>
      <c r="B3205" s="3" t="str">
        <f>HYPERLINK("http://www.ncbi.nlm.nih.gov/gene/230979","Tnfrsf14")</f>
        <v>Tnfrsf14</v>
      </c>
      <c r="C3205">
        <v>230979</v>
      </c>
      <c r="D3205" t="s">
        <v>6414</v>
      </c>
      <c r="E3205" s="3" t="str">
        <f>HYPERLINK("http://genome.ucsc.edu/cgi-bin/hgTracks?db=mm10&amp;lastVirtModeType=default&amp;lastVirtModeExtraState=&amp;virtModeType=default&amp;virtMode=0&amp;nonVirtPosition=&amp;position=chr4:154922209-154928077","chr4:154922209-154928077")</f>
        <v>chr4:154922209-154928077</v>
      </c>
      <c r="F3205" t="s">
        <v>25</v>
      </c>
      <c r="G3205">
        <v>1.0087383670391401</v>
      </c>
      <c r="H3205">
        <v>0.38451571418263197</v>
      </c>
      <c r="I3205">
        <v>2.6233995902701102</v>
      </c>
      <c r="J3205">
        <v>8.7057101868751093E-3</v>
      </c>
      <c r="K3205">
        <v>3.6283275789743101E-2</v>
      </c>
      <c r="L3205" t="s">
        <v>26</v>
      </c>
      <c r="M3205" t="s">
        <v>27</v>
      </c>
      <c r="N3205">
        <v>11.3108977204932</v>
      </c>
      <c r="O3205">
        <v>5.0239186592593397</v>
      </c>
      <c r="P3205">
        <v>16.0261320164186</v>
      </c>
      <c r="Q3205">
        <v>7.79509564408015</v>
      </c>
      <c r="R3205">
        <v>4.1718040775767902</v>
      </c>
      <c r="S3205">
        <v>3.10485625612109</v>
      </c>
      <c r="T3205">
        <v>27.497728293487601</v>
      </c>
      <c r="U3205">
        <v>4.2825134917710699</v>
      </c>
      <c r="V3205">
        <v>13.241765229916099</v>
      </c>
      <c r="W3205">
        <v>19.0825210504998</v>
      </c>
    </row>
    <row r="3206" spans="1:23" x14ac:dyDescent="0.2">
      <c r="A3206" t="s">
        <v>6415</v>
      </c>
      <c r="B3206" s="3" t="str">
        <f>HYPERLINK("http://www.ncbi.nlm.nih.gov/gene/70285","Rpf1")</f>
        <v>Rpf1</v>
      </c>
      <c r="C3206">
        <v>70285</v>
      </c>
      <c r="D3206" t="s">
        <v>6416</v>
      </c>
      <c r="E3206" s="3" t="str">
        <f>HYPERLINK("http://genome.ucsc.edu/cgi-bin/hgTracks?db=mm10&amp;lastVirtModeType=default&amp;lastVirtModeExtraState=&amp;virtModeType=default&amp;virtMode=0&amp;nonVirtPosition=&amp;position=chr3:146506345-146521423","chr3:146506345-146521423")</f>
        <v>chr3:146506345-146521423</v>
      </c>
      <c r="F3206" t="s">
        <v>25</v>
      </c>
      <c r="G3206">
        <v>-0.48490310285510002</v>
      </c>
      <c r="H3206">
        <v>0.18486800449201701</v>
      </c>
      <c r="I3206">
        <v>-2.6229693136328498</v>
      </c>
      <c r="J3206">
        <v>8.7167123148082799E-3</v>
      </c>
      <c r="K3206">
        <v>3.6317826573614702E-2</v>
      </c>
      <c r="L3206" t="s">
        <v>26</v>
      </c>
      <c r="M3206" t="s">
        <v>27</v>
      </c>
      <c r="N3206">
        <v>101.768747068829</v>
      </c>
      <c r="O3206">
        <v>119.13334692290999</v>
      </c>
      <c r="P3206">
        <v>88.745297178267293</v>
      </c>
      <c r="Q3206">
        <v>123.60794521327099</v>
      </c>
      <c r="R3206">
        <v>120.982318249727</v>
      </c>
      <c r="S3206">
        <v>112.80977730573299</v>
      </c>
      <c r="T3206">
        <v>119.15682260511301</v>
      </c>
      <c r="U3206">
        <v>85.650269835421398</v>
      </c>
      <c r="V3206">
        <v>75.036669636191505</v>
      </c>
      <c r="W3206">
        <v>75.137426636343093</v>
      </c>
    </row>
    <row r="3207" spans="1:23" x14ac:dyDescent="0.2">
      <c r="A3207" t="s">
        <v>6417</v>
      </c>
      <c r="B3207" s="3" t="str">
        <f>HYPERLINK("http://www.ncbi.nlm.nih.gov/gene/18806","Pld2")</f>
        <v>Pld2</v>
      </c>
      <c r="C3207">
        <v>18806</v>
      </c>
      <c r="D3207" t="s">
        <v>6418</v>
      </c>
      <c r="E3207" s="3" t="str">
        <f>HYPERLINK("http://genome.ucsc.edu/cgi-bin/hgTracks?db=mm10&amp;lastVirtModeType=default&amp;lastVirtModeExtraState=&amp;virtModeType=default&amp;virtMode=0&amp;nonVirtPosition=&amp;position=chr11:70540271-70558110","chr11:70540271-70558110")</f>
        <v>chr11:70540271-70558110</v>
      </c>
      <c r="F3207" t="s">
        <v>30</v>
      </c>
      <c r="G3207">
        <v>0.62127830747657897</v>
      </c>
      <c r="H3207">
        <v>0.236883456437122</v>
      </c>
      <c r="I3207">
        <v>2.62271716573626</v>
      </c>
      <c r="J3207">
        <v>8.7231654825920893E-3</v>
      </c>
      <c r="K3207">
        <v>3.6333408702143299E-2</v>
      </c>
      <c r="L3207" t="s">
        <v>26</v>
      </c>
      <c r="M3207" t="s">
        <v>27</v>
      </c>
      <c r="N3207">
        <v>138.54658889034999</v>
      </c>
      <c r="O3207">
        <v>103.07405708990299</v>
      </c>
      <c r="P3207">
        <v>165.15098774068599</v>
      </c>
      <c r="Q3207">
        <v>150.333987421546</v>
      </c>
      <c r="R3207">
        <v>76.6094930609556</v>
      </c>
      <c r="S3207">
        <v>82.278690787208802</v>
      </c>
      <c r="T3207">
        <v>178.735233907669</v>
      </c>
      <c r="U3207">
        <v>128.47540475313201</v>
      </c>
      <c r="V3207">
        <v>197.155171200974</v>
      </c>
      <c r="W3207">
        <v>156.238141100967</v>
      </c>
    </row>
    <row r="3208" spans="1:23" x14ac:dyDescent="0.2">
      <c r="A3208" t="s">
        <v>6419</v>
      </c>
      <c r="B3208" s="3" t="str">
        <f>HYPERLINK("http://www.ncbi.nlm.nih.gov/gene/229593","Golph3l")</f>
        <v>Golph3l</v>
      </c>
      <c r="C3208">
        <v>229593</v>
      </c>
      <c r="D3208" t="s">
        <v>6420</v>
      </c>
      <c r="E3208" s="3" t="str">
        <f>HYPERLINK("http://genome.ucsc.edu/cgi-bin/hgTracks?db=mm10&amp;lastVirtModeType=default&amp;lastVirtModeExtraState=&amp;virtModeType=default&amp;virtMode=0&amp;nonVirtPosition=&amp;position=chr3:95588933-95619247","chr3:95588933-95619247")</f>
        <v>chr3:95588933-95619247</v>
      </c>
      <c r="F3208" t="s">
        <v>30</v>
      </c>
      <c r="G3208">
        <v>-0.50055291188303297</v>
      </c>
      <c r="H3208">
        <v>0.190906541904628</v>
      </c>
      <c r="I3208">
        <v>-2.62197883262218</v>
      </c>
      <c r="J3208">
        <v>8.7420860464103595E-3</v>
      </c>
      <c r="K3208">
        <v>3.6400893733669497E-2</v>
      </c>
      <c r="L3208" t="s">
        <v>26</v>
      </c>
      <c r="M3208" t="s">
        <v>27</v>
      </c>
      <c r="N3208">
        <v>138.69505802716699</v>
      </c>
      <c r="O3208">
        <v>170.68929322549599</v>
      </c>
      <c r="P3208">
        <v>114.699381628419</v>
      </c>
      <c r="Q3208">
        <v>211.02437493617001</v>
      </c>
      <c r="R3208">
        <v>155.11526070262801</v>
      </c>
      <c r="S3208">
        <v>145.928244037691</v>
      </c>
      <c r="T3208">
        <v>100.825003742788</v>
      </c>
      <c r="U3208">
        <v>98.497810310734593</v>
      </c>
      <c r="V3208">
        <v>129.47503780362501</v>
      </c>
      <c r="W3208">
        <v>129.99967465653</v>
      </c>
    </row>
    <row r="3209" spans="1:23" x14ac:dyDescent="0.2">
      <c r="A3209" t="s">
        <v>6421</v>
      </c>
      <c r="B3209" s="3" t="str">
        <f>HYPERLINK("http://www.ncbi.nlm.nih.gov/gene/18817","Plk1")</f>
        <v>Plk1</v>
      </c>
      <c r="C3209">
        <v>18817</v>
      </c>
      <c r="D3209" t="s">
        <v>6422</v>
      </c>
      <c r="E3209" s="3" t="str">
        <f>HYPERLINK("http://genome.ucsc.edu/cgi-bin/hgTracks?db=mm10&amp;lastVirtModeType=default&amp;lastVirtModeExtraState=&amp;virtModeType=default&amp;virtMode=0&amp;nonVirtPosition=&amp;position=chr7:122159434-122169884","chr7:122159434-122169884")</f>
        <v>chr7:122159434-122169884</v>
      </c>
      <c r="F3209" t="s">
        <v>30</v>
      </c>
      <c r="G3209">
        <v>0.69239095375759896</v>
      </c>
      <c r="H3209">
        <v>0.26413368007992799</v>
      </c>
      <c r="I3209">
        <v>2.6213656416253999</v>
      </c>
      <c r="J3209">
        <v>8.75782757800974E-3</v>
      </c>
      <c r="K3209">
        <v>3.6455103853630197E-2</v>
      </c>
      <c r="L3209" t="s">
        <v>26</v>
      </c>
      <c r="M3209" t="s">
        <v>27</v>
      </c>
      <c r="N3209">
        <v>179.96761012053099</v>
      </c>
      <c r="O3209">
        <v>126.478509942204</v>
      </c>
      <c r="P3209">
        <v>220.084435254276</v>
      </c>
      <c r="Q3209">
        <v>56.792839692583897</v>
      </c>
      <c r="R3209">
        <v>149.80569187662101</v>
      </c>
      <c r="S3209">
        <v>172.836998257407</v>
      </c>
      <c r="T3209">
        <v>247.47955464138801</v>
      </c>
      <c r="U3209">
        <v>192.71310712969799</v>
      </c>
      <c r="V3209">
        <v>220.69608716526901</v>
      </c>
      <c r="W3209">
        <v>219.44899208074801</v>
      </c>
    </row>
    <row r="3210" spans="1:23" x14ac:dyDescent="0.2">
      <c r="A3210" t="s">
        <v>6423</v>
      </c>
      <c r="B3210" s="3" t="str">
        <f>HYPERLINK("http://www.ncbi.nlm.nih.gov/gene/21976","Top3b")</f>
        <v>Top3b</v>
      </c>
      <c r="C3210">
        <v>21976</v>
      </c>
      <c r="D3210" t="s">
        <v>6424</v>
      </c>
      <c r="E3210" s="3" t="str">
        <f>HYPERLINK("http://genome.ucsc.edu/cgi-bin/hgTracks?db=mm10&amp;lastVirtModeType=default&amp;lastVirtModeExtraState=&amp;virtModeType=default&amp;virtMode=0&amp;nonVirtPosition=&amp;position=chr16:16870735-16892986","chr16:16870735-16892986")</f>
        <v>chr16:16870735-16892986</v>
      </c>
      <c r="F3210" t="s">
        <v>30</v>
      </c>
      <c r="G3210">
        <v>0.362379394611831</v>
      </c>
      <c r="H3210">
        <v>0.13827358016887001</v>
      </c>
      <c r="I3210">
        <v>2.6207421126238701</v>
      </c>
      <c r="J3210">
        <v>8.7738604691296098E-3</v>
      </c>
      <c r="K3210">
        <v>3.6510492710414698E-2</v>
      </c>
      <c r="L3210" t="s">
        <v>26</v>
      </c>
      <c r="M3210" t="s">
        <v>27</v>
      </c>
      <c r="N3210">
        <v>193.354328011223</v>
      </c>
      <c r="O3210">
        <v>164.473589033889</v>
      </c>
      <c r="P3210">
        <v>215.014882244223</v>
      </c>
      <c r="Q3210">
        <v>162.02663088766599</v>
      </c>
      <c r="R3210">
        <v>168.389182767645</v>
      </c>
      <c r="S3210">
        <v>163.00495344635701</v>
      </c>
      <c r="T3210">
        <v>242.89659992580701</v>
      </c>
      <c r="U3210">
        <v>190.571850383813</v>
      </c>
      <c r="V3210">
        <v>230.995237899648</v>
      </c>
      <c r="W3210">
        <v>195.595840767623</v>
      </c>
    </row>
    <row r="3211" spans="1:23" x14ac:dyDescent="0.2">
      <c r="A3211" t="s">
        <v>6425</v>
      </c>
      <c r="B3211" s="3" t="str">
        <f>HYPERLINK("http://www.ncbi.nlm.nih.gov/gene/72549","Reep4")</f>
        <v>Reep4</v>
      </c>
      <c r="C3211">
        <v>72549</v>
      </c>
      <c r="D3211" t="s">
        <v>6426</v>
      </c>
      <c r="E3211" s="3" t="str">
        <f>HYPERLINK("http://genome.ucsc.edu/cgi-bin/hgTracks?db=mm10&amp;lastVirtModeType=default&amp;lastVirtModeExtraState=&amp;virtModeType=default&amp;virtMode=0&amp;nonVirtPosition=&amp;position=chr14:70545250-70548935","chr14:70545250-70548935")</f>
        <v>chr14:70545250-70548935</v>
      </c>
      <c r="F3211" t="s">
        <v>30</v>
      </c>
      <c r="G3211">
        <v>0.69113689541045298</v>
      </c>
      <c r="H3211">
        <v>0.26373498753141</v>
      </c>
      <c r="I3211">
        <v>2.62057340923772</v>
      </c>
      <c r="J3211">
        <v>8.7782028690212999E-3</v>
      </c>
      <c r="K3211">
        <v>3.6517214855254498E-2</v>
      </c>
      <c r="L3211" t="s">
        <v>26</v>
      </c>
      <c r="M3211" t="s">
        <v>27</v>
      </c>
      <c r="N3211">
        <v>46.292349237473204</v>
      </c>
      <c r="O3211">
        <v>31.612030859500099</v>
      </c>
      <c r="P3211">
        <v>57.302588020953003</v>
      </c>
      <c r="Q3211">
        <v>22.271701840228999</v>
      </c>
      <c r="R3211">
        <v>33.753687536757703</v>
      </c>
      <c r="S3211">
        <v>38.810703201513597</v>
      </c>
      <c r="T3211">
        <v>68.744320733718993</v>
      </c>
      <c r="U3211">
        <v>68.520215868337104</v>
      </c>
      <c r="V3211">
        <v>47.817485552474999</v>
      </c>
      <c r="W3211">
        <v>44.128329929280902</v>
      </c>
    </row>
    <row r="3212" spans="1:23" x14ac:dyDescent="0.2">
      <c r="A3212" t="s">
        <v>6427</v>
      </c>
      <c r="B3212" s="3" t="str">
        <f>HYPERLINK("http://www.ncbi.nlm.nih.gov/gene/230379","Acer2")</f>
        <v>Acer2</v>
      </c>
      <c r="C3212">
        <v>230379</v>
      </c>
      <c r="D3212" t="s">
        <v>6428</v>
      </c>
      <c r="E3212" s="3" t="str">
        <f>HYPERLINK("http://genome.ucsc.edu/cgi-bin/hgTracks?db=mm10&amp;lastVirtModeType=default&amp;lastVirtModeExtraState=&amp;virtModeType=default&amp;virtMode=0&amp;nonVirtPosition=&amp;position=chr4:86874413-86920883","chr4:86874413-86920883")</f>
        <v>chr4:86874413-86920883</v>
      </c>
      <c r="F3212" t="s">
        <v>30</v>
      </c>
      <c r="G3212">
        <v>-0.96607426145748798</v>
      </c>
      <c r="H3212">
        <v>0.36867271434028398</v>
      </c>
      <c r="I3212">
        <v>-2.62041161138333</v>
      </c>
      <c r="J3212">
        <v>8.7823693254577596E-3</v>
      </c>
      <c r="K3212">
        <v>3.6523201129566703E-2</v>
      </c>
      <c r="L3212" t="s">
        <v>26</v>
      </c>
      <c r="M3212" t="s">
        <v>27</v>
      </c>
      <c r="N3212">
        <v>14.543090157206599</v>
      </c>
      <c r="O3212">
        <v>22.6142824732554</v>
      </c>
      <c r="P3212">
        <v>8.4896959201699609</v>
      </c>
      <c r="Q3212">
        <v>11.692643466120201</v>
      </c>
      <c r="R3212">
        <v>21.996785136313999</v>
      </c>
      <c r="S3212">
        <v>34.153418817331897</v>
      </c>
      <c r="T3212">
        <v>9.1659094311625307</v>
      </c>
      <c r="U3212">
        <v>6.4237702376566101</v>
      </c>
      <c r="V3212">
        <v>8.8278434866107602</v>
      </c>
      <c r="W3212">
        <v>9.5412605252499194</v>
      </c>
    </row>
    <row r="3213" spans="1:23" x14ac:dyDescent="0.2">
      <c r="A3213" t="s">
        <v>6429</v>
      </c>
      <c r="B3213" s="3" t="str">
        <f>HYPERLINK("http://www.ncbi.nlm.nih.gov/gene/12140","Fabp7")</f>
        <v>Fabp7</v>
      </c>
      <c r="C3213">
        <v>12140</v>
      </c>
      <c r="D3213" t="s">
        <v>6430</v>
      </c>
      <c r="E3213" s="3" t="str">
        <f>HYPERLINK("http://genome.ucsc.edu/cgi-bin/hgTracks?db=mm10&amp;lastVirtModeType=default&amp;lastVirtModeExtraState=&amp;virtModeType=default&amp;virtMode=0&amp;nonVirtPosition=&amp;position=chr10:57784922-57788450","chr10:57784922-57788450")</f>
        <v>chr10:57784922-57788450</v>
      </c>
      <c r="F3213" t="s">
        <v>30</v>
      </c>
      <c r="G3213">
        <v>-0.36635776973275003</v>
      </c>
      <c r="H3213">
        <v>0.13986007171041701</v>
      </c>
      <c r="I3213">
        <v>-2.6194593299744802</v>
      </c>
      <c r="J3213">
        <v>8.8069273464688892E-3</v>
      </c>
      <c r="K3213">
        <v>3.6613959669843203E-2</v>
      </c>
      <c r="L3213" t="s">
        <v>26</v>
      </c>
      <c r="M3213" t="s">
        <v>27</v>
      </c>
      <c r="N3213">
        <v>1753.0195552991299</v>
      </c>
      <c r="O3213">
        <v>2012.8852740715199</v>
      </c>
      <c r="P3213">
        <v>1558.12026621983</v>
      </c>
      <c r="Q3213">
        <v>2163.1390412322398</v>
      </c>
      <c r="R3213">
        <v>2011.5680752242999</v>
      </c>
      <c r="S3213">
        <v>1863.94870575803</v>
      </c>
      <c r="T3213">
        <v>1924.8409805441299</v>
      </c>
      <c r="U3213">
        <v>1426.0769927597701</v>
      </c>
      <c r="V3213">
        <v>1543.40130290911</v>
      </c>
      <c r="W3213">
        <v>1338.1617886663</v>
      </c>
    </row>
    <row r="3214" spans="1:23" x14ac:dyDescent="0.2">
      <c r="A3214" t="s">
        <v>6431</v>
      </c>
      <c r="B3214" s="3" t="str">
        <f>HYPERLINK("http://www.ncbi.nlm.nih.gov/gene/80749","Lrfn1")</f>
        <v>Lrfn1</v>
      </c>
      <c r="C3214">
        <v>80749</v>
      </c>
      <c r="D3214" t="s">
        <v>6432</v>
      </c>
      <c r="E3214" s="3" t="str">
        <f>HYPERLINK("http://genome.ucsc.edu/cgi-bin/hgTracks?db=mm10&amp;lastVirtModeType=default&amp;lastVirtModeExtraState=&amp;virtModeType=default&amp;virtMode=0&amp;nonVirtPosition=&amp;position=chr7:28451984-28462132","chr7:28451984-28462132")</f>
        <v>chr7:28451984-28462132</v>
      </c>
      <c r="F3214" t="s">
        <v>30</v>
      </c>
      <c r="G3214">
        <v>0.648990202240328</v>
      </c>
      <c r="H3214">
        <v>0.24778200869044301</v>
      </c>
      <c r="I3214">
        <v>2.6191982447406801</v>
      </c>
      <c r="J3214">
        <v>8.8136710815389895E-3</v>
      </c>
      <c r="K3214">
        <v>3.66306236663217E-2</v>
      </c>
      <c r="L3214" t="s">
        <v>26</v>
      </c>
      <c r="M3214" t="s">
        <v>27</v>
      </c>
      <c r="N3214">
        <v>75.051523786482093</v>
      </c>
      <c r="O3214">
        <v>54.219047610835801</v>
      </c>
      <c r="P3214">
        <v>90.675880918216706</v>
      </c>
      <c r="Q3214">
        <v>57.906424784595401</v>
      </c>
      <c r="R3214">
        <v>34.891452285187697</v>
      </c>
      <c r="S3214">
        <v>69.859265762724405</v>
      </c>
      <c r="T3214">
        <v>96.242049027206505</v>
      </c>
      <c r="U3214">
        <v>98.497810310734593</v>
      </c>
      <c r="V3214">
        <v>71.3584015167703</v>
      </c>
      <c r="W3214">
        <v>96.605262818155396</v>
      </c>
    </row>
    <row r="3215" spans="1:23" x14ac:dyDescent="0.2">
      <c r="A3215" t="s">
        <v>6433</v>
      </c>
      <c r="B3215" s="3" t="str">
        <f>HYPERLINK("http://www.ncbi.nlm.nih.gov/gene/320026","A330076H08Rik")</f>
        <v>A330076H08Rik</v>
      </c>
      <c r="C3215">
        <v>320026</v>
      </c>
      <c r="D3215" t="s">
        <v>6434</v>
      </c>
      <c r="E3215" s="3" t="str">
        <f>HYPERLINK("http://genome.ucsc.edu/cgi-bin/hgTracks?db=mm10&amp;lastVirtModeType=default&amp;lastVirtModeExtraState=&amp;virtModeType=default&amp;virtMode=0&amp;nonVirtPosition=&amp;position=chr7:61943900-61982303","chr7:61943900-61982303")</f>
        <v>chr7:61943900-61982303</v>
      </c>
      <c r="F3215" t="s">
        <v>25</v>
      </c>
      <c r="G3215">
        <v>0.62497891790018401</v>
      </c>
      <c r="H3215">
        <v>0.23865616747233401</v>
      </c>
      <c r="I3215">
        <v>2.6187419521543802</v>
      </c>
      <c r="J3215">
        <v>8.8254680283159394E-3</v>
      </c>
      <c r="K3215">
        <v>3.6668272530927297E-2</v>
      </c>
      <c r="L3215" t="s">
        <v>26</v>
      </c>
      <c r="M3215" t="s">
        <v>27</v>
      </c>
      <c r="N3215">
        <v>117.777588625814</v>
      </c>
      <c r="O3215">
        <v>86.158702794029196</v>
      </c>
      <c r="P3215">
        <v>141.49175299965299</v>
      </c>
      <c r="Q3215">
        <v>118.040019753214</v>
      </c>
      <c r="R3215">
        <v>69.024394738088702</v>
      </c>
      <c r="S3215">
        <v>71.411693890785003</v>
      </c>
      <c r="T3215">
        <v>187.90114333883199</v>
      </c>
      <c r="U3215">
        <v>92.074040073077995</v>
      </c>
      <c r="V3215">
        <v>130.946345051393</v>
      </c>
      <c r="W3215">
        <v>155.04548353531101</v>
      </c>
    </row>
    <row r="3216" spans="1:23" x14ac:dyDescent="0.2">
      <c r="A3216" t="s">
        <v>6435</v>
      </c>
      <c r="B3216" s="3" t="str">
        <f>HYPERLINK("http://www.ncbi.nlm.nih.gov/gene/75778","Them4")</f>
        <v>Them4</v>
      </c>
      <c r="C3216">
        <v>75778</v>
      </c>
      <c r="D3216" t="s">
        <v>6436</v>
      </c>
      <c r="E3216" s="3" t="str">
        <f>HYPERLINK("http://genome.ucsc.edu/cgi-bin/hgTracks?db=mm10&amp;lastVirtModeType=default&amp;lastVirtModeExtraState=&amp;virtModeType=default&amp;virtMode=0&amp;nonVirtPosition=&amp;position=chr3:94310131-94332532","chr3:94310131-94332532")</f>
        <v>chr3:94310131-94332532</v>
      </c>
      <c r="F3216" t="s">
        <v>30</v>
      </c>
      <c r="G3216">
        <v>-0.76175857084243104</v>
      </c>
      <c r="H3216">
        <v>0.290920403471012</v>
      </c>
      <c r="I3216">
        <v>-2.6184432640467401</v>
      </c>
      <c r="J3216">
        <v>8.8331979208205996E-3</v>
      </c>
      <c r="K3216">
        <v>3.6689005383904703E-2</v>
      </c>
      <c r="L3216" t="s">
        <v>26</v>
      </c>
      <c r="M3216" t="s">
        <v>27</v>
      </c>
      <c r="N3216">
        <v>43.716325015684802</v>
      </c>
      <c r="O3216">
        <v>60.376345819460497</v>
      </c>
      <c r="P3216">
        <v>31.2213094128529</v>
      </c>
      <c r="Q3216">
        <v>66.258312974681303</v>
      </c>
      <c r="R3216">
        <v>72.437688983378806</v>
      </c>
      <c r="S3216">
        <v>42.433035500321502</v>
      </c>
      <c r="T3216">
        <v>32.0806830090688</v>
      </c>
      <c r="U3216">
        <v>21.412567458855399</v>
      </c>
      <c r="V3216">
        <v>46.346178304706498</v>
      </c>
      <c r="W3216">
        <v>25.045808878780999</v>
      </c>
    </row>
    <row r="3217" spans="1:23" x14ac:dyDescent="0.2">
      <c r="A3217" t="s">
        <v>6437</v>
      </c>
      <c r="B3217" s="3" t="str">
        <f>HYPERLINK("http://www.ncbi.nlm.nih.gov/gene/72023","Cyb561d1")</f>
        <v>Cyb561d1</v>
      </c>
      <c r="C3217">
        <v>72023</v>
      </c>
      <c r="D3217" t="s">
        <v>6438</v>
      </c>
      <c r="E3217" s="3" t="str">
        <f>HYPERLINK("http://genome.ucsc.edu/cgi-bin/hgTracks?db=mm10&amp;lastVirtModeType=default&amp;lastVirtModeExtraState=&amp;virtModeType=default&amp;virtMode=0&amp;nonVirtPosition=&amp;position=chr3:108195770-108200834","chr3:108195770-108200834")</f>
        <v>chr3:108195770-108200834</v>
      </c>
      <c r="F3217" t="s">
        <v>25</v>
      </c>
      <c r="G3217">
        <v>0.73095354201418805</v>
      </c>
      <c r="H3217">
        <v>0.27933157374441597</v>
      </c>
      <c r="I3217">
        <v>2.6167952738597302</v>
      </c>
      <c r="J3217">
        <v>8.8759558966433998E-3</v>
      </c>
      <c r="K3217">
        <v>3.6855170670372597E-2</v>
      </c>
      <c r="L3217" t="s">
        <v>26</v>
      </c>
      <c r="M3217" t="s">
        <v>27</v>
      </c>
      <c r="N3217">
        <v>27.6874122000875</v>
      </c>
      <c r="O3217">
        <v>18.384358059858901</v>
      </c>
      <c r="P3217">
        <v>34.664702805258898</v>
      </c>
      <c r="Q3217">
        <v>16.146983834166001</v>
      </c>
      <c r="R3217">
        <v>19.342000723310601</v>
      </c>
      <c r="S3217">
        <v>19.6640896221002</v>
      </c>
      <c r="T3217">
        <v>45.829547155812598</v>
      </c>
      <c r="U3217">
        <v>25.695080950626402</v>
      </c>
      <c r="V3217">
        <v>30.1617985792534</v>
      </c>
      <c r="W3217">
        <v>36.972384535343402</v>
      </c>
    </row>
    <row r="3218" spans="1:23" x14ac:dyDescent="0.2">
      <c r="A3218" t="s">
        <v>6439</v>
      </c>
      <c r="B3218" s="3" t="str">
        <f>HYPERLINK("http://www.ncbi.nlm.nih.gov/gene/106877","Afap1l1")</f>
        <v>Afap1l1</v>
      </c>
      <c r="C3218">
        <v>106877</v>
      </c>
      <c r="D3218" t="s">
        <v>6440</v>
      </c>
      <c r="E3218" s="3" t="str">
        <f>HYPERLINK("http://genome.ucsc.edu/cgi-bin/hgTracks?db=mm10&amp;lastVirtModeType=default&amp;lastVirtModeExtraState=&amp;virtModeType=default&amp;virtMode=0&amp;nonVirtPosition=&amp;position=chr18:61730261-61786662","chr18:61730261-61786662")</f>
        <v>chr18:61730261-61786662</v>
      </c>
      <c r="F3218" t="s">
        <v>25</v>
      </c>
      <c r="G3218">
        <v>0.53801420567790603</v>
      </c>
      <c r="H3218">
        <v>0.20562230179614299</v>
      </c>
      <c r="I3218">
        <v>2.6165167930631399</v>
      </c>
      <c r="J3218">
        <v>8.8831994607958507E-3</v>
      </c>
      <c r="K3218">
        <v>3.6873814004810102E-2</v>
      </c>
      <c r="L3218" t="s">
        <v>26</v>
      </c>
      <c r="M3218" t="s">
        <v>27</v>
      </c>
      <c r="N3218">
        <v>172.67552364904299</v>
      </c>
      <c r="O3218">
        <v>136.89709927270599</v>
      </c>
      <c r="P3218">
        <v>199.509341931297</v>
      </c>
      <c r="Q3218">
        <v>114.699264477179</v>
      </c>
      <c r="R3218">
        <v>122.120082998157</v>
      </c>
      <c r="S3218">
        <v>173.87195034278099</v>
      </c>
      <c r="T3218">
        <v>128.322732036275</v>
      </c>
      <c r="U3218">
        <v>246.24452577683701</v>
      </c>
      <c r="V3218">
        <v>230.25958427576401</v>
      </c>
      <c r="W3218">
        <v>193.21052563631099</v>
      </c>
    </row>
    <row r="3219" spans="1:23" x14ac:dyDescent="0.2">
      <c r="A3219" t="s">
        <v>6441</v>
      </c>
      <c r="B3219" s="3" t="str">
        <f>HYPERLINK("http://www.ncbi.nlm.nih.gov/gene/219149","Xkr6")</f>
        <v>Xkr6</v>
      </c>
      <c r="C3219">
        <v>219149</v>
      </c>
      <c r="D3219" t="s">
        <v>6442</v>
      </c>
      <c r="E3219" s="3" t="str">
        <f>HYPERLINK("http://genome.ucsc.edu/cgi-bin/hgTracks?db=mm10&amp;lastVirtModeType=default&amp;lastVirtModeExtraState=&amp;virtModeType=default&amp;virtMode=0&amp;nonVirtPosition=&amp;position=chr14:63606529-63820410","chr14:63606529-63820410")</f>
        <v>chr14:63606529-63820410</v>
      </c>
      <c r="F3219" t="s">
        <v>30</v>
      </c>
      <c r="G3219">
        <v>0.36429602397942101</v>
      </c>
      <c r="H3219">
        <v>0.139292459428768</v>
      </c>
      <c r="I3219">
        <v>2.6153319818846001</v>
      </c>
      <c r="J3219">
        <v>8.9140766434745704E-3</v>
      </c>
      <c r="K3219">
        <v>3.69905176116418E-2</v>
      </c>
      <c r="L3219" t="s">
        <v>26</v>
      </c>
      <c r="M3219" t="s">
        <v>27</v>
      </c>
      <c r="N3219">
        <v>197.92583631604401</v>
      </c>
      <c r="O3219">
        <v>168.732584067582</v>
      </c>
      <c r="P3219">
        <v>219.820775502392</v>
      </c>
      <c r="Q3219">
        <v>148.66360978352901</v>
      </c>
      <c r="R3219">
        <v>184.69714416180901</v>
      </c>
      <c r="S3219">
        <v>172.836998257407</v>
      </c>
      <c r="T3219">
        <v>219.98182634790101</v>
      </c>
      <c r="U3219">
        <v>220.54944482620999</v>
      </c>
      <c r="V3219">
        <v>213.33955092642699</v>
      </c>
      <c r="W3219">
        <v>225.412279909029</v>
      </c>
    </row>
    <row r="3220" spans="1:23" x14ac:dyDescent="0.2">
      <c r="A3220" t="s">
        <v>6443</v>
      </c>
      <c r="B3220" s="3" t="str">
        <f>HYPERLINK("http://www.ncbi.nlm.nih.gov/gene/11781","Ap4m1")</f>
        <v>Ap4m1</v>
      </c>
      <c r="C3220">
        <v>11781</v>
      </c>
      <c r="D3220" t="s">
        <v>6444</v>
      </c>
      <c r="E3220" s="3" t="str">
        <f>HYPERLINK("http://genome.ucsc.edu/cgi-bin/hgTracks?db=mm10&amp;lastVirtModeType=default&amp;lastVirtModeExtraState=&amp;virtModeType=default&amp;virtMode=0&amp;nonVirtPosition=&amp;position=chr5:138172020-138178685","chr5:138172020-138178685")</f>
        <v>chr5:138172020-138178685</v>
      </c>
      <c r="F3220" t="s">
        <v>30</v>
      </c>
      <c r="G3220">
        <v>0.475023326328536</v>
      </c>
      <c r="H3220">
        <v>0.18164964929083299</v>
      </c>
      <c r="I3220">
        <v>2.6150522623250101</v>
      </c>
      <c r="J3220">
        <v>8.9213803449933807E-3</v>
      </c>
      <c r="K3220">
        <v>3.7009356939221298E-2</v>
      </c>
      <c r="L3220" t="s">
        <v>26</v>
      </c>
      <c r="M3220" t="s">
        <v>27</v>
      </c>
      <c r="N3220">
        <v>86.944419085567105</v>
      </c>
      <c r="O3220">
        <v>70.144320456679395</v>
      </c>
      <c r="P3220">
        <v>99.544493057232899</v>
      </c>
      <c r="Q3220">
        <v>71.269445888732804</v>
      </c>
      <c r="R3220">
        <v>62.577061163651898</v>
      </c>
      <c r="S3220">
        <v>76.586454317653406</v>
      </c>
      <c r="T3220">
        <v>96.242049027206505</v>
      </c>
      <c r="U3220">
        <v>111.345350786048</v>
      </c>
      <c r="V3220">
        <v>96.370624728834201</v>
      </c>
      <c r="W3220">
        <v>94.2199476868429</v>
      </c>
    </row>
    <row r="3221" spans="1:23" x14ac:dyDescent="0.2">
      <c r="A3221" t="s">
        <v>6445</v>
      </c>
      <c r="B3221" s="3" t="str">
        <f>HYPERLINK("http://www.ncbi.nlm.nih.gov/gene/72807","Zfp429")</f>
        <v>Zfp429</v>
      </c>
      <c r="C3221">
        <v>72807</v>
      </c>
      <c r="D3221" t="s">
        <v>6446</v>
      </c>
      <c r="E3221" s="3" t="str">
        <f>HYPERLINK("http://genome.ucsc.edu/cgi-bin/hgTracks?db=mm10&amp;lastVirtModeType=default&amp;lastVirtModeExtraState=&amp;virtModeType=default&amp;virtMode=0&amp;nonVirtPosition=&amp;position=chr13:67389327-67399767","chr13:67389327-67399767")</f>
        <v>chr13:67389327-67399767</v>
      </c>
      <c r="F3221" t="s">
        <v>25</v>
      </c>
      <c r="G3221">
        <v>-0.98572926407533701</v>
      </c>
      <c r="H3221">
        <v>0.37703530561901999</v>
      </c>
      <c r="I3221">
        <v>-2.6144216453601201</v>
      </c>
      <c r="J3221">
        <v>8.9378658700188102E-3</v>
      </c>
      <c r="K3221">
        <v>3.70662625783282E-2</v>
      </c>
      <c r="L3221" t="s">
        <v>26</v>
      </c>
      <c r="M3221" t="s">
        <v>27</v>
      </c>
      <c r="N3221">
        <v>10.815247747165101</v>
      </c>
      <c r="O3221">
        <v>18.1754746580974</v>
      </c>
      <c r="P3221">
        <v>5.2950775639658199</v>
      </c>
      <c r="Q3221">
        <v>23.385286932240501</v>
      </c>
      <c r="R3221">
        <v>18.2042359748805</v>
      </c>
      <c r="S3221">
        <v>12.936901067171201</v>
      </c>
      <c r="T3221">
        <v>0</v>
      </c>
      <c r="U3221">
        <v>4.2825134917710699</v>
      </c>
      <c r="V3221">
        <v>7.3565362388422999</v>
      </c>
      <c r="W3221">
        <v>9.5412605252499194</v>
      </c>
    </row>
    <row r="3222" spans="1:23" x14ac:dyDescent="0.2">
      <c r="A3222" t="s">
        <v>6447</v>
      </c>
      <c r="B3222" s="3" t="str">
        <f>HYPERLINK("http://www.ncbi.nlm.nih.gov/gene/231915","Uspl1")</f>
        <v>Uspl1</v>
      </c>
      <c r="C3222">
        <v>231915</v>
      </c>
      <c r="D3222" t="s">
        <v>6448</v>
      </c>
      <c r="E3222" s="3" t="str">
        <f>HYPERLINK("http://genome.ucsc.edu/cgi-bin/hgTracks?db=mm10&amp;lastVirtModeType=default&amp;lastVirtModeExtraState=&amp;virtModeType=default&amp;virtMode=0&amp;nonVirtPosition=&amp;position=chr5:149184559-149215434","chr5:149184559-149215434")</f>
        <v>chr5:149184559-149215434</v>
      </c>
      <c r="F3222" t="s">
        <v>30</v>
      </c>
      <c r="G3222">
        <v>0.44280777571513902</v>
      </c>
      <c r="H3222">
        <v>0.169393264005153</v>
      </c>
      <c r="I3222">
        <v>2.61408137044734</v>
      </c>
      <c r="J3222">
        <v>8.9467725990335194E-3</v>
      </c>
      <c r="K3222">
        <v>3.70893240427232E-2</v>
      </c>
      <c r="L3222" t="s">
        <v>26</v>
      </c>
      <c r="M3222" t="s">
        <v>27</v>
      </c>
      <c r="N3222">
        <v>294.76070101149401</v>
      </c>
      <c r="O3222">
        <v>242.45424839628399</v>
      </c>
      <c r="P3222">
        <v>333.99054047290201</v>
      </c>
      <c r="Q3222">
        <v>177.060029629821</v>
      </c>
      <c r="R3222">
        <v>256.37632331290098</v>
      </c>
      <c r="S3222">
        <v>293.92639224612901</v>
      </c>
      <c r="T3222">
        <v>320.80683009068798</v>
      </c>
      <c r="U3222">
        <v>338.31856584991499</v>
      </c>
      <c r="V3222">
        <v>336.92935973897698</v>
      </c>
      <c r="W3222">
        <v>339.90740621202798</v>
      </c>
    </row>
    <row r="3223" spans="1:23" x14ac:dyDescent="0.2">
      <c r="A3223" t="s">
        <v>6449</v>
      </c>
      <c r="B3223" s="3" t="str">
        <f>HYPERLINK("http://www.ncbi.nlm.nih.gov/gene/192232","Hps4")</f>
        <v>Hps4</v>
      </c>
      <c r="C3223">
        <v>192232</v>
      </c>
      <c r="D3223" t="s">
        <v>6450</v>
      </c>
      <c r="E3223" s="3" t="str">
        <f>HYPERLINK("http://genome.ucsc.edu/cgi-bin/hgTracks?db=mm10&amp;lastVirtModeType=default&amp;lastVirtModeExtraState=&amp;virtModeType=default&amp;virtMode=0&amp;nonVirtPosition=&amp;position=chr5:112343094-112378424","chr5:112343094-112378424")</f>
        <v>chr5:112343094-112378424</v>
      </c>
      <c r="F3223" t="s">
        <v>30</v>
      </c>
      <c r="G3223">
        <v>0.58333252599212004</v>
      </c>
      <c r="H3223">
        <v>0.22315825438895401</v>
      </c>
      <c r="I3223">
        <v>2.6139858800625002</v>
      </c>
      <c r="J3223">
        <v>8.94927349314548E-3</v>
      </c>
      <c r="K3223">
        <v>3.70893240427232E-2</v>
      </c>
      <c r="L3223" t="s">
        <v>26</v>
      </c>
      <c r="M3223" t="s">
        <v>27</v>
      </c>
      <c r="N3223">
        <v>97.677422895442803</v>
      </c>
      <c r="O3223">
        <v>73.514620760664201</v>
      </c>
      <c r="P3223">
        <v>115.799524496527</v>
      </c>
      <c r="Q3223">
        <v>87.416429722898798</v>
      </c>
      <c r="R3223">
        <v>60.680786582935099</v>
      </c>
      <c r="S3223">
        <v>72.446645976158706</v>
      </c>
      <c r="T3223">
        <v>137.48864146743799</v>
      </c>
      <c r="U3223">
        <v>87.791526581306996</v>
      </c>
      <c r="V3223">
        <v>91.221049361644504</v>
      </c>
      <c r="W3223">
        <v>146.69688057571801</v>
      </c>
    </row>
    <row r="3224" spans="1:23" x14ac:dyDescent="0.2">
      <c r="A3224" t="s">
        <v>6451</v>
      </c>
      <c r="B3224" s="3" t="str">
        <f>HYPERLINK("http://www.ncbi.nlm.nih.gov/gene/20605","Sstr1")</f>
        <v>Sstr1</v>
      </c>
      <c r="C3224">
        <v>20605</v>
      </c>
      <c r="D3224" t="s">
        <v>6452</v>
      </c>
      <c r="E3224" s="3" t="str">
        <f>HYPERLINK("http://genome.ucsc.edu/cgi-bin/hgTracks?db=mm10&amp;lastVirtModeType=default&amp;lastVirtModeExtraState=&amp;virtModeType=default&amp;virtMode=0&amp;nonVirtPosition=&amp;position=chr12:58211803-58216036","chr12:58211803-58216036")</f>
        <v>chr12:58211803-58216036</v>
      </c>
      <c r="F3224" t="s">
        <v>30</v>
      </c>
      <c r="G3224">
        <v>-0.52183783482472901</v>
      </c>
      <c r="H3224">
        <v>0.199642848451835</v>
      </c>
      <c r="I3224">
        <v>-2.6138568892971099</v>
      </c>
      <c r="J3224">
        <v>8.9526527538678503E-3</v>
      </c>
      <c r="K3224">
        <v>3.70893240427232E-2</v>
      </c>
      <c r="L3224" t="s">
        <v>26</v>
      </c>
      <c r="M3224" t="s">
        <v>27</v>
      </c>
      <c r="N3224">
        <v>137.68625181784799</v>
      </c>
      <c r="O3224">
        <v>167.438554414924</v>
      </c>
      <c r="P3224">
        <v>115.37202487003999</v>
      </c>
      <c r="Q3224">
        <v>214.92192275821</v>
      </c>
      <c r="R3224">
        <v>135.773259979317</v>
      </c>
      <c r="S3224">
        <v>151.62048050724599</v>
      </c>
      <c r="T3224">
        <v>123.739777320694</v>
      </c>
      <c r="U3224">
        <v>130.61666149901799</v>
      </c>
      <c r="V3224">
        <v>108.141082710982</v>
      </c>
      <c r="W3224">
        <v>98.990577949467905</v>
      </c>
    </row>
    <row r="3225" spans="1:23" x14ac:dyDescent="0.2">
      <c r="A3225" t="s">
        <v>6453</v>
      </c>
      <c r="B3225" s="3" t="str">
        <f>HYPERLINK("http://www.ncbi.nlm.nih.gov/gene/74166","Tmem38a")</f>
        <v>Tmem38a</v>
      </c>
      <c r="C3225">
        <v>74166</v>
      </c>
      <c r="D3225" t="s">
        <v>6454</v>
      </c>
      <c r="E3225" s="3" t="str">
        <f>HYPERLINK("http://genome.ucsc.edu/cgi-bin/hgTracks?db=mm10&amp;lastVirtModeType=default&amp;lastVirtModeExtraState=&amp;virtModeType=default&amp;virtMode=0&amp;nonVirtPosition=&amp;position=chr8:72572102-72587284","chr8:72572102-72587284")</f>
        <v>chr8:72572102-72587284</v>
      </c>
      <c r="F3225" t="s">
        <v>30</v>
      </c>
      <c r="G3225">
        <v>-0.55635635775742498</v>
      </c>
      <c r="H3225">
        <v>0.21285457916516601</v>
      </c>
      <c r="I3225">
        <v>-2.6137861818124999</v>
      </c>
      <c r="J3225">
        <v>8.9545056104939104E-3</v>
      </c>
      <c r="K3225">
        <v>3.70893240427232E-2</v>
      </c>
      <c r="L3225" t="s">
        <v>26</v>
      </c>
      <c r="M3225" t="s">
        <v>27</v>
      </c>
      <c r="N3225">
        <v>81.167155914601196</v>
      </c>
      <c r="O3225">
        <v>100.57552437716301</v>
      </c>
      <c r="P3225">
        <v>66.610879567680001</v>
      </c>
      <c r="Q3225">
        <v>108.01775392511099</v>
      </c>
      <c r="R3225">
        <v>114.53498467529</v>
      </c>
      <c r="S3225">
        <v>79.173834531087707</v>
      </c>
      <c r="T3225">
        <v>59.578411302556397</v>
      </c>
      <c r="U3225">
        <v>83.509013089535898</v>
      </c>
      <c r="V3225">
        <v>62.530558030159597</v>
      </c>
      <c r="W3225">
        <v>60.825535848468199</v>
      </c>
    </row>
    <row r="3226" spans="1:23" x14ac:dyDescent="0.2">
      <c r="A3226" t="s">
        <v>6455</v>
      </c>
      <c r="B3226" s="3" t="str">
        <f>HYPERLINK("http://www.ncbi.nlm.nih.gov/gene/54607","Socs6")</f>
        <v>Socs6</v>
      </c>
      <c r="C3226">
        <v>54607</v>
      </c>
      <c r="D3226" t="s">
        <v>6456</v>
      </c>
      <c r="E3226" s="3" t="str">
        <f>HYPERLINK("http://genome.ucsc.edu/cgi-bin/hgTracks?db=mm10&amp;lastVirtModeType=default&amp;lastVirtModeExtraState=&amp;virtModeType=default&amp;virtMode=0&amp;nonVirtPosition=&amp;position=chr18:88867879-88894207","chr18:88867879-88894207")</f>
        <v>chr18:88867879-88894207</v>
      </c>
      <c r="F3226" t="s">
        <v>25</v>
      </c>
      <c r="G3226">
        <v>-0.41361911958293501</v>
      </c>
      <c r="H3226">
        <v>0.15827715821083299</v>
      </c>
      <c r="I3226">
        <v>-2.61325844018487</v>
      </c>
      <c r="J3226">
        <v>8.9683456541192804E-3</v>
      </c>
      <c r="K3226">
        <v>3.7135162849199502E-2</v>
      </c>
      <c r="L3226" t="s">
        <v>26</v>
      </c>
      <c r="M3226" t="s">
        <v>27</v>
      </c>
      <c r="N3226">
        <v>150.31677183842299</v>
      </c>
      <c r="O3226">
        <v>175.095143285299</v>
      </c>
      <c r="P3226">
        <v>131.73299325326599</v>
      </c>
      <c r="Q3226">
        <v>193.20701346398701</v>
      </c>
      <c r="R3226">
        <v>177.870555671229</v>
      </c>
      <c r="S3226">
        <v>154.207860720681</v>
      </c>
      <c r="T3226">
        <v>151.237505614182</v>
      </c>
      <c r="U3226">
        <v>117.769121023704</v>
      </c>
      <c r="V3226">
        <v>133.88895954693001</v>
      </c>
      <c r="W3226">
        <v>124.03638682824899</v>
      </c>
    </row>
    <row r="3227" spans="1:23" x14ac:dyDescent="0.2">
      <c r="A3227" t="s">
        <v>6457</v>
      </c>
      <c r="B3227" s="3" t="str">
        <f>HYPERLINK("http://www.ncbi.nlm.nih.gov/gene/66396","Ccdc82")</f>
        <v>Ccdc82</v>
      </c>
      <c r="C3227">
        <v>66396</v>
      </c>
      <c r="D3227" t="s">
        <v>6458</v>
      </c>
      <c r="E3227" s="3" t="str">
        <f>HYPERLINK("http://genome.ucsc.edu/cgi-bin/hgTracks?db=mm10&amp;lastVirtModeType=default&amp;lastVirtModeExtraState=&amp;virtModeType=default&amp;virtMode=0&amp;nonVirtPosition=&amp;position=chr9:13246955-13292353","chr9:13246955-13292353")</f>
        <v>chr9:13246955-13292353</v>
      </c>
      <c r="F3227" t="s">
        <v>30</v>
      </c>
      <c r="G3227">
        <v>0.44418010161584598</v>
      </c>
      <c r="H3227">
        <v>0.17002383431106399</v>
      </c>
      <c r="I3227">
        <v>2.6124578557804199</v>
      </c>
      <c r="J3227">
        <v>8.9893774823168997E-3</v>
      </c>
      <c r="K3227">
        <v>3.71990957758652E-2</v>
      </c>
      <c r="L3227" t="s">
        <v>26</v>
      </c>
      <c r="M3227" t="s">
        <v>27</v>
      </c>
      <c r="N3227">
        <v>140.74581776979801</v>
      </c>
      <c r="O3227">
        <v>114.315221445484</v>
      </c>
      <c r="P3227">
        <v>160.56876501303299</v>
      </c>
      <c r="Q3227">
        <v>99.109073189019</v>
      </c>
      <c r="R3227">
        <v>111.880200262287</v>
      </c>
      <c r="S3227">
        <v>131.95639088514599</v>
      </c>
      <c r="T3227">
        <v>192.48409805441301</v>
      </c>
      <c r="U3227">
        <v>130.61666149901799</v>
      </c>
      <c r="V3227">
        <v>158.16552913510901</v>
      </c>
      <c r="W3227">
        <v>161.00877136359199</v>
      </c>
    </row>
    <row r="3228" spans="1:23" x14ac:dyDescent="0.2">
      <c r="A3228" t="s">
        <v>6459</v>
      </c>
      <c r="B3228" s="3" t="str">
        <f>HYPERLINK("http://www.ncbi.nlm.nih.gov/gene/224045","Eif2b5")</f>
        <v>Eif2b5</v>
      </c>
      <c r="C3228">
        <v>224045</v>
      </c>
      <c r="D3228" t="s">
        <v>6460</v>
      </c>
      <c r="E3228" s="3" t="str">
        <f>HYPERLINK("http://genome.ucsc.edu/cgi-bin/hgTracks?db=mm10&amp;lastVirtModeType=default&amp;lastVirtModeExtraState=&amp;virtModeType=default&amp;virtMode=0&amp;nonVirtPosition=&amp;position=chr16:20498816-20509325","chr16:20498816-20509325")</f>
        <v>chr16:20498816-20509325</v>
      </c>
      <c r="F3228" t="s">
        <v>30</v>
      </c>
      <c r="G3228">
        <v>-0.39980097780777302</v>
      </c>
      <c r="H3228">
        <v>0.153041678722043</v>
      </c>
      <c r="I3228">
        <v>-2.6123666516616</v>
      </c>
      <c r="J3228">
        <v>8.9917762612168207E-3</v>
      </c>
      <c r="K3228">
        <v>3.71990957758652E-2</v>
      </c>
      <c r="L3228" t="s">
        <v>26</v>
      </c>
      <c r="M3228" t="s">
        <v>27</v>
      </c>
      <c r="N3228">
        <v>236.46440813226101</v>
      </c>
      <c r="O3228">
        <v>278.30555027905501</v>
      </c>
      <c r="P3228">
        <v>205.08355152216501</v>
      </c>
      <c r="Q3228">
        <v>235.523246960422</v>
      </c>
      <c r="R3228">
        <v>314.78158039897602</v>
      </c>
      <c r="S3228">
        <v>284.61182347776599</v>
      </c>
      <c r="T3228">
        <v>164.98636976092499</v>
      </c>
      <c r="U3228">
        <v>226.973215063867</v>
      </c>
      <c r="V3228">
        <v>208.925629183121</v>
      </c>
      <c r="W3228">
        <v>219.44899208074801</v>
      </c>
    </row>
    <row r="3229" spans="1:23" x14ac:dyDescent="0.2">
      <c r="A3229" t="s">
        <v>6461</v>
      </c>
      <c r="B3229" s="3" t="str">
        <f>HYPERLINK("http://www.ncbi.nlm.nih.gov/gene/67252","Cap2")</f>
        <v>Cap2</v>
      </c>
      <c r="C3229">
        <v>67252</v>
      </c>
      <c r="D3229" t="s">
        <v>6462</v>
      </c>
      <c r="E3229" s="3" t="str">
        <f>HYPERLINK("http://genome.ucsc.edu/cgi-bin/hgTracks?db=mm10&amp;lastVirtModeType=default&amp;lastVirtModeExtraState=&amp;virtModeType=default&amp;virtMode=0&amp;nonVirtPosition=&amp;position=chr13:46501902-46650281","chr13:46501902-46650281")</f>
        <v>chr13:46501902-46650281</v>
      </c>
      <c r="F3229" t="s">
        <v>30</v>
      </c>
      <c r="G3229">
        <v>-0.59888524456833403</v>
      </c>
      <c r="H3229">
        <v>0.22925162782945999</v>
      </c>
      <c r="I3229">
        <v>-2.61234892959558</v>
      </c>
      <c r="J3229">
        <v>8.9922424393608907E-3</v>
      </c>
      <c r="K3229">
        <v>3.71990957758652E-2</v>
      </c>
      <c r="L3229" t="s">
        <v>26</v>
      </c>
      <c r="M3229" t="s">
        <v>27</v>
      </c>
      <c r="N3229">
        <v>172.191973760396</v>
      </c>
      <c r="O3229">
        <v>219.76843301205099</v>
      </c>
      <c r="P3229">
        <v>136.50962932165399</v>
      </c>
      <c r="Q3229">
        <v>276.16910281883997</v>
      </c>
      <c r="R3229">
        <v>235.13804800887399</v>
      </c>
      <c r="S3229">
        <v>147.99814820843801</v>
      </c>
      <c r="T3229">
        <v>100.825003742788</v>
      </c>
      <c r="U3229">
        <v>137.04043173667401</v>
      </c>
      <c r="V3229">
        <v>122.11850156478199</v>
      </c>
      <c r="W3229">
        <v>186.05458024237299</v>
      </c>
    </row>
    <row r="3230" spans="1:23" x14ac:dyDescent="0.2">
      <c r="A3230" t="s">
        <v>6463</v>
      </c>
      <c r="B3230" s="3" t="str">
        <f>HYPERLINK("http://www.ncbi.nlm.nih.gov/gene/67811","Poldip2")</f>
        <v>Poldip2</v>
      </c>
      <c r="C3230">
        <v>67811</v>
      </c>
      <c r="D3230" t="s">
        <v>6464</v>
      </c>
      <c r="E3230" s="3" t="str">
        <f>HYPERLINK("http://genome.ucsc.edu/cgi-bin/hgTracks?db=mm10&amp;lastVirtModeType=default&amp;lastVirtModeExtraState=&amp;virtModeType=default&amp;virtMode=0&amp;nonVirtPosition=&amp;position=chr11:78512295-78522736","chr11:78512295-78522736")</f>
        <v>chr11:78512295-78522736</v>
      </c>
      <c r="F3230" t="s">
        <v>30</v>
      </c>
      <c r="G3230">
        <v>-0.390932013101779</v>
      </c>
      <c r="H3230">
        <v>0.14965348285154301</v>
      </c>
      <c r="I3230">
        <v>-2.61224801222692</v>
      </c>
      <c r="J3230">
        <v>8.9948974775783397E-3</v>
      </c>
      <c r="K3230">
        <v>3.71990957758652E-2</v>
      </c>
      <c r="L3230" t="s">
        <v>26</v>
      </c>
      <c r="M3230" t="s">
        <v>27</v>
      </c>
      <c r="N3230">
        <v>329.20110040005102</v>
      </c>
      <c r="O3230">
        <v>382.026880303886</v>
      </c>
      <c r="P3230">
        <v>289.58176547217602</v>
      </c>
      <c r="Q3230">
        <v>346.88175616156701</v>
      </c>
      <c r="R3230">
        <v>445.24527155228702</v>
      </c>
      <c r="S3230">
        <v>353.95361319780397</v>
      </c>
      <c r="T3230">
        <v>270.39432821929501</v>
      </c>
      <c r="U3230">
        <v>340.45982259580001</v>
      </c>
      <c r="V3230">
        <v>255.271807487828</v>
      </c>
      <c r="W3230">
        <v>292.20110358577898</v>
      </c>
    </row>
    <row r="3231" spans="1:23" x14ac:dyDescent="0.2">
      <c r="A3231" t="s">
        <v>6465</v>
      </c>
      <c r="B3231" s="3" t="str">
        <f>HYPERLINK("http://www.ncbi.nlm.nih.gov/gene/18140","Uhrf1")</f>
        <v>Uhrf1</v>
      </c>
      <c r="C3231">
        <v>18140</v>
      </c>
      <c r="D3231" t="s">
        <v>6466</v>
      </c>
      <c r="E3231" s="3" t="str">
        <f>HYPERLINK("http://genome.ucsc.edu/cgi-bin/hgTracks?db=mm10&amp;lastVirtModeType=default&amp;lastVirtModeExtraState=&amp;virtModeType=default&amp;virtMode=0&amp;nonVirtPosition=&amp;position=chr17:56303336-56323486","chr17:56303336-56323486")</f>
        <v>chr17:56303336-56323486</v>
      </c>
      <c r="F3231" t="s">
        <v>30</v>
      </c>
      <c r="G3231">
        <v>0.68275513833800905</v>
      </c>
      <c r="H3231">
        <v>0.261479355490638</v>
      </c>
      <c r="I3231">
        <v>2.61112445017655</v>
      </c>
      <c r="J3231">
        <v>9.0245046246716608E-3</v>
      </c>
      <c r="K3231">
        <v>3.7303107083026803E-2</v>
      </c>
      <c r="L3231" t="s">
        <v>26</v>
      </c>
      <c r="M3231" t="s">
        <v>27</v>
      </c>
      <c r="N3231">
        <v>354.13471908626298</v>
      </c>
      <c r="O3231">
        <v>250.44470529845</v>
      </c>
      <c r="P3231">
        <v>431.90222942712302</v>
      </c>
      <c r="Q3231">
        <v>109.688131563128</v>
      </c>
      <c r="R3231">
        <v>328.05550246399298</v>
      </c>
      <c r="S3231">
        <v>313.59048186822997</v>
      </c>
      <c r="T3231">
        <v>513.29092814510102</v>
      </c>
      <c r="U3231">
        <v>400.41501148059501</v>
      </c>
      <c r="V3231">
        <v>377.39030905261001</v>
      </c>
      <c r="W3231">
        <v>436.51266903018399</v>
      </c>
    </row>
    <row r="3232" spans="1:23" x14ac:dyDescent="0.2">
      <c r="A3232" t="s">
        <v>6467</v>
      </c>
      <c r="B3232" s="3" t="str">
        <f>HYPERLINK("http://www.ncbi.nlm.nih.gov/gene/67845","Rnf115")</f>
        <v>Rnf115</v>
      </c>
      <c r="C3232">
        <v>67845</v>
      </c>
      <c r="D3232" t="s">
        <v>6468</v>
      </c>
      <c r="E3232" s="3" t="str">
        <f>HYPERLINK("http://genome.ucsc.edu/cgi-bin/hgTracks?db=mm10&amp;lastVirtModeType=default&amp;lastVirtModeExtraState=&amp;virtModeType=default&amp;virtMode=0&amp;nonVirtPosition=&amp;position=chr3:96727610-96791155","chr3:96727610-96791155")</f>
        <v>chr3:96727610-96791155</v>
      </c>
      <c r="F3232" t="s">
        <v>30</v>
      </c>
      <c r="G3232">
        <v>-0.42860737386243503</v>
      </c>
      <c r="H3232">
        <v>0.16414932134584001</v>
      </c>
      <c r="I3232">
        <v>-2.6110822167788301</v>
      </c>
      <c r="J3232">
        <v>9.0256192180574197E-3</v>
      </c>
      <c r="K3232">
        <v>3.7303107083026803E-2</v>
      </c>
      <c r="L3232" t="s">
        <v>26</v>
      </c>
      <c r="M3232" t="s">
        <v>27</v>
      </c>
      <c r="N3232">
        <v>236.43038870830699</v>
      </c>
      <c r="O3232">
        <v>274.86383262607302</v>
      </c>
      <c r="P3232">
        <v>207.60530576998201</v>
      </c>
      <c r="Q3232">
        <v>270.60117735878202</v>
      </c>
      <c r="R3232">
        <v>320.09114922498298</v>
      </c>
      <c r="S3232">
        <v>233.89917129445499</v>
      </c>
      <c r="T3232">
        <v>261.22841878813199</v>
      </c>
      <c r="U3232">
        <v>196.99562062146899</v>
      </c>
      <c r="V3232">
        <v>195.68386395320499</v>
      </c>
      <c r="W3232">
        <v>176.51331971712301</v>
      </c>
    </row>
    <row r="3233" spans="1:23" x14ac:dyDescent="0.2">
      <c r="A3233" t="s">
        <v>6469</v>
      </c>
      <c r="B3233" s="3" t="str">
        <f>HYPERLINK("http://www.ncbi.nlm.nih.gov/gene/102774","Bbs4")</f>
        <v>Bbs4</v>
      </c>
      <c r="C3233">
        <v>102774</v>
      </c>
      <c r="D3233" t="s">
        <v>6470</v>
      </c>
      <c r="E3233" s="3" t="str">
        <f>HYPERLINK("http://genome.ucsc.edu/cgi-bin/hgTracks?db=mm10&amp;lastVirtModeType=default&amp;lastVirtModeExtraState=&amp;virtModeType=default&amp;virtMode=0&amp;nonVirtPosition=&amp;position=chr9:59321965-59353508","chr9:59321965-59353508")</f>
        <v>chr9:59321965-59353508</v>
      </c>
      <c r="F3233" t="s">
        <v>25</v>
      </c>
      <c r="G3233">
        <v>-0.61450140138667897</v>
      </c>
      <c r="H3233">
        <v>0.23536580364041099</v>
      </c>
      <c r="I3233">
        <v>-2.6108355244566801</v>
      </c>
      <c r="J3233">
        <v>9.0321322002857602E-3</v>
      </c>
      <c r="K3233">
        <v>3.7318507341569503E-2</v>
      </c>
      <c r="L3233" t="s">
        <v>26</v>
      </c>
      <c r="M3233" t="s">
        <v>27</v>
      </c>
      <c r="N3233">
        <v>74.3647503036496</v>
      </c>
      <c r="O3233">
        <v>94.878396943730493</v>
      </c>
      <c r="P3233">
        <v>58.979515323588998</v>
      </c>
      <c r="Q3233">
        <v>113.58567938516801</v>
      </c>
      <c r="R3233">
        <v>104.29510193941999</v>
      </c>
      <c r="S3233">
        <v>66.754409506603395</v>
      </c>
      <c r="T3233">
        <v>64.161366018137699</v>
      </c>
      <c r="U3233">
        <v>47.107648409481797</v>
      </c>
      <c r="V3233">
        <v>66.208826149580702</v>
      </c>
      <c r="W3233">
        <v>58.440220717155803</v>
      </c>
    </row>
    <row r="3234" spans="1:23" x14ac:dyDescent="0.2">
      <c r="A3234" t="s">
        <v>6471</v>
      </c>
      <c r="B3234" s="3" t="str">
        <f>HYPERLINK("http://www.ncbi.nlm.nih.gov/gene/212518","Sprn")</f>
        <v>Sprn</v>
      </c>
      <c r="C3234">
        <v>212518</v>
      </c>
      <c r="D3234" t="s">
        <v>6472</v>
      </c>
      <c r="E3234" s="3" t="str">
        <f>HYPERLINK("http://genome.ucsc.edu/cgi-bin/hgTracks?db=mm10&amp;lastVirtModeType=default&amp;lastVirtModeExtraState=&amp;virtModeType=default&amp;virtMode=0&amp;nonVirtPosition=&amp;position=chr7:140150627-140154659","chr7:140150627-140154659")</f>
        <v>chr7:140150627-140154659</v>
      </c>
      <c r="F3234" t="s">
        <v>25</v>
      </c>
      <c r="G3234">
        <v>-0.64213435942881103</v>
      </c>
      <c r="H3234">
        <v>0.24602247694363</v>
      </c>
      <c r="I3234">
        <v>-2.6100637933823401</v>
      </c>
      <c r="J3234">
        <v>9.0525339612886994E-3</v>
      </c>
      <c r="K3234">
        <v>3.7391265353367301E-2</v>
      </c>
      <c r="L3234" t="s">
        <v>26</v>
      </c>
      <c r="M3234" t="s">
        <v>27</v>
      </c>
      <c r="N3234">
        <v>144.12849924489501</v>
      </c>
      <c r="O3234">
        <v>185.50158638238901</v>
      </c>
      <c r="P3234">
        <v>113.098683891775</v>
      </c>
      <c r="Q3234">
        <v>273.94193263481702</v>
      </c>
      <c r="R3234">
        <v>137.66953456003401</v>
      </c>
      <c r="S3234">
        <v>144.89329195231701</v>
      </c>
      <c r="T3234">
        <v>105.407958458369</v>
      </c>
      <c r="U3234">
        <v>147.74671546610199</v>
      </c>
      <c r="V3234">
        <v>107.405429087098</v>
      </c>
      <c r="W3234">
        <v>91.834632555530504</v>
      </c>
    </row>
    <row r="3235" spans="1:23" x14ac:dyDescent="0.2">
      <c r="A3235" t="s">
        <v>6473</v>
      </c>
      <c r="B3235" s="3" t="str">
        <f>HYPERLINK("http://www.ncbi.nlm.nih.gov/gene/12175","Bnip2")</f>
        <v>Bnip2</v>
      </c>
      <c r="C3235">
        <v>12175</v>
      </c>
      <c r="D3235" t="s">
        <v>6474</v>
      </c>
      <c r="E3235" s="3" t="str">
        <f>HYPERLINK("http://genome.ucsc.edu/cgi-bin/hgTracks?db=mm10&amp;lastVirtModeType=default&amp;lastVirtModeExtraState=&amp;virtModeType=default&amp;virtMode=0&amp;nonVirtPosition=&amp;position=chr9:69989465-70011659","chr9:69989465-70011659")</f>
        <v>chr9:69989465-70011659</v>
      </c>
      <c r="F3235" t="s">
        <v>30</v>
      </c>
      <c r="G3235">
        <v>-0.29253098011039702</v>
      </c>
      <c r="H3235">
        <v>0.112116595882402</v>
      </c>
      <c r="I3235">
        <v>-2.6091675171553499</v>
      </c>
      <c r="J3235">
        <v>9.0762798773937892E-3</v>
      </c>
      <c r="K3235">
        <v>3.74777871841444E-2</v>
      </c>
      <c r="L3235" t="s">
        <v>26</v>
      </c>
      <c r="M3235" t="s">
        <v>27</v>
      </c>
      <c r="N3235">
        <v>403.217208760662</v>
      </c>
      <c r="O3235">
        <v>450.51659178043798</v>
      </c>
      <c r="P3235">
        <v>367.74267149583102</v>
      </c>
      <c r="Q3235">
        <v>423.16233496435098</v>
      </c>
      <c r="R3235">
        <v>458.51919361730398</v>
      </c>
      <c r="S3235">
        <v>469.86824675965801</v>
      </c>
      <c r="T3235">
        <v>394.13410553998898</v>
      </c>
      <c r="U3235">
        <v>334.03605235814302</v>
      </c>
      <c r="V3235">
        <v>376.65465542872602</v>
      </c>
      <c r="W3235">
        <v>366.145872656466</v>
      </c>
    </row>
    <row r="3236" spans="1:23" x14ac:dyDescent="0.2">
      <c r="A3236" t="s">
        <v>6475</v>
      </c>
      <c r="B3236" s="3" t="str">
        <f>HYPERLINK("http://www.ncbi.nlm.nih.gov/gene/69354","Slc38a4")</f>
        <v>Slc38a4</v>
      </c>
      <c r="C3236">
        <v>69354</v>
      </c>
      <c r="D3236" t="s">
        <v>6476</v>
      </c>
      <c r="E3236" s="3" t="str">
        <f>HYPERLINK("http://genome.ucsc.edu/cgi-bin/hgTracks?db=mm10&amp;lastVirtModeType=default&amp;lastVirtModeExtraState=&amp;virtModeType=default&amp;virtMode=0&amp;nonVirtPosition=&amp;position=chr15:96994822-97055956","chr15:96994822-97055956")</f>
        <v>chr15:96994822-97055956</v>
      </c>
      <c r="F3236" t="s">
        <v>25</v>
      </c>
      <c r="G3236">
        <v>0.64131638661385504</v>
      </c>
      <c r="H3236">
        <v>0.24580459411219899</v>
      </c>
      <c r="I3236">
        <v>2.6090496352607699</v>
      </c>
      <c r="J3236">
        <v>9.0794071714108294E-3</v>
      </c>
      <c r="K3236">
        <v>3.7479143474834303E-2</v>
      </c>
      <c r="L3236" t="s">
        <v>26</v>
      </c>
      <c r="M3236" t="s">
        <v>27</v>
      </c>
      <c r="N3236">
        <v>109.20727722523399</v>
      </c>
      <c r="O3236">
        <v>81.032571893735593</v>
      </c>
      <c r="P3236">
        <v>130.33830622385801</v>
      </c>
      <c r="Q3236">
        <v>59.0200098766068</v>
      </c>
      <c r="R3236">
        <v>67.128120157371995</v>
      </c>
      <c r="S3236">
        <v>116.94958564722801</v>
      </c>
      <c r="T3236">
        <v>87.076139596044001</v>
      </c>
      <c r="U3236">
        <v>154.170485703759</v>
      </c>
      <c r="V3236">
        <v>125.06111606031899</v>
      </c>
      <c r="W3236">
        <v>155.04548353531101</v>
      </c>
    </row>
    <row r="3237" spans="1:23" x14ac:dyDescent="0.2">
      <c r="A3237" t="s">
        <v>6477</v>
      </c>
      <c r="B3237" s="3" t="str">
        <f>HYPERLINK("http://www.ncbi.nlm.nih.gov/gene/76071","Jakmip1")</f>
        <v>Jakmip1</v>
      </c>
      <c r="C3237">
        <v>76071</v>
      </c>
      <c r="D3237" t="s">
        <v>6478</v>
      </c>
      <c r="E3237" s="3" t="str">
        <f>HYPERLINK("http://genome.ucsc.edu/cgi-bin/hgTracks?db=mm10&amp;lastVirtModeType=default&amp;lastVirtModeExtraState=&amp;virtModeType=default&amp;virtMode=0&amp;nonVirtPosition=&amp;position=chr5:37050856-37125298","chr5:37050856-37125298")</f>
        <v>chr5:37050856-37125298</v>
      </c>
      <c r="F3237" t="s">
        <v>30</v>
      </c>
      <c r="G3237">
        <v>0.81899841636595905</v>
      </c>
      <c r="H3237">
        <v>0.31394472841301801</v>
      </c>
      <c r="I3237">
        <v>2.6087344116461999</v>
      </c>
      <c r="J3237">
        <v>9.0877744789337397E-3</v>
      </c>
      <c r="K3237">
        <v>3.7502122664838801E-2</v>
      </c>
      <c r="L3237" t="s">
        <v>26</v>
      </c>
      <c r="M3237" t="s">
        <v>27</v>
      </c>
      <c r="N3237">
        <v>54.422237223536001</v>
      </c>
      <c r="O3237">
        <v>34.422280541830297</v>
      </c>
      <c r="P3237">
        <v>69.422204734815196</v>
      </c>
      <c r="Q3237">
        <v>43.986611134452303</v>
      </c>
      <c r="R3237">
        <v>37.546236698191102</v>
      </c>
      <c r="S3237">
        <v>21.733993792847599</v>
      </c>
      <c r="T3237">
        <v>68.744320733718993</v>
      </c>
      <c r="U3237">
        <v>53.531418647138402</v>
      </c>
      <c r="V3237">
        <v>39.7252956897484</v>
      </c>
      <c r="W3237">
        <v>115.687783868655</v>
      </c>
    </row>
    <row r="3238" spans="1:23" x14ac:dyDescent="0.2">
      <c r="A3238" t="s">
        <v>6479</v>
      </c>
      <c r="B3238" s="3" t="str">
        <f>HYPERLINK("http://www.ncbi.nlm.nih.gov/gene/53867","Col5a3")</f>
        <v>Col5a3</v>
      </c>
      <c r="C3238">
        <v>53867</v>
      </c>
      <c r="D3238" t="s">
        <v>6480</v>
      </c>
      <c r="E3238" s="3" t="str">
        <f>HYPERLINK("http://genome.ucsc.edu/cgi-bin/hgTracks?db=mm10&amp;lastVirtModeType=default&amp;lastVirtModeExtraState=&amp;virtModeType=default&amp;virtMode=0&amp;nonVirtPosition=&amp;position=chr9:20770056-20815067","chr9:20770056-20815067")</f>
        <v>chr9:20770056-20815067</v>
      </c>
      <c r="F3238" t="s">
        <v>25</v>
      </c>
      <c r="G3238">
        <v>0.52085151792941098</v>
      </c>
      <c r="H3238">
        <v>0.199697840143336</v>
      </c>
      <c r="I3238">
        <v>2.60819805339688</v>
      </c>
      <c r="J3238">
        <v>9.1020274158835606E-3</v>
      </c>
      <c r="K3238">
        <v>3.7549368184256603E-2</v>
      </c>
      <c r="L3238" t="s">
        <v>26</v>
      </c>
      <c r="M3238" t="s">
        <v>27</v>
      </c>
      <c r="N3238">
        <v>234.28363139783099</v>
      </c>
      <c r="O3238">
        <v>185.389463969773</v>
      </c>
      <c r="P3238">
        <v>270.95425696887497</v>
      </c>
      <c r="Q3238">
        <v>178.73040726783799</v>
      </c>
      <c r="R3238">
        <v>130.08443623716701</v>
      </c>
      <c r="S3238">
        <v>247.35354840431299</v>
      </c>
      <c r="T3238">
        <v>238.31364521022601</v>
      </c>
      <c r="U3238">
        <v>308.34097140751697</v>
      </c>
      <c r="V3238">
        <v>279.548377076007</v>
      </c>
      <c r="W3238">
        <v>257.61403418174802</v>
      </c>
    </row>
    <row r="3239" spans="1:23" x14ac:dyDescent="0.2">
      <c r="A3239" t="s">
        <v>6481</v>
      </c>
      <c r="B3239" s="3" t="str">
        <f>HYPERLINK("http://www.ncbi.nlm.nih.gov/gene/56771","Med20")</f>
        <v>Med20</v>
      </c>
      <c r="C3239">
        <v>56771</v>
      </c>
      <c r="D3239" t="s">
        <v>6482</v>
      </c>
      <c r="E3239" s="3" t="str">
        <f>HYPERLINK("http://genome.ucsc.edu/cgi-bin/hgTracks?db=mm10&amp;lastVirtModeType=default&amp;lastVirtModeExtraState=&amp;virtModeType=default&amp;virtMode=0&amp;nonVirtPosition=&amp;position=chr17:47611595-47624418","chr17:47611595-47624418")</f>
        <v>chr17:47611595-47624418</v>
      </c>
      <c r="F3239" t="s">
        <v>30</v>
      </c>
      <c r="G3239">
        <v>0.371697116027501</v>
      </c>
      <c r="H3239">
        <v>0.14252210874419199</v>
      </c>
      <c r="I3239">
        <v>2.6079961860138399</v>
      </c>
      <c r="J3239">
        <v>9.10739691337158E-3</v>
      </c>
      <c r="K3239">
        <v>3.7559948280553999E-2</v>
      </c>
      <c r="L3239" t="s">
        <v>26</v>
      </c>
      <c r="M3239" t="s">
        <v>27</v>
      </c>
      <c r="N3239">
        <v>165.27597824103501</v>
      </c>
      <c r="O3239">
        <v>141.88689894445801</v>
      </c>
      <c r="P3239">
        <v>182.81778771346799</v>
      </c>
      <c r="Q3239">
        <v>146.993232145511</v>
      </c>
      <c r="R3239">
        <v>132.73922065017101</v>
      </c>
      <c r="S3239">
        <v>145.928244037691</v>
      </c>
      <c r="T3239">
        <v>164.98636976092499</v>
      </c>
      <c r="U3239">
        <v>199.136877367355</v>
      </c>
      <c r="V3239">
        <v>194.21255670543701</v>
      </c>
      <c r="W3239">
        <v>172.93534702015501</v>
      </c>
    </row>
    <row r="3240" spans="1:23" x14ac:dyDescent="0.2">
      <c r="A3240" t="s">
        <v>6483</v>
      </c>
      <c r="B3240" s="3" t="str">
        <f>HYPERLINK("http://www.ncbi.nlm.nih.gov/gene/98741","Kcnb2")</f>
        <v>Kcnb2</v>
      </c>
      <c r="C3240">
        <v>98741</v>
      </c>
      <c r="D3240" t="s">
        <v>6484</v>
      </c>
      <c r="E3240" s="3" t="str">
        <f>HYPERLINK("http://genome.ucsc.edu/cgi-bin/hgTracks?db=mm10&amp;lastVirtModeType=default&amp;lastVirtModeExtraState=&amp;virtModeType=default&amp;virtMode=0&amp;nonVirtPosition=&amp;position=chr1:15312451-15714214","chr1:15312451-15714214")</f>
        <v>chr1:15312451-15714214</v>
      </c>
      <c r="F3240" t="s">
        <v>30</v>
      </c>
      <c r="G3240">
        <v>0.80698840116037696</v>
      </c>
      <c r="H3240">
        <v>0.30954713797702899</v>
      </c>
      <c r="I3240">
        <v>2.60699680970807</v>
      </c>
      <c r="J3240">
        <v>9.1340211322494397E-3</v>
      </c>
      <c r="K3240">
        <v>3.7658151780157703E-2</v>
      </c>
      <c r="L3240" t="s">
        <v>26</v>
      </c>
      <c r="M3240" t="s">
        <v>27</v>
      </c>
      <c r="N3240">
        <v>32.543203452284402</v>
      </c>
      <c r="O3240">
        <v>19.752402198475</v>
      </c>
      <c r="P3240">
        <v>42.136304392641399</v>
      </c>
      <c r="Q3240">
        <v>27.8396273002862</v>
      </c>
      <c r="R3240">
        <v>17.445726142593902</v>
      </c>
      <c r="S3240">
        <v>13.971853152544901</v>
      </c>
      <c r="T3240">
        <v>64.161366018137699</v>
      </c>
      <c r="U3240">
        <v>38.5426214259396</v>
      </c>
      <c r="V3240">
        <v>26.483530459832298</v>
      </c>
      <c r="W3240">
        <v>39.357699666655897</v>
      </c>
    </row>
    <row r="3241" spans="1:23" x14ac:dyDescent="0.2">
      <c r="A3241" t="s">
        <v>6485</v>
      </c>
      <c r="B3241" s="3" t="str">
        <f>HYPERLINK("http://www.ncbi.nlm.nih.gov/gene/353502","Hcfc1r1")</f>
        <v>Hcfc1r1</v>
      </c>
      <c r="C3241">
        <v>353502</v>
      </c>
      <c r="D3241" t="s">
        <v>6486</v>
      </c>
      <c r="E3241" s="3" t="str">
        <f>HYPERLINK("http://genome.ucsc.edu/cgi-bin/hgTracks?db=mm10&amp;lastVirtModeType=default&amp;lastVirtModeExtraState=&amp;virtModeType=default&amp;virtMode=0&amp;nonVirtPosition=&amp;position=chr17:23673607-23675524","chr17:23673607-23675524")</f>
        <v>chr17:23673607-23675524</v>
      </c>
      <c r="F3241" t="s">
        <v>30</v>
      </c>
      <c r="G3241">
        <v>-0.69314910718942702</v>
      </c>
      <c r="H3241">
        <v>0.26591060719547299</v>
      </c>
      <c r="I3241">
        <v>-2.6066997270247598</v>
      </c>
      <c r="J3241">
        <v>9.14194904836786E-3</v>
      </c>
      <c r="K3241">
        <v>3.7679236597935997E-2</v>
      </c>
      <c r="L3241" t="s">
        <v>26</v>
      </c>
      <c r="M3241" t="s">
        <v>27</v>
      </c>
      <c r="N3241">
        <v>54.034151412278099</v>
      </c>
      <c r="O3241">
        <v>73.1141217562745</v>
      </c>
      <c r="P3241">
        <v>39.724173654280897</v>
      </c>
      <c r="Q3241">
        <v>92.984355182956094</v>
      </c>
      <c r="R3241">
        <v>73.575453731808807</v>
      </c>
      <c r="S3241">
        <v>52.782556354058499</v>
      </c>
      <c r="T3241">
        <v>27.497728293487601</v>
      </c>
      <c r="U3241">
        <v>32.118851188283003</v>
      </c>
      <c r="V3241">
        <v>45.610524680822301</v>
      </c>
      <c r="W3241">
        <v>53.669590454530798</v>
      </c>
    </row>
    <row r="3242" spans="1:23" x14ac:dyDescent="0.2">
      <c r="A3242" t="s">
        <v>6487</v>
      </c>
      <c r="B3242" s="3" t="str">
        <f>HYPERLINK("http://www.ncbi.nlm.nih.gov/gene/108657","Rnpepl1")</f>
        <v>Rnpepl1</v>
      </c>
      <c r="C3242">
        <v>108657</v>
      </c>
      <c r="D3242" t="s">
        <v>6488</v>
      </c>
      <c r="E3242" s="3" t="str">
        <f>HYPERLINK("http://genome.ucsc.edu/cgi-bin/hgTracks?db=mm10&amp;lastVirtModeType=default&amp;lastVirtModeExtraState=&amp;virtModeType=default&amp;virtMode=0&amp;nonVirtPosition=&amp;position=chr1:92910824-92920585","chr1:92910824-92920585")</f>
        <v>chr1:92910824-92920585</v>
      </c>
      <c r="F3242" t="s">
        <v>30</v>
      </c>
      <c r="G3242">
        <v>0.41201274973714203</v>
      </c>
      <c r="H3242">
        <v>0.15808422199337699</v>
      </c>
      <c r="I3242">
        <v>2.6062863487692298</v>
      </c>
      <c r="J3242">
        <v>9.1529906351089391E-3</v>
      </c>
      <c r="K3242">
        <v>3.7713137721459601E-2</v>
      </c>
      <c r="L3242" t="s">
        <v>26</v>
      </c>
      <c r="M3242" t="s">
        <v>27</v>
      </c>
      <c r="N3242">
        <v>293.853688175645</v>
      </c>
      <c r="O3242">
        <v>244.415686165512</v>
      </c>
      <c r="P3242">
        <v>330.93218968324601</v>
      </c>
      <c r="Q3242">
        <v>216.03550785022099</v>
      </c>
      <c r="R3242">
        <v>210.86573337569999</v>
      </c>
      <c r="S3242">
        <v>306.34581727061402</v>
      </c>
      <c r="T3242">
        <v>357.47046781533902</v>
      </c>
      <c r="U3242">
        <v>321.18851188283003</v>
      </c>
      <c r="V3242">
        <v>326.63020900459799</v>
      </c>
      <c r="W3242">
        <v>318.43957003021598</v>
      </c>
    </row>
    <row r="3243" spans="1:23" x14ac:dyDescent="0.2">
      <c r="A3243" t="s">
        <v>6489</v>
      </c>
      <c r="B3243" s="3" t="str">
        <f>HYPERLINK("http://www.ncbi.nlm.nih.gov/gene/67053","Rpp14")</f>
        <v>Rpp14</v>
      </c>
      <c r="C3243">
        <v>67053</v>
      </c>
      <c r="D3243" t="s">
        <v>6490</v>
      </c>
      <c r="E3243" s="3" t="str">
        <f>HYPERLINK("http://genome.ucsc.edu/cgi-bin/hgTracks?db=mm10&amp;lastVirtModeType=default&amp;lastVirtModeExtraState=&amp;virtModeType=default&amp;virtMode=0&amp;nonVirtPosition=&amp;position=chr14:8080312-8091846","chr14:8080312-8091846")</f>
        <v>chr14:8080312-8091846</v>
      </c>
      <c r="F3243" t="s">
        <v>30</v>
      </c>
      <c r="G3243">
        <v>-0.40585764945188202</v>
      </c>
      <c r="H3243">
        <v>0.15576926759037399</v>
      </c>
      <c r="I3243">
        <v>-2.6055052818195499</v>
      </c>
      <c r="J3243">
        <v>9.1738859123406298E-3</v>
      </c>
      <c r="K3243">
        <v>3.7787605737358801E-2</v>
      </c>
      <c r="L3243" t="s">
        <v>26</v>
      </c>
      <c r="M3243" t="s">
        <v>27</v>
      </c>
      <c r="N3243">
        <v>137.288333077424</v>
      </c>
      <c r="O3243">
        <v>158.865938160562</v>
      </c>
      <c r="P3243">
        <v>121.105129265071</v>
      </c>
      <c r="Q3243">
        <v>147.550024691517</v>
      </c>
      <c r="R3243">
        <v>169.14769259993199</v>
      </c>
      <c r="S3243">
        <v>159.90009719023601</v>
      </c>
      <c r="T3243">
        <v>142.07159618301901</v>
      </c>
      <c r="U3243">
        <v>104.92158054839101</v>
      </c>
      <c r="V3243">
        <v>116.96892619759301</v>
      </c>
      <c r="W3243">
        <v>120.45841413127999</v>
      </c>
    </row>
    <row r="3244" spans="1:23" x14ac:dyDescent="0.2">
      <c r="A3244" t="s">
        <v>6491</v>
      </c>
      <c r="B3244" s="3" t="str">
        <f>HYPERLINK("http://www.ncbi.nlm.nih.gov/gene/13549","Dyrk1b")</f>
        <v>Dyrk1b</v>
      </c>
      <c r="C3244">
        <v>13549</v>
      </c>
      <c r="D3244" t="s">
        <v>6492</v>
      </c>
      <c r="E3244" s="3" t="str">
        <f>HYPERLINK("http://genome.ucsc.edu/cgi-bin/hgTracks?db=mm10&amp;lastVirtModeType=default&amp;lastVirtModeExtraState=&amp;virtModeType=default&amp;virtMode=0&amp;nonVirtPosition=&amp;position=chr7:28179482-28187298","chr7:28179482-28187298")</f>
        <v>chr7:28179482-28187298</v>
      </c>
      <c r="F3244" t="s">
        <v>30</v>
      </c>
      <c r="G3244">
        <v>0.52439446279104496</v>
      </c>
      <c r="H3244">
        <v>0.20130228478999199</v>
      </c>
      <c r="I3244">
        <v>2.60500998951958</v>
      </c>
      <c r="J3244">
        <v>9.1871581322963795E-3</v>
      </c>
      <c r="K3244">
        <v>3.7830637930375402E-2</v>
      </c>
      <c r="L3244" t="s">
        <v>26</v>
      </c>
      <c r="M3244" t="s">
        <v>27</v>
      </c>
      <c r="N3244">
        <v>128.260963798246</v>
      </c>
      <c r="O3244">
        <v>101.160462416315</v>
      </c>
      <c r="P3244">
        <v>148.586339834695</v>
      </c>
      <c r="Q3244">
        <v>116.369642115197</v>
      </c>
      <c r="R3244">
        <v>70.162159486518803</v>
      </c>
      <c r="S3244">
        <v>116.94958564722801</v>
      </c>
      <c r="T3244">
        <v>151.237505614182</v>
      </c>
      <c r="U3244">
        <v>139.18168848255999</v>
      </c>
      <c r="V3244">
        <v>150.07333927238301</v>
      </c>
      <c r="W3244">
        <v>153.85282596965499</v>
      </c>
    </row>
    <row r="3245" spans="1:23" x14ac:dyDescent="0.2">
      <c r="A3245" t="s">
        <v>6493</v>
      </c>
      <c r="B3245" s="3" t="str">
        <f>HYPERLINK("http://www.ncbi.nlm.nih.gov/gene/225994","Nmrk1")</f>
        <v>Nmrk1</v>
      </c>
      <c r="C3245">
        <v>225994</v>
      </c>
      <c r="D3245" t="s">
        <v>6494</v>
      </c>
      <c r="E3245" s="3" t="str">
        <f>HYPERLINK("http://genome.ucsc.edu/cgi-bin/hgTracks?db=mm10&amp;lastVirtModeType=default&amp;lastVirtModeExtraState=&amp;virtModeType=default&amp;virtMode=0&amp;nonVirtPosition=&amp;position=chr19:18632015-18652184","chr19:18632015-18652184")</f>
        <v>chr19:18632015-18652184</v>
      </c>
      <c r="F3245" t="s">
        <v>30</v>
      </c>
      <c r="G3245">
        <v>-0.62320478724900996</v>
      </c>
      <c r="H3245">
        <v>0.239311757869651</v>
      </c>
      <c r="I3245">
        <v>-2.6041544836608499</v>
      </c>
      <c r="J3245">
        <v>9.2101232731641898E-3</v>
      </c>
      <c r="K3245">
        <v>3.7913544651380797E-2</v>
      </c>
      <c r="L3245" t="s">
        <v>26</v>
      </c>
      <c r="M3245" t="s">
        <v>27</v>
      </c>
      <c r="N3245">
        <v>54.143981159295002</v>
      </c>
      <c r="O3245">
        <v>67.320134249375499</v>
      </c>
      <c r="P3245">
        <v>44.261866341734702</v>
      </c>
      <c r="Q3245">
        <v>80.734919170830096</v>
      </c>
      <c r="R3245">
        <v>60.680786582935099</v>
      </c>
      <c r="S3245">
        <v>60.544696994361203</v>
      </c>
      <c r="T3245">
        <v>64.161366018137699</v>
      </c>
      <c r="U3245">
        <v>34.260107934168602</v>
      </c>
      <c r="V3245">
        <v>40.460949313632703</v>
      </c>
      <c r="W3245">
        <v>38.165042100999699</v>
      </c>
    </row>
    <row r="3246" spans="1:23" x14ac:dyDescent="0.2">
      <c r="A3246" t="s">
        <v>6495</v>
      </c>
      <c r="B3246" s="3" t="str">
        <f>HYPERLINK("http://www.ncbi.nlm.nih.gov/gene/11472","Actn2")</f>
        <v>Actn2</v>
      </c>
      <c r="C3246">
        <v>11472</v>
      </c>
      <c r="D3246" t="s">
        <v>6496</v>
      </c>
      <c r="E3246" s="3" t="str">
        <f>HYPERLINK("http://genome.ucsc.edu/cgi-bin/hgTracks?db=mm10&amp;lastVirtModeType=default&amp;lastVirtModeExtraState=&amp;virtModeType=default&amp;virtMode=0&amp;nonVirtPosition=&amp;position=chr13:12269426-12340732","chr13:12269426-12340732")</f>
        <v>chr13:12269426-12340732</v>
      </c>
      <c r="F3246" t="s">
        <v>25</v>
      </c>
      <c r="G3246">
        <v>1.0364317272707999</v>
      </c>
      <c r="H3246">
        <v>0.39806895555529398</v>
      </c>
      <c r="I3246">
        <v>2.60364872167689</v>
      </c>
      <c r="J3246">
        <v>9.2237239981888593E-3</v>
      </c>
      <c r="K3246">
        <v>3.7957863570911798E-2</v>
      </c>
      <c r="L3246" t="s">
        <v>26</v>
      </c>
      <c r="M3246" t="s">
        <v>27</v>
      </c>
      <c r="N3246">
        <v>10.071631608333</v>
      </c>
      <c r="O3246">
        <v>3.5522440376837001</v>
      </c>
      <c r="P3246">
        <v>14.9611722863201</v>
      </c>
      <c r="Q3246">
        <v>3.8975478220400701</v>
      </c>
      <c r="R3246">
        <v>4.1718040775767902</v>
      </c>
      <c r="S3246">
        <v>2.5873802134342401</v>
      </c>
      <c r="T3246">
        <v>18.3318188623251</v>
      </c>
      <c r="U3246">
        <v>27.836337696512</v>
      </c>
      <c r="V3246">
        <v>2.9426144955369198</v>
      </c>
      <c r="W3246">
        <v>10.733918090906201</v>
      </c>
    </row>
    <row r="3247" spans="1:23" x14ac:dyDescent="0.2">
      <c r="A3247" t="s">
        <v>6497</v>
      </c>
      <c r="B3247" s="3" t="str">
        <f>HYPERLINK("http://www.ncbi.nlm.nih.gov/gene/67673","Tceb2")</f>
        <v>Tceb2</v>
      </c>
      <c r="C3247">
        <v>67673</v>
      </c>
      <c r="D3247" t="s">
        <v>6498</v>
      </c>
      <c r="E3247" s="3" t="str">
        <f>HYPERLINK("http://genome.ucsc.edu/cgi-bin/hgTracks?db=mm10&amp;lastVirtModeType=default&amp;lastVirtModeExtraState=&amp;virtModeType=default&amp;virtMode=0&amp;nonVirtPosition=&amp;position=chr17:23824739-23829109","chr17:23824739-23829109")</f>
        <v>chr17:23824739-23829109</v>
      </c>
      <c r="F3247" t="s">
        <v>25</v>
      </c>
      <c r="G3247">
        <v>-0.37384554512184098</v>
      </c>
      <c r="H3247">
        <v>0.143593808837468</v>
      </c>
      <c r="I3247">
        <v>-2.6034934803142602</v>
      </c>
      <c r="J3247">
        <v>9.2279022732568907E-3</v>
      </c>
      <c r="K3247">
        <v>3.7963391502667601E-2</v>
      </c>
      <c r="L3247" t="s">
        <v>26</v>
      </c>
      <c r="M3247" t="s">
        <v>27</v>
      </c>
      <c r="N3247">
        <v>225.59035757002599</v>
      </c>
      <c r="O3247">
        <v>265.349250460517</v>
      </c>
      <c r="P3247">
        <v>195.77118790215701</v>
      </c>
      <c r="Q3247">
        <v>258.35174134665601</v>
      </c>
      <c r="R3247">
        <v>281.02789286221798</v>
      </c>
      <c r="S3247">
        <v>256.66811717267598</v>
      </c>
      <c r="T3247">
        <v>142.07159618301901</v>
      </c>
      <c r="U3247">
        <v>205.56064760501101</v>
      </c>
      <c r="V3247">
        <v>214.810858174195</v>
      </c>
      <c r="W3247">
        <v>220.64164964640401</v>
      </c>
    </row>
    <row r="3248" spans="1:23" x14ac:dyDescent="0.2">
      <c r="A3248" t="s">
        <v>6499</v>
      </c>
      <c r="B3248" s="3" t="str">
        <f>HYPERLINK("http://www.ncbi.nlm.nih.gov/gene/19651","Rbl2")</f>
        <v>Rbl2</v>
      </c>
      <c r="C3248">
        <v>19651</v>
      </c>
      <c r="D3248" t="s">
        <v>6500</v>
      </c>
      <c r="E3248" s="3" t="str">
        <f>HYPERLINK("http://genome.ucsc.edu/cgi-bin/hgTracks?db=mm10&amp;lastVirtModeType=default&amp;lastVirtModeExtraState=&amp;virtModeType=default&amp;virtMode=0&amp;nonVirtPosition=&amp;position=chr8:91070056-91123844","chr8:91070056-91123844")</f>
        <v>chr8:91070056-91123844</v>
      </c>
      <c r="F3248" t="s">
        <v>30</v>
      </c>
      <c r="G3248">
        <v>-0.40647336510424997</v>
      </c>
      <c r="H3248">
        <v>0.15621213970921499</v>
      </c>
      <c r="I3248">
        <v>-2.6020600310634601</v>
      </c>
      <c r="J3248">
        <v>9.2665630128444098E-3</v>
      </c>
      <c r="K3248">
        <v>3.8110732587530498E-2</v>
      </c>
      <c r="L3248" t="s">
        <v>26</v>
      </c>
      <c r="M3248" t="s">
        <v>27</v>
      </c>
      <c r="N3248">
        <v>276.95044346877802</v>
      </c>
      <c r="O3248">
        <v>324.23685035237799</v>
      </c>
      <c r="P3248">
        <v>241.48563830607799</v>
      </c>
      <c r="Q3248">
        <v>386.414026927973</v>
      </c>
      <c r="R3248">
        <v>293.922560011092</v>
      </c>
      <c r="S3248">
        <v>292.37396411806901</v>
      </c>
      <c r="T3248">
        <v>261.22841878813199</v>
      </c>
      <c r="U3248">
        <v>205.56064760501101</v>
      </c>
      <c r="V3248">
        <v>267.77791909386002</v>
      </c>
      <c r="W3248">
        <v>231.375567737311</v>
      </c>
    </row>
    <row r="3249" spans="1:23" x14ac:dyDescent="0.2">
      <c r="A3249" t="s">
        <v>6501</v>
      </c>
      <c r="B3249" s="3" t="str">
        <f>HYPERLINK("http://www.ncbi.nlm.nih.gov/gene/20656","Sod2")</f>
        <v>Sod2</v>
      </c>
      <c r="C3249">
        <v>20656</v>
      </c>
      <c r="D3249" t="s">
        <v>6502</v>
      </c>
      <c r="E3249" s="3" t="str">
        <f>HYPERLINK("http://genome.ucsc.edu/cgi-bin/hgTracks?db=mm10&amp;lastVirtModeType=default&amp;lastVirtModeExtraState=&amp;virtModeType=default&amp;virtMode=0&amp;nonVirtPosition=&amp;position=chr17:13007838-13018119","chr17:13007838-13018119")</f>
        <v>chr17:13007838-13018119</v>
      </c>
      <c r="F3249" t="s">
        <v>30</v>
      </c>
      <c r="G3249">
        <v>-0.32517691037077501</v>
      </c>
      <c r="H3249">
        <v>0.124981107364687</v>
      </c>
      <c r="I3249">
        <v>-2.6018085231228598</v>
      </c>
      <c r="J3249">
        <v>9.2733611745172105E-3</v>
      </c>
      <c r="K3249">
        <v>3.8116970621805198E-2</v>
      </c>
      <c r="L3249" t="s">
        <v>26</v>
      </c>
      <c r="M3249" t="s">
        <v>27</v>
      </c>
      <c r="N3249">
        <v>399.89897051062002</v>
      </c>
      <c r="O3249">
        <v>451.69833064263997</v>
      </c>
      <c r="P3249">
        <v>361.04945041160602</v>
      </c>
      <c r="Q3249">
        <v>417.03761695828803</v>
      </c>
      <c r="R3249">
        <v>498.72021472849798</v>
      </c>
      <c r="S3249">
        <v>439.33716024113397</v>
      </c>
      <c r="T3249">
        <v>357.47046781533902</v>
      </c>
      <c r="U3249">
        <v>402.556268226481</v>
      </c>
      <c r="V3249">
        <v>334.72239886732501</v>
      </c>
      <c r="W3249">
        <v>349.44866673727802</v>
      </c>
    </row>
    <row r="3250" spans="1:23" x14ac:dyDescent="0.2">
      <c r="A3250" t="s">
        <v>6503</v>
      </c>
      <c r="B3250" s="3" t="str">
        <f>HYPERLINK("http://www.ncbi.nlm.nih.gov/gene/22152","Tubb3")</f>
        <v>Tubb3</v>
      </c>
      <c r="C3250">
        <v>22152</v>
      </c>
      <c r="D3250" t="s">
        <v>6504</v>
      </c>
      <c r="E3250" s="3" t="str">
        <f>HYPERLINK("http://genome.ucsc.edu/cgi-bin/hgTracks?db=mm10&amp;lastVirtModeType=default&amp;lastVirtModeExtraState=&amp;virtModeType=default&amp;virtMode=0&amp;nonVirtPosition=&amp;position=chr8:123411563-123422010","chr8:123411563-123422010")</f>
        <v>chr8:123411563-123422010</v>
      </c>
      <c r="F3250" t="s">
        <v>30</v>
      </c>
      <c r="G3250">
        <v>-0.477752458435247</v>
      </c>
      <c r="H3250">
        <v>0.183626582188817</v>
      </c>
      <c r="I3250">
        <v>-2.6017608820055802</v>
      </c>
      <c r="J3250">
        <v>9.2746493965847592E-3</v>
      </c>
      <c r="K3250">
        <v>3.8116970621805198E-2</v>
      </c>
      <c r="L3250" t="s">
        <v>26</v>
      </c>
      <c r="M3250" t="s">
        <v>27</v>
      </c>
      <c r="N3250">
        <v>697.163603446617</v>
      </c>
      <c r="O3250">
        <v>845.08095392601103</v>
      </c>
      <c r="P3250">
        <v>586.225590587071</v>
      </c>
      <c r="Q3250">
        <v>767.26012839588896</v>
      </c>
      <c r="R3250">
        <v>963.30748700409504</v>
      </c>
      <c r="S3250">
        <v>804.67524637804797</v>
      </c>
      <c r="T3250">
        <v>394.13410553998898</v>
      </c>
      <c r="U3250">
        <v>528.89041623372702</v>
      </c>
      <c r="V3250">
        <v>690.77875282729201</v>
      </c>
      <c r="W3250">
        <v>731.09908774727501</v>
      </c>
    </row>
    <row r="3251" spans="1:23" x14ac:dyDescent="0.2">
      <c r="A3251" t="s">
        <v>6505</v>
      </c>
      <c r="B3251" s="3" t="str">
        <f>HYPERLINK("http://www.ncbi.nlm.nih.gov/gene/98404","AI597479")</f>
        <v>AI597479</v>
      </c>
      <c r="C3251">
        <v>98404</v>
      </c>
      <c r="D3251" t="s">
        <v>6506</v>
      </c>
      <c r="E3251" s="3" t="str">
        <f>HYPERLINK("http://genome.ucsc.edu/cgi-bin/hgTracks?db=mm10&amp;lastVirtModeType=default&amp;lastVirtModeExtraState=&amp;virtModeType=default&amp;virtMode=0&amp;nonVirtPosition=&amp;position=chr1:43098709-43115946","chr1:43098709-43115946")</f>
        <v>chr1:43098709-43115946</v>
      </c>
      <c r="F3251" t="s">
        <v>30</v>
      </c>
      <c r="G3251">
        <v>-0.51677784162681795</v>
      </c>
      <c r="H3251">
        <v>0.19863174686563201</v>
      </c>
      <c r="I3251">
        <v>-2.6016880472606498</v>
      </c>
      <c r="J3251">
        <v>9.2766191663403302E-3</v>
      </c>
      <c r="K3251">
        <v>3.8116970621805198E-2</v>
      </c>
      <c r="L3251" t="s">
        <v>26</v>
      </c>
      <c r="M3251" t="s">
        <v>27</v>
      </c>
      <c r="N3251">
        <v>157.91396300762301</v>
      </c>
      <c r="O3251">
        <v>192.987958390138</v>
      </c>
      <c r="P3251">
        <v>131.608466470737</v>
      </c>
      <c r="Q3251">
        <v>252.22702334059301</v>
      </c>
      <c r="R3251">
        <v>168.389182767645</v>
      </c>
      <c r="S3251">
        <v>158.34766906217499</v>
      </c>
      <c r="T3251">
        <v>146.65455089860001</v>
      </c>
      <c r="U3251">
        <v>107.062837294277</v>
      </c>
      <c r="V3251">
        <v>142.716803033541</v>
      </c>
      <c r="W3251">
        <v>129.99967465653</v>
      </c>
    </row>
    <row r="3252" spans="1:23" x14ac:dyDescent="0.2">
      <c r="A3252" t="s">
        <v>6507</v>
      </c>
      <c r="B3252" s="3" t="str">
        <f>HYPERLINK("http://www.ncbi.nlm.nih.gov/gene/212390","Klhl32")</f>
        <v>Klhl32</v>
      </c>
      <c r="C3252">
        <v>212390</v>
      </c>
      <c r="D3252" t="s">
        <v>6508</v>
      </c>
      <c r="E3252" s="3" t="str">
        <f>HYPERLINK("http://genome.ucsc.edu/cgi-bin/hgTracks?db=mm10&amp;lastVirtModeType=default&amp;lastVirtModeExtraState=&amp;virtModeType=default&amp;virtMode=0&amp;nonVirtPosition=&amp;position=chr4:24617272-24851086","chr4:24617272-24851086")</f>
        <v>chr4:24617272-24851086</v>
      </c>
      <c r="F3252" t="s">
        <v>25</v>
      </c>
      <c r="G3252">
        <v>-0.46104410632493198</v>
      </c>
      <c r="H3252">
        <v>0.17727563469966101</v>
      </c>
      <c r="I3252">
        <v>-2.6007189713692398</v>
      </c>
      <c r="J3252">
        <v>9.3028627611675008E-3</v>
      </c>
      <c r="K3252">
        <v>3.8213078292881598E-2</v>
      </c>
      <c r="L3252" t="s">
        <v>26</v>
      </c>
      <c r="M3252" t="s">
        <v>27</v>
      </c>
      <c r="N3252">
        <v>200.64986057617801</v>
      </c>
      <c r="O3252">
        <v>235.787546712292</v>
      </c>
      <c r="P3252">
        <v>174.29659597409301</v>
      </c>
      <c r="Q3252">
        <v>282.29382082490298</v>
      </c>
      <c r="R3252">
        <v>206.69392929812301</v>
      </c>
      <c r="S3252">
        <v>218.37489001385001</v>
      </c>
      <c r="T3252">
        <v>233.73069049464399</v>
      </c>
      <c r="U3252">
        <v>149.88797221198701</v>
      </c>
      <c r="V3252">
        <v>153.75160739180399</v>
      </c>
      <c r="W3252">
        <v>159.816113797936</v>
      </c>
    </row>
    <row r="3253" spans="1:23" x14ac:dyDescent="0.2">
      <c r="A3253" t="s">
        <v>6509</v>
      </c>
      <c r="B3253" s="3" t="str">
        <f>HYPERLINK("http://www.ncbi.nlm.nih.gov/gene/68420","Ankrd13a")</f>
        <v>Ankrd13a</v>
      </c>
      <c r="C3253">
        <v>68420</v>
      </c>
      <c r="D3253" t="s">
        <v>6510</v>
      </c>
      <c r="E3253" s="3" t="str">
        <f>HYPERLINK("http://genome.ucsc.edu/cgi-bin/hgTracks?db=mm10&amp;lastVirtModeType=default&amp;lastVirtModeExtraState=&amp;virtModeType=default&amp;virtMode=0&amp;nonVirtPosition=&amp;position=chr5:114775139-114805820","chr5:114775139-114805820")</f>
        <v>chr5:114775139-114805820</v>
      </c>
      <c r="F3253" t="s">
        <v>30</v>
      </c>
      <c r="G3253">
        <v>-0.33169547627860502</v>
      </c>
      <c r="H3253">
        <v>0.12756215907229099</v>
      </c>
      <c r="I3253">
        <v>-2.6002654603128099</v>
      </c>
      <c r="J3253">
        <v>9.3151670570962505E-3</v>
      </c>
      <c r="K3253">
        <v>3.8251886556754301E-2</v>
      </c>
      <c r="L3253" t="s">
        <v>26</v>
      </c>
      <c r="M3253" t="s">
        <v>27</v>
      </c>
      <c r="N3253">
        <v>505.633428535907</v>
      </c>
      <c r="O3253">
        <v>579.76046481408696</v>
      </c>
      <c r="P3253">
        <v>450.038151327273</v>
      </c>
      <c r="Q3253">
        <v>561.80367891977698</v>
      </c>
      <c r="R3253">
        <v>611.35892482307202</v>
      </c>
      <c r="S3253">
        <v>566.11879069941097</v>
      </c>
      <c r="T3253">
        <v>357.47046781533902</v>
      </c>
      <c r="U3253">
        <v>501.05407853721499</v>
      </c>
      <c r="V3253">
        <v>503.92273236069798</v>
      </c>
      <c r="W3253">
        <v>437.70532659584001</v>
      </c>
    </row>
    <row r="3254" spans="1:23" x14ac:dyDescent="0.2">
      <c r="A3254" t="s">
        <v>6511</v>
      </c>
      <c r="B3254" s="3" t="str">
        <f>HYPERLINK("http://www.ncbi.nlm.nih.gov/gene/18002","Nedd8")</f>
        <v>Nedd8</v>
      </c>
      <c r="C3254">
        <v>18002</v>
      </c>
      <c r="D3254" t="s">
        <v>6512</v>
      </c>
      <c r="E3254" s="3" t="str">
        <f>HYPERLINK("http://genome.ucsc.edu/cgi-bin/hgTracks?db=mm10&amp;lastVirtModeType=default&amp;lastVirtModeExtraState=&amp;virtModeType=default&amp;virtMode=0&amp;nonVirtPosition=&amp;position=chr14:55662266-55671906","chr14:55662266-55671906")</f>
        <v>chr14:55662266-55671906</v>
      </c>
      <c r="F3254" t="s">
        <v>25</v>
      </c>
      <c r="G3254">
        <v>-0.39987439961465698</v>
      </c>
      <c r="H3254">
        <v>0.15380863871339401</v>
      </c>
      <c r="I3254">
        <v>-2.59981755875092</v>
      </c>
      <c r="J3254">
        <v>9.3273334108193197E-3</v>
      </c>
      <c r="K3254">
        <v>3.8290104752998599E-2</v>
      </c>
      <c r="L3254" t="s">
        <v>26</v>
      </c>
      <c r="M3254" t="s">
        <v>27</v>
      </c>
      <c r="N3254">
        <v>233.90923502445901</v>
      </c>
      <c r="O3254">
        <v>275.39874432361398</v>
      </c>
      <c r="P3254">
        <v>202.792103050093</v>
      </c>
      <c r="Q3254">
        <v>244.98872024251901</v>
      </c>
      <c r="R3254">
        <v>323.50444347027297</v>
      </c>
      <c r="S3254">
        <v>257.70306925804999</v>
      </c>
      <c r="T3254">
        <v>164.98636976092499</v>
      </c>
      <c r="U3254">
        <v>220.54944482620999</v>
      </c>
      <c r="V3254">
        <v>213.33955092642699</v>
      </c>
      <c r="W3254">
        <v>212.29304668681101</v>
      </c>
    </row>
    <row r="3255" spans="1:23" x14ac:dyDescent="0.2">
      <c r="A3255" t="s">
        <v>6513</v>
      </c>
      <c r="B3255" s="3" t="str">
        <f>HYPERLINK("http://www.ncbi.nlm.nih.gov/gene/14325","Ftl1")</f>
        <v>Ftl1</v>
      </c>
      <c r="C3255">
        <v>14325</v>
      </c>
      <c r="D3255" t="s">
        <v>6514</v>
      </c>
      <c r="E3255" s="3" t="str">
        <f>HYPERLINK("http://genome.ucsc.edu/cgi-bin/hgTracks?db=mm10&amp;lastVirtModeType=default&amp;lastVirtModeExtraState=&amp;virtModeType=default&amp;virtMode=0&amp;nonVirtPosition=&amp;position=chr7:45457943-45459886","chr7:45457943-45459886")</f>
        <v>chr7:45457943-45459886</v>
      </c>
      <c r="F3255" t="s">
        <v>25</v>
      </c>
      <c r="G3255">
        <v>-0.42988675606240401</v>
      </c>
      <c r="H3255">
        <v>0.165362985692044</v>
      </c>
      <c r="I3255">
        <v>-2.5996552630162602</v>
      </c>
      <c r="J3255">
        <v>9.3317453492407706E-3</v>
      </c>
      <c r="K3255">
        <v>3.82964762401726E-2</v>
      </c>
      <c r="L3255" t="s">
        <v>26</v>
      </c>
      <c r="M3255" t="s">
        <v>27</v>
      </c>
      <c r="N3255">
        <v>904.59937310552698</v>
      </c>
      <c r="O3255">
        <v>1070.18813106727</v>
      </c>
      <c r="P3255">
        <v>780.40780463421902</v>
      </c>
      <c r="Q3255">
        <v>1349.1083389718699</v>
      </c>
      <c r="R3255">
        <v>877.216621039556</v>
      </c>
      <c r="S3255">
        <v>984.23943319038403</v>
      </c>
      <c r="T3255">
        <v>760.77048278648999</v>
      </c>
      <c r="U3255">
        <v>689.48467217514201</v>
      </c>
      <c r="V3255">
        <v>909.26787912090902</v>
      </c>
      <c r="W3255">
        <v>762.10818445433699</v>
      </c>
    </row>
    <row r="3256" spans="1:23" x14ac:dyDescent="0.2">
      <c r="A3256" t="s">
        <v>6515</v>
      </c>
      <c r="B3256" s="3" t="str">
        <f>HYPERLINK("http://www.ncbi.nlm.nih.gov/gene/77480","Kidins220")</f>
        <v>Kidins220</v>
      </c>
      <c r="C3256">
        <v>77480</v>
      </c>
      <c r="D3256" t="s">
        <v>6516</v>
      </c>
      <c r="E3256" s="3" t="str">
        <f>HYPERLINK("http://genome.ucsc.edu/cgi-bin/hgTracks?db=mm10&amp;lastVirtModeType=default&amp;lastVirtModeExtraState=&amp;virtModeType=default&amp;virtMode=0&amp;nonVirtPosition=&amp;position=chr12:24974931-25059697","chr12:24974931-25059697")</f>
        <v>chr12:24974931-25059697</v>
      </c>
      <c r="F3256" t="s">
        <v>30</v>
      </c>
      <c r="G3256">
        <v>-0.49472269108750999</v>
      </c>
      <c r="H3256">
        <v>0.190317079302533</v>
      </c>
      <c r="I3256">
        <v>-2.5994655492851799</v>
      </c>
      <c r="J3256">
        <v>9.3369049941486298E-3</v>
      </c>
      <c r="K3256">
        <v>3.8305911389903302E-2</v>
      </c>
      <c r="L3256" t="s">
        <v>26</v>
      </c>
      <c r="M3256" t="s">
        <v>27</v>
      </c>
      <c r="N3256">
        <v>1546.2849066583101</v>
      </c>
      <c r="O3256">
        <v>1874.5457635902601</v>
      </c>
      <c r="P3256">
        <v>1300.0892639593501</v>
      </c>
      <c r="Q3256">
        <v>2615.8113811348999</v>
      </c>
      <c r="R3256">
        <v>1529.9143317222499</v>
      </c>
      <c r="S3256">
        <v>1477.91157791364</v>
      </c>
      <c r="T3256">
        <v>1274.06141093159</v>
      </c>
      <c r="U3256">
        <v>1186.25623722059</v>
      </c>
      <c r="V3256">
        <v>1321.9695621199601</v>
      </c>
      <c r="W3256">
        <v>1418.06984556527</v>
      </c>
    </row>
    <row r="3257" spans="1:23" x14ac:dyDescent="0.2">
      <c r="A3257" t="s">
        <v>6517</v>
      </c>
      <c r="B3257" s="3" t="str">
        <f>HYPERLINK("http://www.ncbi.nlm.nih.gov/gene/235439","Herc1")</f>
        <v>Herc1</v>
      </c>
      <c r="C3257">
        <v>235439</v>
      </c>
      <c r="D3257" t="s">
        <v>6518</v>
      </c>
      <c r="E3257" s="3" t="str">
        <f>HYPERLINK("http://genome.ucsc.edu/cgi-bin/hgTracks?db=mm10&amp;lastVirtModeType=default&amp;lastVirtModeExtraState=&amp;virtModeType=default&amp;virtMode=0&amp;nonVirtPosition=&amp;position=chr9:66350449-66508775","chr9:66350449-66508775")</f>
        <v>chr9:66350449-66508775</v>
      </c>
      <c r="F3257" t="s">
        <v>30</v>
      </c>
      <c r="G3257">
        <v>0.25250947020417502</v>
      </c>
      <c r="H3257">
        <v>9.7178876642903894E-2</v>
      </c>
      <c r="I3257">
        <v>2.5983987356846399</v>
      </c>
      <c r="J3257">
        <v>9.3659665536259297E-3</v>
      </c>
      <c r="K3257">
        <v>3.8413371552712003E-2</v>
      </c>
      <c r="L3257" t="s">
        <v>26</v>
      </c>
      <c r="M3257" t="s">
        <v>27</v>
      </c>
      <c r="N3257">
        <v>1632.1446830301099</v>
      </c>
      <c r="O3257">
        <v>1468.7336001583701</v>
      </c>
      <c r="P3257">
        <v>1754.7029951839199</v>
      </c>
      <c r="Q3257">
        <v>1388.0838171922701</v>
      </c>
      <c r="R3257">
        <v>1454.8218583258699</v>
      </c>
      <c r="S3257">
        <v>1563.2951249569701</v>
      </c>
      <c r="T3257">
        <v>1805.68415793902</v>
      </c>
      <c r="U3257">
        <v>1642.34392409421</v>
      </c>
      <c r="V3257">
        <v>1800.8800712686</v>
      </c>
      <c r="W3257">
        <v>1769.90382743386</v>
      </c>
    </row>
    <row r="3258" spans="1:23" x14ac:dyDescent="0.2">
      <c r="A3258" t="s">
        <v>6519</v>
      </c>
      <c r="B3258" s="3" t="str">
        <f>HYPERLINK("http://www.ncbi.nlm.nih.gov/gene/382090","Cep162")</f>
        <v>Cep162</v>
      </c>
      <c r="C3258">
        <v>382090</v>
      </c>
      <c r="D3258" t="s">
        <v>6520</v>
      </c>
      <c r="E3258" s="3" t="str">
        <f>HYPERLINK("http://genome.ucsc.edu/cgi-bin/hgTracks?db=mm10&amp;lastVirtModeType=default&amp;lastVirtModeExtraState=&amp;virtModeType=default&amp;virtMode=0&amp;nonVirtPosition=&amp;position=chr9:87191962-87255532","chr9:87191962-87255532")</f>
        <v>chr9:87191962-87255532</v>
      </c>
      <c r="F3258" t="s">
        <v>25</v>
      </c>
      <c r="G3258">
        <v>0.48095032138100002</v>
      </c>
      <c r="H3258">
        <v>0.185178612395136</v>
      </c>
      <c r="I3258">
        <v>2.5972239188980599</v>
      </c>
      <c r="J3258">
        <v>9.3980636194931598E-3</v>
      </c>
      <c r="K3258">
        <v>3.8533211858124E-2</v>
      </c>
      <c r="L3258" t="s">
        <v>26</v>
      </c>
      <c r="M3258" t="s">
        <v>27</v>
      </c>
      <c r="N3258">
        <v>166.59996064989701</v>
      </c>
      <c r="O3258">
        <v>132.97723528431999</v>
      </c>
      <c r="P3258">
        <v>191.81700467407899</v>
      </c>
      <c r="Q3258">
        <v>127.50549303531101</v>
      </c>
      <c r="R3258">
        <v>127.05039690802001</v>
      </c>
      <c r="S3258">
        <v>144.37581590963001</v>
      </c>
      <c r="T3258">
        <v>229.147735779063</v>
      </c>
      <c r="U3258">
        <v>141.32294522844501</v>
      </c>
      <c r="V3258">
        <v>161.84379725453101</v>
      </c>
      <c r="W3258">
        <v>234.95354043427901</v>
      </c>
    </row>
    <row r="3259" spans="1:23" x14ac:dyDescent="0.2">
      <c r="A3259" t="s">
        <v>6521</v>
      </c>
      <c r="B3259" s="3" t="str">
        <f>HYPERLINK("http://www.ncbi.nlm.nih.gov/gene/66867","Hmg20a")</f>
        <v>Hmg20a</v>
      </c>
      <c r="C3259">
        <v>66867</v>
      </c>
      <c r="D3259" t="s">
        <v>6522</v>
      </c>
      <c r="E3259" s="3" t="str">
        <f>HYPERLINK("http://genome.ucsc.edu/cgi-bin/hgTracks?db=mm10&amp;lastVirtModeType=default&amp;lastVirtModeExtraState=&amp;virtModeType=default&amp;virtMode=0&amp;nonVirtPosition=&amp;position=chr9:56418845-56496936","chr9:56418845-56496936")</f>
        <v>chr9:56418845-56496936</v>
      </c>
      <c r="F3259" t="s">
        <v>30</v>
      </c>
      <c r="G3259">
        <v>0.33129204061512202</v>
      </c>
      <c r="H3259">
        <v>0.12756439004203499</v>
      </c>
      <c r="I3259">
        <v>2.5970573802450301</v>
      </c>
      <c r="J3259">
        <v>9.4026215391779296E-3</v>
      </c>
      <c r="K3259">
        <v>3.8540099489174001E-2</v>
      </c>
      <c r="L3259" t="s">
        <v>26</v>
      </c>
      <c r="M3259" t="s">
        <v>27</v>
      </c>
      <c r="N3259">
        <v>296.60653329453601</v>
      </c>
      <c r="O3259">
        <v>260.64920548845402</v>
      </c>
      <c r="P3259">
        <v>323.574529149098</v>
      </c>
      <c r="Q3259">
        <v>276.72589536484497</v>
      </c>
      <c r="R3259">
        <v>242.343891415597</v>
      </c>
      <c r="S3259">
        <v>262.87782968491899</v>
      </c>
      <c r="T3259">
        <v>288.72614708162001</v>
      </c>
      <c r="U3259">
        <v>301.91720116986102</v>
      </c>
      <c r="V3259">
        <v>349.43547134500898</v>
      </c>
      <c r="W3259">
        <v>354.21929699990301</v>
      </c>
    </row>
    <row r="3260" spans="1:23" x14ac:dyDescent="0.2">
      <c r="A3260" t="s">
        <v>6523</v>
      </c>
      <c r="B3260" s="3" t="str">
        <f>HYPERLINK("http://www.ncbi.nlm.nih.gov/gene/269955","Rccd1")</f>
        <v>Rccd1</v>
      </c>
      <c r="C3260">
        <v>269955</v>
      </c>
      <c r="D3260" t="s">
        <v>6524</v>
      </c>
      <c r="E3260" s="3" t="str">
        <f>HYPERLINK("http://genome.ucsc.edu/cgi-bin/hgTracks?db=mm10&amp;lastVirtModeType=default&amp;lastVirtModeExtraState=&amp;virtModeType=default&amp;virtMode=0&amp;nonVirtPosition=&amp;position=chr7:80316615-80324454","chr7:80316615-80324454")</f>
        <v>chr7:80316615-80324454</v>
      </c>
      <c r="F3260" t="s">
        <v>25</v>
      </c>
      <c r="G3260">
        <v>0.55907254041298404</v>
      </c>
      <c r="H3260">
        <v>0.215303829841925</v>
      </c>
      <c r="I3260">
        <v>2.5966678847443201</v>
      </c>
      <c r="J3260">
        <v>9.4132891618052498E-3</v>
      </c>
      <c r="K3260">
        <v>3.8572018104569797E-2</v>
      </c>
      <c r="L3260" t="s">
        <v>26</v>
      </c>
      <c r="M3260" t="s">
        <v>27</v>
      </c>
      <c r="N3260">
        <v>56.919565613644501</v>
      </c>
      <c r="O3260">
        <v>44.228688364761702</v>
      </c>
      <c r="P3260">
        <v>66.4377235503066</v>
      </c>
      <c r="Q3260">
        <v>39.532270766406498</v>
      </c>
      <c r="R3260">
        <v>43.993570272627998</v>
      </c>
      <c r="S3260">
        <v>49.160224055250502</v>
      </c>
      <c r="T3260">
        <v>68.744320733718993</v>
      </c>
      <c r="U3260">
        <v>53.531418647138402</v>
      </c>
      <c r="V3260">
        <v>74.301016012307201</v>
      </c>
      <c r="W3260">
        <v>69.174138808061898</v>
      </c>
    </row>
    <row r="3261" spans="1:23" x14ac:dyDescent="0.2">
      <c r="A3261" t="s">
        <v>6525</v>
      </c>
      <c r="B3261" s="3" t="str">
        <f>HYPERLINK("http://www.ncbi.nlm.nih.gov/gene/22678","Zfp2")</f>
        <v>Zfp2</v>
      </c>
      <c r="C3261">
        <v>22678</v>
      </c>
      <c r="D3261" t="s">
        <v>6526</v>
      </c>
      <c r="E3261" s="3" t="str">
        <f>HYPERLINK("http://genome.ucsc.edu/cgi-bin/hgTracks?db=mm10&amp;lastVirtModeType=default&amp;lastVirtModeExtraState=&amp;virtModeType=default&amp;virtMode=0&amp;nonVirtPosition=&amp;position=chr11:50898711-50916176","chr11:50898711-50916176")</f>
        <v>chr11:50898711-50916176</v>
      </c>
      <c r="F3261" t="s">
        <v>25</v>
      </c>
      <c r="G3261">
        <v>-0.56608421947279697</v>
      </c>
      <c r="H3261">
        <v>0.21808779009078599</v>
      </c>
      <c r="I3261">
        <v>-2.5956713084998699</v>
      </c>
      <c r="J3261">
        <v>9.4406328643117203E-3</v>
      </c>
      <c r="K3261">
        <v>3.8661911667092097E-2</v>
      </c>
      <c r="L3261" t="s">
        <v>26</v>
      </c>
      <c r="M3261" t="s">
        <v>27</v>
      </c>
      <c r="N3261">
        <v>116.792999144568</v>
      </c>
      <c r="O3261">
        <v>144.784237224886</v>
      </c>
      <c r="P3261">
        <v>95.799570584329402</v>
      </c>
      <c r="Q3261">
        <v>190.979843279964</v>
      </c>
      <c r="R3261">
        <v>137.29027964389101</v>
      </c>
      <c r="S3261">
        <v>106.08258875080401</v>
      </c>
      <c r="T3261">
        <v>114.573867889532</v>
      </c>
      <c r="U3261">
        <v>79.2264995977648</v>
      </c>
      <c r="V3261">
        <v>96.370624728834201</v>
      </c>
      <c r="W3261">
        <v>93.027290121186695</v>
      </c>
    </row>
    <row r="3262" spans="1:23" x14ac:dyDescent="0.2">
      <c r="A3262" t="s">
        <v>6527</v>
      </c>
      <c r="B3262" s="3" t="str">
        <f>HYPERLINK("http://www.ncbi.nlm.nih.gov/gene/66958","Tmx2")</f>
        <v>Tmx2</v>
      </c>
      <c r="C3262">
        <v>66958</v>
      </c>
      <c r="D3262" t="s">
        <v>6528</v>
      </c>
      <c r="E3262" s="3" t="str">
        <f>HYPERLINK("http://genome.ucsc.edu/cgi-bin/hgTracks?db=mm10&amp;lastVirtModeType=default&amp;lastVirtModeExtraState=&amp;virtModeType=default&amp;virtMode=0&amp;nonVirtPosition=&amp;position=chr2:84671310-84678828","chr2:84671310-84678828")</f>
        <v>chr2:84671310-84678828</v>
      </c>
      <c r="F3262" t="s">
        <v>25</v>
      </c>
      <c r="G3262">
        <v>-0.42476998676497801</v>
      </c>
      <c r="H3262">
        <v>0.16364636815815101</v>
      </c>
      <c r="I3262">
        <v>-2.5956578905220402</v>
      </c>
      <c r="J3262">
        <v>9.4410015048458796E-3</v>
      </c>
      <c r="K3262">
        <v>3.8661911667092097E-2</v>
      </c>
      <c r="L3262" t="s">
        <v>26</v>
      </c>
      <c r="M3262" t="s">
        <v>27</v>
      </c>
      <c r="N3262">
        <v>124.88634009855301</v>
      </c>
      <c r="O3262">
        <v>148.885735643457</v>
      </c>
      <c r="P3262">
        <v>106.886793439874</v>
      </c>
      <c r="Q3262">
        <v>151.44757251355699</v>
      </c>
      <c r="R3262">
        <v>161.183339360921</v>
      </c>
      <c r="S3262">
        <v>134.026295055894</v>
      </c>
      <c r="T3262">
        <v>87.076139596044001</v>
      </c>
      <c r="U3262">
        <v>115.627864277819</v>
      </c>
      <c r="V3262">
        <v>110.348043582635</v>
      </c>
      <c r="W3262">
        <v>114.495126302999</v>
      </c>
    </row>
    <row r="3263" spans="1:23" x14ac:dyDescent="0.2">
      <c r="A3263" t="s">
        <v>6529</v>
      </c>
      <c r="B3263" s="3" t="str">
        <f>HYPERLINK("http://www.ncbi.nlm.nih.gov/gene/71448","Tmem80")</f>
        <v>Tmem80</v>
      </c>
      <c r="C3263">
        <v>71448</v>
      </c>
      <c r="D3263" t="s">
        <v>6530</v>
      </c>
      <c r="E3263" s="3" t="str">
        <f>HYPERLINK("http://genome.ucsc.edu/cgi-bin/hgTracks?db=mm10&amp;lastVirtModeType=default&amp;lastVirtModeExtraState=&amp;virtModeType=default&amp;virtMode=0&amp;nonVirtPosition=&amp;position=chr7:141328129-141337155","chr7:141328129-141337155")</f>
        <v>chr7:141328129-141337155</v>
      </c>
      <c r="F3263" t="s">
        <v>30</v>
      </c>
      <c r="G3263">
        <v>0.46332343492581901</v>
      </c>
      <c r="H3263">
        <v>0.17854325490110801</v>
      </c>
      <c r="I3263">
        <v>2.5950206586210598</v>
      </c>
      <c r="J3263">
        <v>9.4585233677575205E-3</v>
      </c>
      <c r="K3263">
        <v>3.8721824034741899E-2</v>
      </c>
      <c r="L3263" t="s">
        <v>26</v>
      </c>
      <c r="M3263" t="s">
        <v>27</v>
      </c>
      <c r="N3263">
        <v>99.092722525408902</v>
      </c>
      <c r="O3263">
        <v>81.150838408012405</v>
      </c>
      <c r="P3263">
        <v>112.549135613456</v>
      </c>
      <c r="Q3263">
        <v>89.086807360915998</v>
      </c>
      <c r="R3263">
        <v>81.919061886962396</v>
      </c>
      <c r="S3263">
        <v>72.446645976158706</v>
      </c>
      <c r="T3263">
        <v>100.825003742788</v>
      </c>
      <c r="U3263">
        <v>126.33414800724699</v>
      </c>
      <c r="V3263">
        <v>122.854155188666</v>
      </c>
      <c r="W3263">
        <v>100.183235515124</v>
      </c>
    </row>
    <row r="3264" spans="1:23" x14ac:dyDescent="0.2">
      <c r="A3264" t="s">
        <v>6531</v>
      </c>
      <c r="B3264" s="3" t="str">
        <f>HYPERLINK("http://www.ncbi.nlm.nih.gov/gene/100503199","5430416N02Rik")</f>
        <v>5430416N02Rik</v>
      </c>
      <c r="C3264">
        <v>100503199</v>
      </c>
      <c r="D3264" t="s">
        <v>6532</v>
      </c>
      <c r="E3264" s="3" t="str">
        <f>HYPERLINK("http://genome.ucsc.edu/cgi-bin/hgTracks?db=mm10&amp;lastVirtModeType=default&amp;lastVirtModeExtraState=&amp;virtModeType=default&amp;virtMode=0&amp;nonVirtPosition=&amp;position=chr5:100420841-100429535","chr5:100420841-100429535")</f>
        <v>chr5:100420841-100429535</v>
      </c>
      <c r="F3264" t="s">
        <v>25</v>
      </c>
      <c r="G3264">
        <v>0.70692089091893295</v>
      </c>
      <c r="H3264">
        <v>0.272452130127251</v>
      </c>
      <c r="I3264">
        <v>2.5946609064453301</v>
      </c>
      <c r="J3264">
        <v>9.4684282196632E-3</v>
      </c>
      <c r="K3264">
        <v>3.8750526372099602E-2</v>
      </c>
      <c r="L3264" t="s">
        <v>26</v>
      </c>
      <c r="M3264" t="s">
        <v>27</v>
      </c>
      <c r="N3264">
        <v>57.207919752216696</v>
      </c>
      <c r="O3264">
        <v>40.843405865632803</v>
      </c>
      <c r="P3264">
        <v>69.481305167154602</v>
      </c>
      <c r="Q3264">
        <v>25.6124571162634</v>
      </c>
      <c r="R3264">
        <v>37.925491614334497</v>
      </c>
      <c r="S3264">
        <v>58.992268866300599</v>
      </c>
      <c r="T3264">
        <v>45.829547155812598</v>
      </c>
      <c r="U3264">
        <v>74.943986105993702</v>
      </c>
      <c r="V3264">
        <v>77.243630507844202</v>
      </c>
      <c r="W3264">
        <v>79.908056898968098</v>
      </c>
    </row>
    <row r="3265" spans="1:23" x14ac:dyDescent="0.2">
      <c r="A3265" t="s">
        <v>6533</v>
      </c>
      <c r="B3265" s="3" t="str">
        <f>HYPERLINK("http://www.ncbi.nlm.nih.gov/gene/14680","Gnal")</f>
        <v>Gnal</v>
      </c>
      <c r="C3265">
        <v>14680</v>
      </c>
      <c r="D3265" t="s">
        <v>6534</v>
      </c>
      <c r="E3265" s="3" t="str">
        <f>HYPERLINK("http://genome.ucsc.edu/cgi-bin/hgTracks?db=mm10&amp;lastVirtModeType=default&amp;lastVirtModeExtraState=&amp;virtModeType=default&amp;virtMode=0&amp;nonVirtPosition=&amp;position=chr18:67133559-67226791","chr18:67133559-67226791")</f>
        <v>chr18:67133559-67226791</v>
      </c>
      <c r="F3265" t="s">
        <v>30</v>
      </c>
      <c r="G3265">
        <v>-0.59704098532022698</v>
      </c>
      <c r="H3265">
        <v>0.23011413005416101</v>
      </c>
      <c r="I3265">
        <v>-2.5945429130306099</v>
      </c>
      <c r="J3265">
        <v>9.4716788792681798E-3</v>
      </c>
      <c r="K3265">
        <v>3.8751986517653603E-2</v>
      </c>
      <c r="L3265" t="s">
        <v>26</v>
      </c>
      <c r="M3265" t="s">
        <v>27</v>
      </c>
      <c r="N3265">
        <v>225.69991486805699</v>
      </c>
      <c r="O3265">
        <v>281.72935734740997</v>
      </c>
      <c r="P3265">
        <v>183.67783300854299</v>
      </c>
      <c r="Q3265">
        <v>349.66571889159502</v>
      </c>
      <c r="R3265">
        <v>308.713501740683</v>
      </c>
      <c r="S3265">
        <v>186.80885140995201</v>
      </c>
      <c r="T3265">
        <v>238.31364521022601</v>
      </c>
      <c r="U3265">
        <v>199.136877367355</v>
      </c>
      <c r="V3265">
        <v>124.325462436435</v>
      </c>
      <c r="W3265">
        <v>172.93534702015501</v>
      </c>
    </row>
    <row r="3266" spans="1:23" x14ac:dyDescent="0.2">
      <c r="A3266" t="s">
        <v>6535</v>
      </c>
      <c r="B3266" s="3" t="str">
        <f>HYPERLINK("http://www.ncbi.nlm.nih.gov/gene/237940","Aoc2")</f>
        <v>Aoc2</v>
      </c>
      <c r="C3266">
        <v>237940</v>
      </c>
      <c r="D3266" t="s">
        <v>6536</v>
      </c>
      <c r="E3266" s="3" t="str">
        <f>HYPERLINK("http://genome.ucsc.edu/cgi-bin/hgTracks?db=mm10&amp;lastVirtModeType=default&amp;lastVirtModeExtraState=&amp;virtModeType=default&amp;virtMode=0&amp;nonVirtPosition=&amp;position=chr11:101325062-101329694","chr11:101325062-101329694")</f>
        <v>chr11:101325062-101329694</v>
      </c>
      <c r="F3266" t="s">
        <v>30</v>
      </c>
      <c r="G3266">
        <v>0.79252860892766497</v>
      </c>
      <c r="H3266">
        <v>0.30555809471948803</v>
      </c>
      <c r="I3266">
        <v>2.5937084391602601</v>
      </c>
      <c r="J3266">
        <v>9.4946966425113206E-3</v>
      </c>
      <c r="K3266">
        <v>3.88342952779075E-2</v>
      </c>
      <c r="L3266" t="s">
        <v>26</v>
      </c>
      <c r="M3266" t="s">
        <v>27</v>
      </c>
      <c r="N3266">
        <v>25.678229150990699</v>
      </c>
      <c r="O3266">
        <v>15.902065661084499</v>
      </c>
      <c r="P3266">
        <v>33.0103517684203</v>
      </c>
      <c r="Q3266">
        <v>16.146983834166001</v>
      </c>
      <c r="R3266">
        <v>11.377647484300301</v>
      </c>
      <c r="S3266">
        <v>20.181565664787101</v>
      </c>
      <c r="T3266">
        <v>45.829547155812598</v>
      </c>
      <c r="U3266">
        <v>32.118851188283003</v>
      </c>
      <c r="V3266">
        <v>24.276569588179601</v>
      </c>
      <c r="W3266">
        <v>29.816439141406001</v>
      </c>
    </row>
    <row r="3267" spans="1:23" x14ac:dyDescent="0.2">
      <c r="A3267" t="s">
        <v>6537</v>
      </c>
      <c r="B3267" s="3" t="str">
        <f>HYPERLINK("http://www.ncbi.nlm.nih.gov/gene/21386","Tbx3")</f>
        <v>Tbx3</v>
      </c>
      <c r="C3267">
        <v>21386</v>
      </c>
      <c r="D3267" t="s">
        <v>6538</v>
      </c>
      <c r="E3267" s="3" t="str">
        <f>HYPERLINK("http://genome.ucsc.edu/cgi-bin/hgTracks?db=mm10&amp;lastVirtModeType=default&amp;lastVirtModeExtraState=&amp;virtModeType=default&amp;virtMode=0&amp;nonVirtPosition=&amp;position=chr5:119671232-119684724","chr5:119671232-119684724")</f>
        <v>chr5:119671232-119684724</v>
      </c>
      <c r="F3267" t="s">
        <v>30</v>
      </c>
      <c r="G3267">
        <v>0.84090030905139601</v>
      </c>
      <c r="H3267">
        <v>0.32428606946329203</v>
      </c>
      <c r="I3267">
        <v>2.5930818133604201</v>
      </c>
      <c r="J3267">
        <v>9.5120139970739995E-3</v>
      </c>
      <c r="K3267">
        <v>3.8884019920971E-2</v>
      </c>
      <c r="L3267" t="s">
        <v>26</v>
      </c>
      <c r="M3267" t="s">
        <v>27</v>
      </c>
      <c r="N3267">
        <v>20.533930435762201</v>
      </c>
      <c r="O3267">
        <v>11.7216381363269</v>
      </c>
      <c r="P3267">
        <v>27.143149660338601</v>
      </c>
      <c r="Q3267">
        <v>13.9198136501431</v>
      </c>
      <c r="R3267">
        <v>9.8606278197269592</v>
      </c>
      <c r="S3267">
        <v>11.3844729391106</v>
      </c>
      <c r="T3267">
        <v>45.829547155812598</v>
      </c>
      <c r="U3267">
        <v>21.412567458855399</v>
      </c>
      <c r="V3267">
        <v>19.8626478448742</v>
      </c>
      <c r="W3267">
        <v>21.467836181812299</v>
      </c>
    </row>
    <row r="3268" spans="1:23" x14ac:dyDescent="0.2">
      <c r="A3268" t="s">
        <v>6539</v>
      </c>
      <c r="B3268" s="3" t="str">
        <f>HYPERLINK("http://www.ncbi.nlm.nih.gov/gene/234515","Inpp4b")</f>
        <v>Inpp4b</v>
      </c>
      <c r="C3268">
        <v>234515</v>
      </c>
      <c r="D3268" t="s">
        <v>6540</v>
      </c>
      <c r="E3268" s="3" t="str">
        <f>HYPERLINK("http://genome.ucsc.edu/cgi-bin/hgTracks?db=mm10&amp;lastVirtModeType=default&amp;lastVirtModeExtraState=&amp;virtModeType=default&amp;virtMode=0&amp;nonVirtPosition=&amp;position=chr8:81342561-82122570","chr8:81342561-82122570")</f>
        <v>chr8:81342561-82122570</v>
      </c>
      <c r="F3268" t="s">
        <v>30</v>
      </c>
      <c r="G3268">
        <v>-0.50784928667551599</v>
      </c>
      <c r="H3268">
        <v>0.19584953642394301</v>
      </c>
      <c r="I3268">
        <v>-2.5930584056947001</v>
      </c>
      <c r="J3268">
        <v>9.5126614338810409E-3</v>
      </c>
      <c r="K3268">
        <v>3.8884019920971E-2</v>
      </c>
      <c r="L3268" t="s">
        <v>26</v>
      </c>
      <c r="M3268" t="s">
        <v>27</v>
      </c>
      <c r="N3268">
        <v>336.34678524897998</v>
      </c>
      <c r="O3268">
        <v>406.34339971629697</v>
      </c>
      <c r="P3268">
        <v>283.849324398492</v>
      </c>
      <c r="Q3268">
        <v>512.80593487127305</v>
      </c>
      <c r="R3268">
        <v>332.60656145771298</v>
      </c>
      <c r="S3268">
        <v>373.61770281990403</v>
      </c>
      <c r="T3268">
        <v>357.47046781533902</v>
      </c>
      <c r="U3268">
        <v>252.668296014493</v>
      </c>
      <c r="V3268">
        <v>210.39693643089001</v>
      </c>
      <c r="W3268">
        <v>314.861597333247</v>
      </c>
    </row>
    <row r="3269" spans="1:23" x14ac:dyDescent="0.2">
      <c r="A3269" t="s">
        <v>6541</v>
      </c>
      <c r="B3269" s="3" t="str">
        <f>HYPERLINK("http://www.ncbi.nlm.nih.gov/gene/93881","Pcdhb10")</f>
        <v>Pcdhb10</v>
      </c>
      <c r="C3269">
        <v>93881</v>
      </c>
      <c r="D3269" t="s">
        <v>6542</v>
      </c>
      <c r="E3269" s="3" t="str">
        <f>HYPERLINK("http://genome.ucsc.edu/cgi-bin/hgTracks?db=mm10&amp;lastVirtModeType=default&amp;lastVirtModeExtraState=&amp;virtModeType=default&amp;virtMode=0&amp;nonVirtPosition=&amp;position=chr18:37411673-37414514","chr18:37411673-37414514")</f>
        <v>chr18:37411673-37414514</v>
      </c>
      <c r="F3269" t="s">
        <v>30</v>
      </c>
      <c r="G3269">
        <v>-0.483678718382617</v>
      </c>
      <c r="H3269">
        <v>0.186568374023314</v>
      </c>
      <c r="I3269">
        <v>-2.5925011187704001</v>
      </c>
      <c r="J3269">
        <v>9.5280871424539403E-3</v>
      </c>
      <c r="K3269">
        <v>3.8935189174428002E-2</v>
      </c>
      <c r="L3269" t="s">
        <v>26</v>
      </c>
      <c r="M3269" t="s">
        <v>27</v>
      </c>
      <c r="N3269">
        <v>101.129624623525</v>
      </c>
      <c r="O3269">
        <v>122.870858267645</v>
      </c>
      <c r="P3269">
        <v>84.823699390435607</v>
      </c>
      <c r="Q3269">
        <v>126.948700489305</v>
      </c>
      <c r="R3269">
        <v>110.742435513857</v>
      </c>
      <c r="S3269">
        <v>130.92143879977201</v>
      </c>
      <c r="T3269">
        <v>82.493184880462707</v>
      </c>
      <c r="U3269">
        <v>85.650269835421398</v>
      </c>
      <c r="V3269">
        <v>100.78454647213999</v>
      </c>
      <c r="W3269">
        <v>70.366796373718103</v>
      </c>
    </row>
    <row r="3270" spans="1:23" x14ac:dyDescent="0.2">
      <c r="A3270" t="s">
        <v>6543</v>
      </c>
      <c r="B3270" s="3" t="str">
        <f>HYPERLINK("http://www.ncbi.nlm.nih.gov/gene/232313","Gxylt2")</f>
        <v>Gxylt2</v>
      </c>
      <c r="C3270">
        <v>232313</v>
      </c>
      <c r="D3270" t="s">
        <v>6544</v>
      </c>
      <c r="E3270" s="3" t="str">
        <f>HYPERLINK("http://genome.ucsc.edu/cgi-bin/hgTracks?db=mm10&amp;lastVirtModeType=default&amp;lastVirtModeExtraState=&amp;virtModeType=default&amp;virtMode=0&amp;nonVirtPosition=&amp;position=chr6:100704733-100805081","chr6:100704733-100805081")</f>
        <v>chr6:100704733-100805081</v>
      </c>
      <c r="F3270" t="s">
        <v>30</v>
      </c>
      <c r="G3270">
        <v>-0.97945124027905495</v>
      </c>
      <c r="H3270">
        <v>0.37785012529738798</v>
      </c>
      <c r="I3270">
        <v>-2.5921686264049102</v>
      </c>
      <c r="J3270">
        <v>9.5373011559088793E-3</v>
      </c>
      <c r="K3270">
        <v>3.8960951732390399E-2</v>
      </c>
      <c r="L3270" t="s">
        <v>26</v>
      </c>
      <c r="M3270" t="s">
        <v>27</v>
      </c>
      <c r="N3270">
        <v>23.469564005931499</v>
      </c>
      <c r="O3270">
        <v>37.968561537538299</v>
      </c>
      <c r="P3270">
        <v>12.595315857226399</v>
      </c>
      <c r="Q3270">
        <v>72.383030980744294</v>
      </c>
      <c r="R3270">
        <v>22.376040052457299</v>
      </c>
      <c r="S3270">
        <v>19.146613579413401</v>
      </c>
      <c r="T3270">
        <v>4.58295471558126</v>
      </c>
      <c r="U3270">
        <v>17.130053967084301</v>
      </c>
      <c r="V3270">
        <v>19.126994220989999</v>
      </c>
      <c r="W3270">
        <v>9.5412605252499194</v>
      </c>
    </row>
    <row r="3271" spans="1:23" x14ac:dyDescent="0.2">
      <c r="A3271" t="s">
        <v>6545</v>
      </c>
      <c r="B3271" s="3" t="str">
        <f>HYPERLINK("http://www.ncbi.nlm.nih.gov/gene/51792","Ppp2r1a")</f>
        <v>Ppp2r1a</v>
      </c>
      <c r="C3271">
        <v>51792</v>
      </c>
      <c r="D3271" t="s">
        <v>6546</v>
      </c>
      <c r="E3271" s="3" t="str">
        <f>HYPERLINK("http://genome.ucsc.edu/cgi-bin/hgTracks?db=mm10&amp;lastVirtModeType=default&amp;lastVirtModeExtraState=&amp;virtModeType=default&amp;virtMode=0&amp;nonVirtPosition=&amp;position=chr17:20945453-20965905","chr17:20945453-20965905")</f>
        <v>chr17:20945453-20965905</v>
      </c>
      <c r="F3271" t="s">
        <v>30</v>
      </c>
      <c r="G3271">
        <v>-0.34631374507569002</v>
      </c>
      <c r="H3271">
        <v>0.133659911483334</v>
      </c>
      <c r="I3271">
        <v>-2.59100684141087</v>
      </c>
      <c r="J3271">
        <v>9.5695589072787093E-3</v>
      </c>
      <c r="K3271">
        <v>3.90808061382645E-2</v>
      </c>
      <c r="L3271" t="s">
        <v>26</v>
      </c>
      <c r="M3271" t="s">
        <v>27</v>
      </c>
      <c r="N3271">
        <v>1298.2940116320799</v>
      </c>
      <c r="O3271">
        <v>1484.40491474138</v>
      </c>
      <c r="P3271">
        <v>1158.7108343001</v>
      </c>
      <c r="Q3271">
        <v>1283.9636110892</v>
      </c>
      <c r="R3271">
        <v>1575.4249216594501</v>
      </c>
      <c r="S3271">
        <v>1593.82621147549</v>
      </c>
      <c r="T3271">
        <v>1086.16026759276</v>
      </c>
      <c r="U3271">
        <v>1334.0029526866899</v>
      </c>
      <c r="V3271">
        <v>1186.6092953252601</v>
      </c>
      <c r="W3271">
        <v>1028.0708215956799</v>
      </c>
    </row>
    <row r="3272" spans="1:23" x14ac:dyDescent="0.2">
      <c r="A3272" t="s">
        <v>6547</v>
      </c>
      <c r="B3272" s="3" t="str">
        <f>HYPERLINK("http://www.ncbi.nlm.nih.gov/gene/83767","Wasf1")</f>
        <v>Wasf1</v>
      </c>
      <c r="C3272">
        <v>83767</v>
      </c>
      <c r="D3272" t="s">
        <v>6548</v>
      </c>
      <c r="E3272" s="3" t="str">
        <f>HYPERLINK("http://genome.ucsc.edu/cgi-bin/hgTracks?db=mm10&amp;lastVirtModeType=default&amp;lastVirtModeExtraState=&amp;virtModeType=default&amp;virtMode=0&amp;nonVirtPosition=&amp;position=chr10:40883533-40938569","chr10:40883533-40938569")</f>
        <v>chr10:40883533-40938569</v>
      </c>
      <c r="F3272" t="s">
        <v>30</v>
      </c>
      <c r="G3272">
        <v>0.465935036194213</v>
      </c>
      <c r="H3272">
        <v>0.17984649908369399</v>
      </c>
      <c r="I3272">
        <v>2.5907373152556299</v>
      </c>
      <c r="J3272">
        <v>9.5770563728388696E-3</v>
      </c>
      <c r="K3272">
        <v>3.9099500575818701E-2</v>
      </c>
      <c r="L3272" t="s">
        <v>26</v>
      </c>
      <c r="M3272" t="s">
        <v>27</v>
      </c>
      <c r="N3272">
        <v>194.37915971689401</v>
      </c>
      <c r="O3272">
        <v>157.36348408037301</v>
      </c>
      <c r="P3272">
        <v>222.14091644428601</v>
      </c>
      <c r="Q3272">
        <v>138.64134395542601</v>
      </c>
      <c r="R3272">
        <v>135.773259979317</v>
      </c>
      <c r="S3272">
        <v>197.675848306376</v>
      </c>
      <c r="T3272">
        <v>224.564781063482</v>
      </c>
      <c r="U3272">
        <v>250.52703926860801</v>
      </c>
      <c r="V3272">
        <v>230.995237899648</v>
      </c>
      <c r="W3272">
        <v>182.47660754540499</v>
      </c>
    </row>
    <row r="3273" spans="1:23" x14ac:dyDescent="0.2">
      <c r="A3273" t="s">
        <v>6549</v>
      </c>
      <c r="B3273" s="3" t="str">
        <f>HYPERLINK("http://www.ncbi.nlm.nih.gov/gene/22661","Zfp148")</f>
        <v>Zfp148</v>
      </c>
      <c r="C3273">
        <v>22661</v>
      </c>
      <c r="D3273" t="s">
        <v>6550</v>
      </c>
      <c r="E3273" s="3" t="str">
        <f>HYPERLINK("http://genome.ucsc.edu/cgi-bin/hgTracks?db=mm10&amp;lastVirtModeType=default&amp;lastVirtModeExtraState=&amp;virtModeType=default&amp;virtMode=0&amp;nonVirtPosition=&amp;position=chr16:33380774-33503903","chr16:33380774-33503903")</f>
        <v>chr16:33380774-33503903</v>
      </c>
      <c r="F3273" t="s">
        <v>30</v>
      </c>
      <c r="G3273">
        <v>-0.24847433379857201</v>
      </c>
      <c r="H3273">
        <v>9.5926122286140503E-2</v>
      </c>
      <c r="I3273">
        <v>-2.59026767554922</v>
      </c>
      <c r="J3273">
        <v>9.5901329539524408E-3</v>
      </c>
      <c r="K3273">
        <v>3.9140954095207903E-2</v>
      </c>
      <c r="L3273" t="s">
        <v>26</v>
      </c>
      <c r="M3273" t="s">
        <v>27</v>
      </c>
      <c r="N3273">
        <v>652.89261386634905</v>
      </c>
      <c r="O3273">
        <v>721.44195858189096</v>
      </c>
      <c r="P3273">
        <v>601.48060532969305</v>
      </c>
      <c r="Q3273">
        <v>734.96616072755705</v>
      </c>
      <c r="R3273">
        <v>711.10296776877101</v>
      </c>
      <c r="S3273">
        <v>718.25674724934504</v>
      </c>
      <c r="T3273">
        <v>577.452294163239</v>
      </c>
      <c r="U3273">
        <v>588.84560511852203</v>
      </c>
      <c r="V3273">
        <v>628.983848421017</v>
      </c>
      <c r="W3273">
        <v>610.64067361599496</v>
      </c>
    </row>
    <row r="3274" spans="1:23" x14ac:dyDescent="0.2">
      <c r="A3274" t="s">
        <v>6551</v>
      </c>
      <c r="B3274" s="3" t="str">
        <f>HYPERLINK("http://www.ncbi.nlm.nih.gov/gene/71640","Zfp949")</f>
        <v>Zfp949</v>
      </c>
      <c r="C3274">
        <v>71640</v>
      </c>
      <c r="D3274" t="s">
        <v>6552</v>
      </c>
      <c r="E3274" s="3" t="str">
        <f>HYPERLINK("http://genome.ucsc.edu/cgi-bin/hgTracks?db=mm10&amp;lastVirtModeType=default&amp;lastVirtModeExtraState=&amp;virtModeType=default&amp;virtMode=0&amp;nonVirtPosition=&amp;position=chr9:88548019-88571086","chr9:88548019-88571086")</f>
        <v>chr9:88548019-88571086</v>
      </c>
      <c r="F3274" t="s">
        <v>30</v>
      </c>
      <c r="G3274">
        <v>-0.557861181549687</v>
      </c>
      <c r="H3274">
        <v>0.215389279523132</v>
      </c>
      <c r="I3274">
        <v>-2.5900136849186799</v>
      </c>
      <c r="J3274">
        <v>9.5972116638251507E-3</v>
      </c>
      <c r="K3274">
        <v>3.9157910234699098E-2</v>
      </c>
      <c r="L3274" t="s">
        <v>26</v>
      </c>
      <c r="M3274" t="s">
        <v>27</v>
      </c>
      <c r="N3274">
        <v>70.094722552984393</v>
      </c>
      <c r="O3274">
        <v>86.069095238518301</v>
      </c>
      <c r="P3274">
        <v>58.113943038834002</v>
      </c>
      <c r="Q3274">
        <v>100.222658281031</v>
      </c>
      <c r="R3274">
        <v>87.607885629112602</v>
      </c>
      <c r="S3274">
        <v>70.376741805411299</v>
      </c>
      <c r="T3274">
        <v>68.744320733718993</v>
      </c>
      <c r="U3274">
        <v>51.390161901252803</v>
      </c>
      <c r="V3274">
        <v>51.495753671896097</v>
      </c>
      <c r="W3274">
        <v>60.825535848468199</v>
      </c>
    </row>
    <row r="3275" spans="1:23" x14ac:dyDescent="0.2">
      <c r="A3275" t="s">
        <v>6553</v>
      </c>
      <c r="B3275" s="3" t="str">
        <f>HYPERLINK("http://www.ncbi.nlm.nih.gov/gene/76453","Prss23")</f>
        <v>Prss23</v>
      </c>
      <c r="C3275">
        <v>76453</v>
      </c>
      <c r="D3275" t="s">
        <v>6554</v>
      </c>
      <c r="E3275" s="3" t="str">
        <f>HYPERLINK("http://genome.ucsc.edu/cgi-bin/hgTracks?db=mm10&amp;lastVirtModeType=default&amp;lastVirtModeExtraState=&amp;virtModeType=default&amp;virtMode=0&amp;nonVirtPosition=&amp;position=chr7:89507784-89517586","chr7:89507784-89517586")</f>
        <v>chr7:89507784-89517586</v>
      </c>
      <c r="F3275" t="s">
        <v>25</v>
      </c>
      <c r="G3275">
        <v>-0.58845001974232802</v>
      </c>
      <c r="H3275">
        <v>0.22722937801104401</v>
      </c>
      <c r="I3275">
        <v>-2.58967403287848</v>
      </c>
      <c r="J3275">
        <v>9.6066850342602008E-3</v>
      </c>
      <c r="K3275">
        <v>3.9184623604562402E-2</v>
      </c>
      <c r="L3275" t="s">
        <v>26</v>
      </c>
      <c r="M3275" t="s">
        <v>27</v>
      </c>
      <c r="N3275">
        <v>79.297746300627196</v>
      </c>
      <c r="O3275">
        <v>100.33434913977101</v>
      </c>
      <c r="P3275">
        <v>63.520294171269597</v>
      </c>
      <c r="Q3275">
        <v>76.837371348790001</v>
      </c>
      <c r="R3275">
        <v>123.257847746587</v>
      </c>
      <c r="S3275">
        <v>100.90782832393499</v>
      </c>
      <c r="T3275">
        <v>64.161366018137699</v>
      </c>
      <c r="U3275">
        <v>57.8139321389095</v>
      </c>
      <c r="V3275">
        <v>77.243630507844202</v>
      </c>
      <c r="W3275">
        <v>54.862248020187003</v>
      </c>
    </row>
    <row r="3276" spans="1:23" x14ac:dyDescent="0.2">
      <c r="A3276" t="s">
        <v>6555</v>
      </c>
      <c r="B3276" s="3" t="str">
        <f>HYPERLINK("http://www.ncbi.nlm.nih.gov/gene/54484","Mkrn1")</f>
        <v>Mkrn1</v>
      </c>
      <c r="C3276">
        <v>54484</v>
      </c>
      <c r="D3276" t="s">
        <v>6556</v>
      </c>
      <c r="E3276" s="3" t="str">
        <f>HYPERLINK("http://genome.ucsc.edu/cgi-bin/hgTracks?db=mm10&amp;lastVirtModeType=default&amp;lastVirtModeExtraState=&amp;virtModeType=default&amp;virtMode=0&amp;nonVirtPosition=&amp;position=chr6:39397815-39419776","chr6:39397815-39419776")</f>
        <v>chr6:39397815-39419776</v>
      </c>
      <c r="F3276" t="s">
        <v>25</v>
      </c>
      <c r="G3276">
        <v>-0.52157052675096005</v>
      </c>
      <c r="H3276">
        <v>0.20142369803642701</v>
      </c>
      <c r="I3276">
        <v>-2.5894198738056899</v>
      </c>
      <c r="J3276">
        <v>9.6137793388576601E-3</v>
      </c>
      <c r="K3276">
        <v>3.9201619709696399E-2</v>
      </c>
      <c r="L3276" t="s">
        <v>26</v>
      </c>
      <c r="M3276" t="s">
        <v>27</v>
      </c>
      <c r="N3276">
        <v>305.71050372068299</v>
      </c>
      <c r="O3276">
        <v>376.52352534293499</v>
      </c>
      <c r="P3276">
        <v>252.600737503994</v>
      </c>
      <c r="Q3276">
        <v>507.23800941121499</v>
      </c>
      <c r="R3276">
        <v>318.57412956040901</v>
      </c>
      <c r="S3276">
        <v>303.75843705718</v>
      </c>
      <c r="T3276">
        <v>215.39887163231899</v>
      </c>
      <c r="U3276">
        <v>276.222120219234</v>
      </c>
      <c r="V3276">
        <v>305.296253911956</v>
      </c>
      <c r="W3276">
        <v>213.485704252467</v>
      </c>
    </row>
    <row r="3277" spans="1:23" x14ac:dyDescent="0.2">
      <c r="A3277" t="s">
        <v>6557</v>
      </c>
      <c r="B3277" s="3" t="str">
        <f>HYPERLINK("http://www.ncbi.nlm.nih.gov/gene/21981","Ppp1r13b")</f>
        <v>Ppp1r13b</v>
      </c>
      <c r="C3277">
        <v>21981</v>
      </c>
      <c r="D3277" t="s">
        <v>6558</v>
      </c>
      <c r="E3277" s="3" t="str">
        <f>HYPERLINK("http://genome.ucsc.edu/cgi-bin/hgTracks?db=mm10&amp;lastVirtModeType=default&amp;lastVirtModeExtraState=&amp;virtModeType=default&amp;virtMode=0&amp;nonVirtPosition=&amp;position=chr12:111828457-111908055","chr12:111828457-111908055")</f>
        <v>chr12:111828457-111908055</v>
      </c>
      <c r="F3277" t="s">
        <v>25</v>
      </c>
      <c r="G3277">
        <v>0.53953472799053503</v>
      </c>
      <c r="H3277">
        <v>0.208388977684174</v>
      </c>
      <c r="I3277">
        <v>2.5890751708002102</v>
      </c>
      <c r="J3277">
        <v>9.6234084459717508E-3</v>
      </c>
      <c r="K3277">
        <v>3.9228938356166698E-2</v>
      </c>
      <c r="L3277" t="s">
        <v>26</v>
      </c>
      <c r="M3277" t="s">
        <v>27</v>
      </c>
      <c r="N3277">
        <v>105.329750418023</v>
      </c>
      <c r="O3277">
        <v>81.8874646402558</v>
      </c>
      <c r="P3277">
        <v>122.91146475134801</v>
      </c>
      <c r="Q3277">
        <v>79.064541532812996</v>
      </c>
      <c r="R3277">
        <v>106.57063143628</v>
      </c>
      <c r="S3277">
        <v>60.027220951674302</v>
      </c>
      <c r="T3277">
        <v>119.15682260511301</v>
      </c>
      <c r="U3277">
        <v>126.33414800724699</v>
      </c>
      <c r="V3277">
        <v>122.11850156478199</v>
      </c>
      <c r="W3277">
        <v>124.03638682824899</v>
      </c>
    </row>
    <row r="3278" spans="1:23" x14ac:dyDescent="0.2">
      <c r="A3278" t="s">
        <v>6559</v>
      </c>
      <c r="B3278" s="3" t="str">
        <f>HYPERLINK("http://www.ncbi.nlm.nih.gov/gene/66725","Lrrk2")</f>
        <v>Lrrk2</v>
      </c>
      <c r="C3278">
        <v>66725</v>
      </c>
      <c r="D3278" t="s">
        <v>6560</v>
      </c>
      <c r="E3278" s="3" t="str">
        <f>HYPERLINK("http://genome.ucsc.edu/cgi-bin/hgTracks?db=mm10&amp;lastVirtModeType=default&amp;lastVirtModeExtraState=&amp;virtModeType=default&amp;virtMode=0&amp;nonVirtPosition=&amp;position=chr15:91673223-91816124","chr15:91673223-91816124")</f>
        <v>chr15:91673223-91816124</v>
      </c>
      <c r="F3278" t="s">
        <v>30</v>
      </c>
      <c r="G3278">
        <v>-0.53538896016359605</v>
      </c>
      <c r="H3278">
        <v>0.20681584147443699</v>
      </c>
      <c r="I3278">
        <v>-2.58872316717465</v>
      </c>
      <c r="J3278">
        <v>9.6332503648365094E-3</v>
      </c>
      <c r="K3278">
        <v>3.92508592964389E-2</v>
      </c>
      <c r="L3278" t="s">
        <v>26</v>
      </c>
      <c r="M3278" t="s">
        <v>27</v>
      </c>
      <c r="N3278">
        <v>115.127555914952</v>
      </c>
      <c r="O3278">
        <v>139.999766779699</v>
      </c>
      <c r="P3278">
        <v>96.473397766393106</v>
      </c>
      <c r="Q3278">
        <v>120.26718993723701</v>
      </c>
      <c r="R3278">
        <v>155.873770534915</v>
      </c>
      <c r="S3278">
        <v>143.85833986694399</v>
      </c>
      <c r="T3278">
        <v>132.90568675185699</v>
      </c>
      <c r="U3278">
        <v>62.096445630680499</v>
      </c>
      <c r="V3278">
        <v>107.405429087098</v>
      </c>
      <c r="W3278">
        <v>83.486029595936799</v>
      </c>
    </row>
    <row r="3279" spans="1:23" x14ac:dyDescent="0.2">
      <c r="A3279" t="s">
        <v>6561</v>
      </c>
      <c r="B3279" s="3" t="str">
        <f>HYPERLINK("http://www.ncbi.nlm.nih.gov/gene/69551","2310022B05Rik")</f>
        <v>2310022B05Rik</v>
      </c>
      <c r="C3279">
        <v>69551</v>
      </c>
      <c r="D3279" t="s">
        <v>6562</v>
      </c>
      <c r="E3279" s="3" t="str">
        <f>HYPERLINK("http://genome.ucsc.edu/cgi-bin/hgTracks?db=mm10&amp;lastVirtModeType=default&amp;lastVirtModeExtraState=&amp;virtModeType=default&amp;virtMode=0&amp;nonVirtPosition=&amp;position=chr8:124635755-124663369","chr8:124635755-124663369")</f>
        <v>chr8:124635755-124663369</v>
      </c>
      <c r="F3279" t="s">
        <v>25</v>
      </c>
      <c r="G3279">
        <v>0.43414236042243098</v>
      </c>
      <c r="H3279">
        <v>0.167708446501241</v>
      </c>
      <c r="I3279">
        <v>2.5886731973229402</v>
      </c>
      <c r="J3279">
        <v>9.6346482344406605E-3</v>
      </c>
      <c r="K3279">
        <v>3.92508592964389E-2</v>
      </c>
      <c r="L3279" t="s">
        <v>26</v>
      </c>
      <c r="M3279" t="s">
        <v>27</v>
      </c>
      <c r="N3279">
        <v>171.787978410167</v>
      </c>
      <c r="O3279">
        <v>140.48181345412601</v>
      </c>
      <c r="P3279">
        <v>195.26760212719799</v>
      </c>
      <c r="Q3279">
        <v>133.630211041374</v>
      </c>
      <c r="R3279">
        <v>123.257847746587</v>
      </c>
      <c r="S3279">
        <v>164.557381574418</v>
      </c>
      <c r="T3279">
        <v>201.650007485576</v>
      </c>
      <c r="U3279">
        <v>229.11447180975199</v>
      </c>
      <c r="V3279">
        <v>171.40729436502599</v>
      </c>
      <c r="W3279">
        <v>178.89863484843599</v>
      </c>
    </row>
    <row r="3280" spans="1:23" x14ac:dyDescent="0.2">
      <c r="A3280" t="s">
        <v>6563</v>
      </c>
      <c r="B3280" s="3" t="str">
        <f>HYPERLINK("http://www.ncbi.nlm.nih.gov/gene/16924","Lnx1")</f>
        <v>Lnx1</v>
      </c>
      <c r="C3280">
        <v>16924</v>
      </c>
      <c r="D3280" t="s">
        <v>6564</v>
      </c>
      <c r="E3280" s="3" t="str">
        <f>HYPERLINK("http://genome.ucsc.edu/cgi-bin/hgTracks?db=mm10&amp;lastVirtModeType=default&amp;lastVirtModeExtraState=&amp;virtModeType=default&amp;virtMode=0&amp;nonVirtPosition=&amp;position=chr5:74592446-74677872","chr5:74592446-74677872")</f>
        <v>chr5:74592446-74677872</v>
      </c>
      <c r="F3280" t="s">
        <v>25</v>
      </c>
      <c r="G3280">
        <v>-0.42831498375761701</v>
      </c>
      <c r="H3280">
        <v>0.16548001751125299</v>
      </c>
      <c r="I3280">
        <v>-2.5883184580186001</v>
      </c>
      <c r="J3280">
        <v>9.6445770035941993E-3</v>
      </c>
      <c r="K3280">
        <v>3.9269113404505299E-2</v>
      </c>
      <c r="L3280" t="s">
        <v>26</v>
      </c>
      <c r="M3280" t="s">
        <v>27</v>
      </c>
      <c r="N3280">
        <v>233.16132636032</v>
      </c>
      <c r="O3280">
        <v>273.33585164840099</v>
      </c>
      <c r="P3280">
        <v>203.03043239426</v>
      </c>
      <c r="Q3280">
        <v>308.46307048717199</v>
      </c>
      <c r="R3280">
        <v>226.41518493757701</v>
      </c>
      <c r="S3280">
        <v>285.129299520453</v>
      </c>
      <c r="T3280">
        <v>215.39887163231899</v>
      </c>
      <c r="U3280">
        <v>235.538242047409</v>
      </c>
      <c r="V3280">
        <v>194.21255670543701</v>
      </c>
      <c r="W3280">
        <v>166.972059191874</v>
      </c>
    </row>
    <row r="3281" spans="1:23" x14ac:dyDescent="0.2">
      <c r="A3281" t="s">
        <v>6565</v>
      </c>
      <c r="B3281" s="3" t="str">
        <f>HYPERLINK("http://www.ncbi.nlm.nih.gov/gene/17687","Msh5")</f>
        <v>Msh5</v>
      </c>
      <c r="C3281">
        <v>17687</v>
      </c>
      <c r="D3281" t="s">
        <v>6566</v>
      </c>
      <c r="E3281" s="3" t="str">
        <f>HYPERLINK("http://genome.ucsc.edu/cgi-bin/hgTracks?db=mm10&amp;lastVirtModeType=default&amp;lastVirtModeExtraState=&amp;virtModeType=default&amp;virtMode=0&amp;nonVirtPosition=&amp;position=chr17:35028604-35046745","chr17:35028604-35046745")</f>
        <v>chr17:35028604-35046745</v>
      </c>
      <c r="F3281" t="s">
        <v>25</v>
      </c>
      <c r="G3281">
        <v>0.821743260430988</v>
      </c>
      <c r="H3281">
        <v>0.31748333947247098</v>
      </c>
      <c r="I3281">
        <v>2.5883035682955602</v>
      </c>
      <c r="J3281">
        <v>9.6449939502216194E-3</v>
      </c>
      <c r="K3281">
        <v>3.9269113404505299E-2</v>
      </c>
      <c r="L3281" t="s">
        <v>26</v>
      </c>
      <c r="M3281" t="s">
        <v>27</v>
      </c>
      <c r="N3281">
        <v>24.489980961668898</v>
      </c>
      <c r="O3281">
        <v>14.5581120248339</v>
      </c>
      <c r="P3281">
        <v>31.9388826642951</v>
      </c>
      <c r="Q3281">
        <v>12.8062285581317</v>
      </c>
      <c r="R3281">
        <v>13.2739220650171</v>
      </c>
      <c r="S3281">
        <v>17.5941854513528</v>
      </c>
      <c r="T3281">
        <v>54.995456586975202</v>
      </c>
      <c r="U3281">
        <v>14.9887972211987</v>
      </c>
      <c r="V3281">
        <v>27.954837707600699</v>
      </c>
      <c r="W3281">
        <v>29.816439141406001</v>
      </c>
    </row>
    <row r="3282" spans="1:23" x14ac:dyDescent="0.2">
      <c r="A3282" t="s">
        <v>6567</v>
      </c>
      <c r="B3282" s="3" t="str">
        <f>HYPERLINK("http://www.ncbi.nlm.nih.gov/gene/67426","Coq8a")</f>
        <v>Coq8a</v>
      </c>
      <c r="C3282">
        <v>67426</v>
      </c>
      <c r="D3282" t="s">
        <v>6568</v>
      </c>
      <c r="E3282" s="3" t="str">
        <f>HYPERLINK("http://genome.ucsc.edu/cgi-bin/hgTracks?db=mm10&amp;lastVirtModeType=default&amp;lastVirtModeExtraState=&amp;virtModeType=default&amp;virtMode=0&amp;nonVirtPosition=&amp;position=chr1:180165237-180193485","chr1:180165237-180193485")</f>
        <v>chr1:180165237-180193485</v>
      </c>
      <c r="F3282" t="s">
        <v>25</v>
      </c>
      <c r="G3282">
        <v>-0.65816398319052904</v>
      </c>
      <c r="H3282">
        <v>0.254323572640414</v>
      </c>
      <c r="I3282">
        <v>-2.5879000375679002</v>
      </c>
      <c r="J3282">
        <v>9.6562998631004402E-3</v>
      </c>
      <c r="K3282">
        <v>3.9291252344812497E-2</v>
      </c>
      <c r="L3282" t="s">
        <v>26</v>
      </c>
      <c r="M3282" t="s">
        <v>27</v>
      </c>
      <c r="N3282">
        <v>40.141719724503403</v>
      </c>
      <c r="O3282">
        <v>51.071462123990699</v>
      </c>
      <c r="P3282">
        <v>31.944412924887999</v>
      </c>
      <c r="Q3282">
        <v>56.236047146578201</v>
      </c>
      <c r="R3282">
        <v>51.957923511638199</v>
      </c>
      <c r="S3282">
        <v>45.020415713755703</v>
      </c>
      <c r="T3282">
        <v>45.829547155812598</v>
      </c>
      <c r="U3282">
        <v>21.412567458855399</v>
      </c>
      <c r="V3282">
        <v>33.104413074790401</v>
      </c>
      <c r="W3282">
        <v>27.431124010093502</v>
      </c>
    </row>
    <row r="3283" spans="1:23" x14ac:dyDescent="0.2">
      <c r="A3283" t="s">
        <v>6569</v>
      </c>
      <c r="B3283" s="3" t="str">
        <f>HYPERLINK("http://www.ncbi.nlm.nih.gov/gene/619605","Zcchc17")</f>
        <v>Zcchc17</v>
      </c>
      <c r="C3283">
        <v>619605</v>
      </c>
      <c r="D3283" t="s">
        <v>6570</v>
      </c>
      <c r="E3283" s="3" t="str">
        <f>HYPERLINK("http://genome.ucsc.edu/cgi-bin/hgTracks?db=mm10&amp;lastVirtModeType=default&amp;lastVirtModeExtraState=&amp;virtModeType=default&amp;virtMode=0&amp;nonVirtPosition=&amp;position=chr4:130316084-130359943","chr4:130316084-130359943")</f>
        <v>chr4:130316084-130359943</v>
      </c>
      <c r="F3283" t="s">
        <v>25</v>
      </c>
      <c r="G3283">
        <v>-0.43099821201705302</v>
      </c>
      <c r="H3283">
        <v>0.16658294818611999</v>
      </c>
      <c r="I3283">
        <v>-2.5872888954727</v>
      </c>
      <c r="J3283">
        <v>9.6734450188175995E-3</v>
      </c>
      <c r="K3283">
        <v>3.9320503110604602E-2</v>
      </c>
      <c r="L3283" t="s">
        <v>26</v>
      </c>
      <c r="M3283" t="s">
        <v>27</v>
      </c>
      <c r="N3283">
        <v>183.356230346015</v>
      </c>
      <c r="O3283">
        <v>215.627888303898</v>
      </c>
      <c r="P3283">
        <v>159.152486877603</v>
      </c>
      <c r="Q3283">
        <v>261.69249662269101</v>
      </c>
      <c r="R3283">
        <v>202.522125220546</v>
      </c>
      <c r="S3283">
        <v>182.669043068457</v>
      </c>
      <c r="T3283">
        <v>169.56932447650701</v>
      </c>
      <c r="U3283">
        <v>162.735512687301</v>
      </c>
      <c r="V3283">
        <v>155.22291463957299</v>
      </c>
      <c r="W3283">
        <v>149.08219570703</v>
      </c>
    </row>
    <row r="3284" spans="1:23" x14ac:dyDescent="0.2">
      <c r="A3284" t="s">
        <v>6571</v>
      </c>
      <c r="B3284" s="3" t="str">
        <f>HYPERLINK("http://www.ncbi.nlm.nih.gov/gene/71723","Dhx34")</f>
        <v>Dhx34</v>
      </c>
      <c r="C3284">
        <v>71723</v>
      </c>
      <c r="D3284" t="s">
        <v>6572</v>
      </c>
      <c r="E3284" s="3" t="str">
        <f>HYPERLINK("http://genome.ucsc.edu/cgi-bin/hgTracks?db=mm10&amp;lastVirtModeType=default&amp;lastVirtModeExtraState=&amp;virtModeType=default&amp;virtMode=0&amp;nonVirtPosition=&amp;position=chr7:16197220-16221993","chr7:16197220-16221993")</f>
        <v>chr7:16197220-16221993</v>
      </c>
      <c r="F3284" t="s">
        <v>25</v>
      </c>
      <c r="G3284">
        <v>0.48668319145141797</v>
      </c>
      <c r="H3284">
        <v>0.18811134885758901</v>
      </c>
      <c r="I3284">
        <v>2.587208025497</v>
      </c>
      <c r="J3284">
        <v>9.6757158001633901E-3</v>
      </c>
      <c r="K3284">
        <v>3.9320503110604602E-2</v>
      </c>
      <c r="L3284" t="s">
        <v>26</v>
      </c>
      <c r="M3284" t="s">
        <v>27</v>
      </c>
      <c r="N3284">
        <v>107.76314927110801</v>
      </c>
      <c r="O3284">
        <v>87.089487242663495</v>
      </c>
      <c r="P3284">
        <v>123.268395792441</v>
      </c>
      <c r="Q3284">
        <v>74.610201164767105</v>
      </c>
      <c r="R3284">
        <v>78.505767641672307</v>
      </c>
      <c r="S3284">
        <v>108.152492921551</v>
      </c>
      <c r="T3284">
        <v>109.99091317395001</v>
      </c>
      <c r="U3284">
        <v>134.89917499078899</v>
      </c>
      <c r="V3284">
        <v>126.532423308088</v>
      </c>
      <c r="W3284">
        <v>121.651071696936</v>
      </c>
    </row>
    <row r="3285" spans="1:23" x14ac:dyDescent="0.2">
      <c r="A3285" t="s">
        <v>6573</v>
      </c>
      <c r="B3285" s="3" t="str">
        <f>HYPERLINK("http://www.ncbi.nlm.nih.gov/gene/54141","Spag5")</f>
        <v>Spag5</v>
      </c>
      <c r="C3285">
        <v>54141</v>
      </c>
      <c r="D3285" t="s">
        <v>6574</v>
      </c>
      <c r="E3285" s="3" t="str">
        <f>HYPERLINK("http://genome.ucsc.edu/cgi-bin/hgTracks?db=mm10&amp;lastVirtModeType=default&amp;lastVirtModeExtraState=&amp;virtModeType=default&amp;virtMode=0&amp;nonVirtPosition=&amp;position=chr11:78301590-78322454","chr11:78301590-78322454")</f>
        <v>chr11:78301590-78322454</v>
      </c>
      <c r="F3285" t="s">
        <v>30</v>
      </c>
      <c r="G3285">
        <v>0.68480816144005896</v>
      </c>
      <c r="H3285">
        <v>0.26469362304755301</v>
      </c>
      <c r="I3285">
        <v>2.5871728738891102</v>
      </c>
      <c r="J3285">
        <v>9.6767029847855193E-3</v>
      </c>
      <c r="K3285">
        <v>3.9320503110604602E-2</v>
      </c>
      <c r="L3285" t="s">
        <v>26</v>
      </c>
      <c r="M3285" t="s">
        <v>27</v>
      </c>
      <c r="N3285">
        <v>307.93560732726201</v>
      </c>
      <c r="O3285">
        <v>217.138835357978</v>
      </c>
      <c r="P3285">
        <v>376.03318630422501</v>
      </c>
      <c r="Q3285">
        <v>96.325110458990395</v>
      </c>
      <c r="R3285">
        <v>267.37471588105802</v>
      </c>
      <c r="S3285">
        <v>287.71667973388702</v>
      </c>
      <c r="T3285">
        <v>458.295471558126</v>
      </c>
      <c r="U3285">
        <v>310.48222815340301</v>
      </c>
      <c r="V3285">
        <v>331.04413074790398</v>
      </c>
      <c r="W3285">
        <v>404.31091475746501</v>
      </c>
    </row>
    <row r="3286" spans="1:23" x14ac:dyDescent="0.2">
      <c r="A3286" t="s">
        <v>6575</v>
      </c>
      <c r="B3286" s="3" t="str">
        <f>HYPERLINK("http://www.ncbi.nlm.nih.gov/gene/58809","Rnase4")</f>
        <v>Rnase4</v>
      </c>
      <c r="C3286">
        <v>58809</v>
      </c>
      <c r="D3286" t="s">
        <v>6576</v>
      </c>
      <c r="E3286" s="3" t="str">
        <f>HYPERLINK("http://genome.ucsc.edu/cgi-bin/hgTracks?db=mm10&amp;lastVirtModeType=default&amp;lastVirtModeExtraState=&amp;virtModeType=default&amp;virtMode=0&amp;nonVirtPosition=&amp;position=chr14:51091076-51106151","chr14:51091076-51106151")</f>
        <v>chr14:51091076-51106151</v>
      </c>
      <c r="F3286" t="s">
        <v>30</v>
      </c>
      <c r="G3286">
        <v>-0.76532116328196598</v>
      </c>
      <c r="H3286">
        <v>0.29581742021424401</v>
      </c>
      <c r="I3286">
        <v>-2.5871402797295899</v>
      </c>
      <c r="J3286">
        <v>9.6776184272046907E-3</v>
      </c>
      <c r="K3286">
        <v>3.9320503110604602E-2</v>
      </c>
      <c r="L3286" t="s">
        <v>26</v>
      </c>
      <c r="M3286" t="s">
        <v>27</v>
      </c>
      <c r="N3286">
        <v>71.733308656462199</v>
      </c>
      <c r="O3286">
        <v>98.689946430774</v>
      </c>
      <c r="P3286">
        <v>51.515830325728402</v>
      </c>
      <c r="Q3286">
        <v>164.253801071689</v>
      </c>
      <c r="R3286">
        <v>61.439296415221797</v>
      </c>
      <c r="S3286">
        <v>70.376741805411299</v>
      </c>
      <c r="T3286">
        <v>45.829547155812598</v>
      </c>
      <c r="U3286">
        <v>51.390161901252803</v>
      </c>
      <c r="V3286">
        <v>55.174021791317301</v>
      </c>
      <c r="W3286">
        <v>53.669590454530798</v>
      </c>
    </row>
    <row r="3287" spans="1:23" x14ac:dyDescent="0.2">
      <c r="A3287" t="s">
        <v>6577</v>
      </c>
      <c r="B3287" s="3" t="str">
        <f>HYPERLINK("http://www.ncbi.nlm.nih.gov/gene/17865","Mybl2")</f>
        <v>Mybl2</v>
      </c>
      <c r="C3287">
        <v>17865</v>
      </c>
      <c r="D3287" t="s">
        <v>6578</v>
      </c>
      <c r="E3287" s="3" t="str">
        <f>HYPERLINK("http://genome.ucsc.edu/cgi-bin/hgTracks?db=mm10&amp;lastVirtModeType=default&amp;lastVirtModeExtraState=&amp;virtModeType=default&amp;virtMode=0&amp;nonVirtPosition=&amp;position=chr2:163054634-163084687","chr2:163054634-163084687")</f>
        <v>chr2:163054634-163084687</v>
      </c>
      <c r="F3287" t="s">
        <v>30</v>
      </c>
      <c r="G3287">
        <v>0.85863422180525795</v>
      </c>
      <c r="H3287">
        <v>0.33188797270141901</v>
      </c>
      <c r="I3287">
        <v>2.5871206323518199</v>
      </c>
      <c r="J3287">
        <v>9.67817028246978E-3</v>
      </c>
      <c r="K3287">
        <v>3.9320503110604602E-2</v>
      </c>
      <c r="L3287" t="s">
        <v>26</v>
      </c>
      <c r="M3287" t="s">
        <v>27</v>
      </c>
      <c r="N3287">
        <v>78.248132356163296</v>
      </c>
      <c r="O3287">
        <v>46.448231229613299</v>
      </c>
      <c r="P3287">
        <v>102.098058201076</v>
      </c>
      <c r="Q3287">
        <v>12.8062285581317</v>
      </c>
      <c r="R3287">
        <v>60.301531666791803</v>
      </c>
      <c r="S3287">
        <v>66.2369334639165</v>
      </c>
      <c r="T3287">
        <v>142.07159618301901</v>
      </c>
      <c r="U3287">
        <v>85.650269835421398</v>
      </c>
      <c r="V3287">
        <v>91.221049361644504</v>
      </c>
      <c r="W3287">
        <v>89.449317424217995</v>
      </c>
    </row>
    <row r="3288" spans="1:23" x14ac:dyDescent="0.2">
      <c r="A3288" t="s">
        <v>6579</v>
      </c>
      <c r="B3288" s="3" t="str">
        <f>HYPERLINK("http://www.ncbi.nlm.nih.gov/gene/270906","Prr11")</f>
        <v>Prr11</v>
      </c>
      <c r="C3288">
        <v>270906</v>
      </c>
      <c r="D3288" t="s">
        <v>6580</v>
      </c>
      <c r="E3288" s="3" t="str">
        <f>HYPERLINK("http://genome.ucsc.edu/cgi-bin/hgTracks?db=mm10&amp;lastVirtModeType=default&amp;lastVirtModeExtraState=&amp;virtModeType=default&amp;virtMode=0&amp;nonVirtPosition=&amp;position=chr11:87089155-87108714","chr11:87089155-87108714")</f>
        <v>chr11:87089155-87108714</v>
      </c>
      <c r="F3288" t="s">
        <v>25</v>
      </c>
      <c r="G3288">
        <v>0.64498285182660797</v>
      </c>
      <c r="H3288">
        <v>0.24936284320438601</v>
      </c>
      <c r="I3288">
        <v>2.58652349138463</v>
      </c>
      <c r="J3288">
        <v>9.6949561573780995E-3</v>
      </c>
      <c r="K3288">
        <v>3.9376753989520799E-2</v>
      </c>
      <c r="L3288" t="s">
        <v>26</v>
      </c>
      <c r="M3288" t="s">
        <v>27</v>
      </c>
      <c r="N3288">
        <v>140.64192229554601</v>
      </c>
      <c r="O3288">
        <v>101.795206615807</v>
      </c>
      <c r="P3288">
        <v>169.77695905535001</v>
      </c>
      <c r="Q3288">
        <v>56.236047146578201</v>
      </c>
      <c r="R3288">
        <v>111.500945346143</v>
      </c>
      <c r="S3288">
        <v>137.64862735470101</v>
      </c>
      <c r="T3288">
        <v>206.23296220115699</v>
      </c>
      <c r="U3288">
        <v>130.61666149901799</v>
      </c>
      <c r="V3288">
        <v>182.44209872328901</v>
      </c>
      <c r="W3288">
        <v>159.816113797936</v>
      </c>
    </row>
    <row r="3289" spans="1:23" x14ac:dyDescent="0.2">
      <c r="A3289" t="s">
        <v>6581</v>
      </c>
      <c r="B3289" s="3" t="str">
        <f>HYPERLINK("http://www.ncbi.nlm.nih.gov/gene/224824","Pex6")</f>
        <v>Pex6</v>
      </c>
      <c r="C3289">
        <v>224824</v>
      </c>
      <c r="D3289" t="s">
        <v>6582</v>
      </c>
      <c r="E3289" s="3" t="str">
        <f>HYPERLINK("http://genome.ucsc.edu/cgi-bin/hgTracks?db=mm10&amp;lastVirtModeType=default&amp;lastVirtModeExtraState=&amp;virtModeType=default&amp;virtMode=0&amp;nonVirtPosition=&amp;position=chr17:46711462-46725541","chr17:46711462-46725541")</f>
        <v>chr17:46711462-46725541</v>
      </c>
      <c r="F3289" t="s">
        <v>30</v>
      </c>
      <c r="G3289">
        <v>0.57352067261489603</v>
      </c>
      <c r="H3289">
        <v>0.22189129261066601</v>
      </c>
      <c r="I3289">
        <v>2.5846921069643098</v>
      </c>
      <c r="J3289">
        <v>9.7465990753262694E-3</v>
      </c>
      <c r="K3289">
        <v>3.9565790942930099E-2</v>
      </c>
      <c r="L3289" t="s">
        <v>26</v>
      </c>
      <c r="M3289" t="s">
        <v>27</v>
      </c>
      <c r="N3289">
        <v>132.813215420132</v>
      </c>
      <c r="O3289">
        <v>101.03274143098901</v>
      </c>
      <c r="P3289">
        <v>156.648570911989</v>
      </c>
      <c r="Q3289">
        <v>115.812849569191</v>
      </c>
      <c r="R3289">
        <v>68.265884905801997</v>
      </c>
      <c r="S3289">
        <v>119.019489817975</v>
      </c>
      <c r="T3289">
        <v>164.98636976092499</v>
      </c>
      <c r="U3289">
        <v>154.170485703759</v>
      </c>
      <c r="V3289">
        <v>121.382847940898</v>
      </c>
      <c r="W3289">
        <v>186.05458024237299</v>
      </c>
    </row>
    <row r="3290" spans="1:23" x14ac:dyDescent="0.2">
      <c r="A3290" t="s">
        <v>6583</v>
      </c>
      <c r="B3290" s="3" t="str">
        <f>HYPERLINK("http://www.ncbi.nlm.nih.gov/gene/68519","Eml1")</f>
        <v>Eml1</v>
      </c>
      <c r="C3290">
        <v>68519</v>
      </c>
      <c r="D3290" t="s">
        <v>6584</v>
      </c>
      <c r="E3290" s="3" t="str">
        <f>HYPERLINK("http://genome.ucsc.edu/cgi-bin/hgTracks?db=mm10&amp;lastVirtModeType=default&amp;lastVirtModeExtraState=&amp;virtModeType=default&amp;virtMode=0&amp;nonVirtPosition=&amp;position=chr12:108422815-108539564","chr12:108422815-108539564")</f>
        <v>chr12:108422815-108539564</v>
      </c>
      <c r="F3290" t="s">
        <v>30</v>
      </c>
      <c r="G3290">
        <v>-0.35037105073298103</v>
      </c>
      <c r="H3290">
        <v>0.13555770549299401</v>
      </c>
      <c r="I3290">
        <v>-2.5846634793555698</v>
      </c>
      <c r="J3290">
        <v>9.7474082832295205E-3</v>
      </c>
      <c r="K3290">
        <v>3.9565790942930099E-2</v>
      </c>
      <c r="L3290" t="s">
        <v>26</v>
      </c>
      <c r="M3290" t="s">
        <v>27</v>
      </c>
      <c r="N3290">
        <v>295.179910286336</v>
      </c>
      <c r="O3290">
        <v>341.47739969070301</v>
      </c>
      <c r="P3290">
        <v>260.45679323306098</v>
      </c>
      <c r="Q3290">
        <v>310.690240671195</v>
      </c>
      <c r="R3290">
        <v>337.53687536757701</v>
      </c>
      <c r="S3290">
        <v>376.20508303333798</v>
      </c>
      <c r="T3290">
        <v>229.147735779063</v>
      </c>
      <c r="U3290">
        <v>250.52703926860801</v>
      </c>
      <c r="V3290">
        <v>294.99710317757598</v>
      </c>
      <c r="W3290">
        <v>267.15529470699801</v>
      </c>
    </row>
    <row r="3291" spans="1:23" x14ac:dyDescent="0.2">
      <c r="A3291" t="s">
        <v>6585</v>
      </c>
      <c r="B3291" s="3" t="str">
        <f>HYPERLINK("http://www.ncbi.nlm.nih.gov/gene/17937","Nab2")</f>
        <v>Nab2</v>
      </c>
      <c r="C3291">
        <v>17937</v>
      </c>
      <c r="D3291" t="s">
        <v>6586</v>
      </c>
      <c r="E3291" s="3" t="str">
        <f>HYPERLINK("http://genome.ucsc.edu/cgi-bin/hgTracks?db=mm10&amp;lastVirtModeType=default&amp;lastVirtModeExtraState=&amp;virtModeType=default&amp;virtMode=0&amp;nonVirtPosition=&amp;position=chr10:127660917-127666703","chr10:127660917-127666703")</f>
        <v>chr10:127660917-127666703</v>
      </c>
      <c r="F3291" t="s">
        <v>25</v>
      </c>
      <c r="G3291">
        <v>0.54215048578332803</v>
      </c>
      <c r="H3291">
        <v>0.20977873940746999</v>
      </c>
      <c r="I3291">
        <v>2.5843919517995899</v>
      </c>
      <c r="J3291">
        <v>9.7550864478589596E-3</v>
      </c>
      <c r="K3291">
        <v>3.9580318656331701E-2</v>
      </c>
      <c r="L3291" t="s">
        <v>26</v>
      </c>
      <c r="M3291" t="s">
        <v>27</v>
      </c>
      <c r="N3291">
        <v>267.66965796966798</v>
      </c>
      <c r="O3291">
        <v>207.967169014772</v>
      </c>
      <c r="P3291">
        <v>312.44652468584098</v>
      </c>
      <c r="Q3291">
        <v>134.18700358737999</v>
      </c>
      <c r="R3291">
        <v>213.89977270484599</v>
      </c>
      <c r="S3291">
        <v>275.81473075208999</v>
      </c>
      <c r="T3291">
        <v>288.72614708162001</v>
      </c>
      <c r="U3291">
        <v>374.71993052996902</v>
      </c>
      <c r="V3291">
        <v>281.019684323776</v>
      </c>
      <c r="W3291">
        <v>305.32033680799702</v>
      </c>
    </row>
    <row r="3292" spans="1:23" x14ac:dyDescent="0.2">
      <c r="A3292" t="s">
        <v>6587</v>
      </c>
      <c r="B3292" s="3" t="str">
        <f>HYPERLINK("http://www.ncbi.nlm.nih.gov/gene/16803","Lbp")</f>
        <v>Lbp</v>
      </c>
      <c r="C3292">
        <v>16803</v>
      </c>
      <c r="D3292" t="s">
        <v>6588</v>
      </c>
      <c r="E3292" s="3" t="str">
        <f>HYPERLINK("http://genome.ucsc.edu/cgi-bin/hgTracks?db=mm10&amp;lastVirtModeType=default&amp;lastVirtModeExtraState=&amp;virtModeType=default&amp;virtMode=0&amp;nonVirtPosition=&amp;position=chr2:158306492-158332852","chr2:158306492-158332852")</f>
        <v>chr2:158306492-158332852</v>
      </c>
      <c r="F3292" t="s">
        <v>30</v>
      </c>
      <c r="G3292">
        <v>-0.98814327476156705</v>
      </c>
      <c r="H3292">
        <v>0.382359869772883</v>
      </c>
      <c r="I3292">
        <v>-2.5843278881450402</v>
      </c>
      <c r="J3292">
        <v>9.7568988040139509E-3</v>
      </c>
      <c r="K3292">
        <v>3.9580318656331701E-2</v>
      </c>
      <c r="L3292" t="s">
        <v>26</v>
      </c>
      <c r="M3292" t="s">
        <v>27</v>
      </c>
      <c r="N3292">
        <v>10.0977661010372</v>
      </c>
      <c r="O3292">
        <v>15.6080463053516</v>
      </c>
      <c r="P3292">
        <v>5.9650559478013596</v>
      </c>
      <c r="Q3292">
        <v>10.579058374108801</v>
      </c>
      <c r="R3292">
        <v>21.238275304027301</v>
      </c>
      <c r="S3292">
        <v>15.0068052379186</v>
      </c>
      <c r="T3292">
        <v>9.1659094311625307</v>
      </c>
      <c r="U3292">
        <v>6.4237702376566101</v>
      </c>
      <c r="V3292">
        <v>5.8852289910738396</v>
      </c>
      <c r="W3292">
        <v>2.3853151313124799</v>
      </c>
    </row>
    <row r="3293" spans="1:23" x14ac:dyDescent="0.2">
      <c r="A3293" t="s">
        <v>6589</v>
      </c>
      <c r="B3293" s="3" t="str">
        <f>HYPERLINK("http://www.ncbi.nlm.nih.gov/gene/99633","Adgrl2")</f>
        <v>Adgrl2</v>
      </c>
      <c r="C3293">
        <v>99633</v>
      </c>
      <c r="D3293" t="s">
        <v>6590</v>
      </c>
      <c r="E3293" s="3" t="str">
        <f>HYPERLINK("http://genome.ucsc.edu/cgi-bin/hgTracks?db=mm10&amp;lastVirtModeType=default&amp;lastVirtModeExtraState=&amp;virtModeType=default&amp;virtMode=0&amp;nonVirtPosition=&amp;position=chr3:148815585-148954635","chr3:148815585-148954635")</f>
        <v>chr3:148815585-148954635</v>
      </c>
      <c r="F3293" t="s">
        <v>25</v>
      </c>
      <c r="G3293">
        <v>0.46478042202872699</v>
      </c>
      <c r="H3293">
        <v>0.17989064494023699</v>
      </c>
      <c r="I3293">
        <v>2.5836831158348099</v>
      </c>
      <c r="J3293">
        <v>9.7751560816589592E-3</v>
      </c>
      <c r="K3293">
        <v>3.9642372831464302E-2</v>
      </c>
      <c r="L3293" t="s">
        <v>26</v>
      </c>
      <c r="M3293" t="s">
        <v>27</v>
      </c>
      <c r="N3293">
        <v>156.06042780917701</v>
      </c>
      <c r="O3293">
        <v>125.59637045356899</v>
      </c>
      <c r="P3293">
        <v>178.90847082588201</v>
      </c>
      <c r="Q3293">
        <v>138.64134395542601</v>
      </c>
      <c r="R3293">
        <v>106.191376520136</v>
      </c>
      <c r="S3293">
        <v>131.95639088514599</v>
      </c>
      <c r="T3293">
        <v>224.564781063482</v>
      </c>
      <c r="U3293">
        <v>137.04043173667401</v>
      </c>
      <c r="V3293">
        <v>194.21255670543701</v>
      </c>
      <c r="W3293">
        <v>159.816113797936</v>
      </c>
    </row>
    <row r="3294" spans="1:23" x14ac:dyDescent="0.2">
      <c r="A3294" t="s">
        <v>6591</v>
      </c>
      <c r="B3294" s="3" t="str">
        <f>HYPERLINK("http://www.ncbi.nlm.nih.gov/gene/216445","Arhgap9")</f>
        <v>Arhgap9</v>
      </c>
      <c r="C3294">
        <v>216445</v>
      </c>
      <c r="D3294" t="s">
        <v>6592</v>
      </c>
      <c r="E3294" s="3" t="str">
        <f>HYPERLINK("http://genome.ucsc.edu/cgi-bin/hgTracks?db=mm10&amp;lastVirtModeType=default&amp;lastVirtModeExtraState=&amp;virtModeType=default&amp;virtMode=0&amp;nonVirtPosition=&amp;position=chr10:127321963-127329943","chr10:127321963-127329943")</f>
        <v>chr10:127321963-127329943</v>
      </c>
      <c r="F3294" t="s">
        <v>30</v>
      </c>
      <c r="G3294">
        <v>0.89983610746602705</v>
      </c>
      <c r="H3294">
        <v>0.34829753145818798</v>
      </c>
      <c r="I3294">
        <v>2.5835270887472501</v>
      </c>
      <c r="J3294">
        <v>9.7795786943198001E-3</v>
      </c>
      <c r="K3294">
        <v>3.9648301028046201E-2</v>
      </c>
      <c r="L3294" t="s">
        <v>26</v>
      </c>
      <c r="M3294" t="s">
        <v>27</v>
      </c>
      <c r="N3294">
        <v>23.175623468207998</v>
      </c>
      <c r="O3294">
        <v>12.2623109113869</v>
      </c>
      <c r="P3294">
        <v>31.3606078858238</v>
      </c>
      <c r="Q3294">
        <v>17.817361472183201</v>
      </c>
      <c r="R3294">
        <v>7.58509832286689</v>
      </c>
      <c r="S3294">
        <v>11.3844729391106</v>
      </c>
      <c r="T3294">
        <v>59.578411302556397</v>
      </c>
      <c r="U3294">
        <v>21.412567458855399</v>
      </c>
      <c r="V3294">
        <v>20.5983014687584</v>
      </c>
      <c r="W3294">
        <v>23.853151313124801</v>
      </c>
    </row>
    <row r="3295" spans="1:23" x14ac:dyDescent="0.2">
      <c r="A3295" t="s">
        <v>6593</v>
      </c>
      <c r="B3295" s="3" t="str">
        <f>HYPERLINK("http://www.ncbi.nlm.nih.gov/gene/330149","Hfm1")</f>
        <v>Hfm1</v>
      </c>
      <c r="C3295">
        <v>330149</v>
      </c>
      <c r="D3295" t="s">
        <v>6594</v>
      </c>
      <c r="E3295" s="3" t="str">
        <f>HYPERLINK("http://genome.ucsc.edu/cgi-bin/hgTracks?db=mm10&amp;lastVirtModeType=default&amp;lastVirtModeExtraState=&amp;virtModeType=default&amp;virtMode=0&amp;nonVirtPosition=&amp;position=chr5:106901888-106925890","chr5:106901888-106925890")</f>
        <v>chr5:106901888-106925890</v>
      </c>
      <c r="F3295" t="s">
        <v>25</v>
      </c>
      <c r="G3295">
        <v>0.74559148243479001</v>
      </c>
      <c r="H3295">
        <v>0.288606124816502</v>
      </c>
      <c r="I3295">
        <v>2.5834222434081902</v>
      </c>
      <c r="J3295">
        <v>9.7825515538008303E-3</v>
      </c>
      <c r="K3295">
        <v>3.9648349835637697E-2</v>
      </c>
      <c r="L3295" t="s">
        <v>26</v>
      </c>
      <c r="M3295" t="s">
        <v>27</v>
      </c>
      <c r="N3295">
        <v>35.146688639253597</v>
      </c>
      <c r="O3295">
        <v>22.933705463683602</v>
      </c>
      <c r="P3295">
        <v>44.306426020931099</v>
      </c>
      <c r="Q3295">
        <v>19.487739110200401</v>
      </c>
      <c r="R3295">
        <v>32.236667872184299</v>
      </c>
      <c r="S3295">
        <v>17.076709408666002</v>
      </c>
      <c r="T3295">
        <v>54.995456586975202</v>
      </c>
      <c r="U3295">
        <v>40.683878171825199</v>
      </c>
      <c r="V3295">
        <v>33.840066698674597</v>
      </c>
      <c r="W3295">
        <v>47.706302626249602</v>
      </c>
    </row>
    <row r="3296" spans="1:23" x14ac:dyDescent="0.2">
      <c r="A3296" t="s">
        <v>6595</v>
      </c>
      <c r="B3296" s="3" t="str">
        <f>HYPERLINK("http://www.ncbi.nlm.nih.gov/gene/19417","Rasgrf1")</f>
        <v>Rasgrf1</v>
      </c>
      <c r="C3296">
        <v>19417</v>
      </c>
      <c r="D3296" t="s">
        <v>6596</v>
      </c>
      <c r="E3296" s="3" t="str">
        <f>HYPERLINK("http://genome.ucsc.edu/cgi-bin/hgTracks?db=mm10&amp;lastVirtModeType=default&amp;lastVirtModeExtraState=&amp;virtModeType=default&amp;virtMode=0&amp;nonVirtPosition=&amp;position=chr9:89909774-90026979","chr9:89909774-90026979")</f>
        <v>chr9:89909774-90026979</v>
      </c>
      <c r="F3296" t="s">
        <v>30</v>
      </c>
      <c r="G3296">
        <v>-0.52016654395933404</v>
      </c>
      <c r="H3296">
        <v>0.201441265070644</v>
      </c>
      <c r="I3296">
        <v>-2.5822243708453501</v>
      </c>
      <c r="J3296">
        <v>9.8165740944960202E-3</v>
      </c>
      <c r="K3296">
        <v>3.9767807142105503E-2</v>
      </c>
      <c r="L3296" t="s">
        <v>26</v>
      </c>
      <c r="M3296" t="s">
        <v>27</v>
      </c>
      <c r="N3296">
        <v>356.28866733840403</v>
      </c>
      <c r="O3296">
        <v>440.07743473379998</v>
      </c>
      <c r="P3296">
        <v>293.44709179185702</v>
      </c>
      <c r="Q3296">
        <v>331.84835741941203</v>
      </c>
      <c r="R3296">
        <v>509.71860729665502</v>
      </c>
      <c r="S3296">
        <v>478.66533948533402</v>
      </c>
      <c r="T3296">
        <v>187.90114333883199</v>
      </c>
      <c r="U3296">
        <v>321.18851188283003</v>
      </c>
      <c r="V3296">
        <v>285.43360606708097</v>
      </c>
      <c r="W3296">
        <v>379.26510587868398</v>
      </c>
    </row>
    <row r="3297" spans="1:23" x14ac:dyDescent="0.2">
      <c r="A3297" t="s">
        <v>6597</v>
      </c>
      <c r="B3297" s="3" t="str">
        <f>HYPERLINK("http://www.ncbi.nlm.nih.gov/gene/58203","Zbp1")</f>
        <v>Zbp1</v>
      </c>
      <c r="C3297">
        <v>58203</v>
      </c>
      <c r="D3297" t="s">
        <v>6598</v>
      </c>
      <c r="E3297" s="3" t="str">
        <f>HYPERLINK("http://genome.ucsc.edu/cgi-bin/hgTracks?db=mm10&amp;lastVirtModeType=default&amp;lastVirtModeExtraState=&amp;virtModeType=default&amp;virtMode=0&amp;nonVirtPosition=&amp;position=chr2:173206611-173218922","chr2:173206611-173218922")</f>
        <v>chr2:173206611-173218922</v>
      </c>
      <c r="F3297" t="s">
        <v>25</v>
      </c>
      <c r="G3297">
        <v>0.92945601158431301</v>
      </c>
      <c r="H3297">
        <v>0.35995075486726702</v>
      </c>
      <c r="I3297">
        <v>2.5821754754398398</v>
      </c>
      <c r="J3297">
        <v>9.8179650819058099E-3</v>
      </c>
      <c r="K3297">
        <v>3.9767807142105503E-2</v>
      </c>
      <c r="L3297" t="s">
        <v>26</v>
      </c>
      <c r="M3297" t="s">
        <v>27</v>
      </c>
      <c r="N3297">
        <v>26.9722932759604</v>
      </c>
      <c r="O3297">
        <v>14.4379528609769</v>
      </c>
      <c r="P3297">
        <v>36.373048587197999</v>
      </c>
      <c r="Q3297">
        <v>26.726042208274801</v>
      </c>
      <c r="R3297">
        <v>9.8606278197269592</v>
      </c>
      <c r="S3297">
        <v>6.72718855492902</v>
      </c>
      <c r="T3297">
        <v>50.4125018713939</v>
      </c>
      <c r="U3297">
        <v>23.553824204740899</v>
      </c>
      <c r="V3297">
        <v>25.012223212063802</v>
      </c>
      <c r="W3297">
        <v>46.513645060593397</v>
      </c>
    </row>
    <row r="3298" spans="1:23" x14ac:dyDescent="0.2">
      <c r="A3298" t="s">
        <v>6599</v>
      </c>
      <c r="B3298" s="3" t="str">
        <f>HYPERLINK("http://www.ncbi.nlm.nih.gov/gene/27364","Srr")</f>
        <v>Srr</v>
      </c>
      <c r="C3298">
        <v>27364</v>
      </c>
      <c r="D3298" t="s">
        <v>6600</v>
      </c>
      <c r="E3298" s="3" t="str">
        <f>HYPERLINK("http://genome.ucsc.edu/cgi-bin/hgTracks?db=mm10&amp;lastVirtModeType=default&amp;lastVirtModeExtraState=&amp;virtModeType=default&amp;virtMode=0&amp;nonVirtPosition=&amp;position=chr11:74906358-74925798","chr11:74906358-74925798")</f>
        <v>chr11:74906358-74925798</v>
      </c>
      <c r="F3298" t="s">
        <v>25</v>
      </c>
      <c r="G3298">
        <v>-0.53728494035956398</v>
      </c>
      <c r="H3298">
        <v>0.20808908067965001</v>
      </c>
      <c r="I3298">
        <v>-2.58199487740881</v>
      </c>
      <c r="J3298">
        <v>9.8231042975243706E-3</v>
      </c>
      <c r="K3298">
        <v>3.9776591971015698E-2</v>
      </c>
      <c r="L3298" t="s">
        <v>26</v>
      </c>
      <c r="M3298" t="s">
        <v>27</v>
      </c>
      <c r="N3298">
        <v>146.20667237041599</v>
      </c>
      <c r="O3298">
        <v>179.880290102597</v>
      </c>
      <c r="P3298">
        <v>120.95145907128099</v>
      </c>
      <c r="Q3298">
        <v>224.944188586313</v>
      </c>
      <c r="R3298">
        <v>168.76843768378799</v>
      </c>
      <c r="S3298">
        <v>145.928244037691</v>
      </c>
      <c r="T3298">
        <v>142.07159618301901</v>
      </c>
      <c r="U3298">
        <v>81.367756343650299</v>
      </c>
      <c r="V3298">
        <v>118.440233445361</v>
      </c>
      <c r="W3298">
        <v>141.92625031309299</v>
      </c>
    </row>
    <row r="3299" spans="1:23" x14ac:dyDescent="0.2">
      <c r="A3299" t="s">
        <v>6601</v>
      </c>
      <c r="B3299" s="3" t="str">
        <f>HYPERLINK("http://www.ncbi.nlm.nih.gov/gene/65945","Clstn1")</f>
        <v>Clstn1</v>
      </c>
      <c r="C3299">
        <v>65945</v>
      </c>
      <c r="D3299" t="s">
        <v>6602</v>
      </c>
      <c r="E3299" s="3" t="str">
        <f>HYPERLINK("http://genome.ucsc.edu/cgi-bin/hgTracks?db=mm10&amp;lastVirtModeType=default&amp;lastVirtModeExtraState=&amp;virtModeType=default&amp;virtMode=0&amp;nonVirtPosition=&amp;position=chr4:149586467-149648899","chr4:149586467-149648899")</f>
        <v>chr4:149586467-149648899</v>
      </c>
      <c r="F3299" t="s">
        <v>30</v>
      </c>
      <c r="G3299">
        <v>-0.50238227716563899</v>
      </c>
      <c r="H3299">
        <v>0.194593630723393</v>
      </c>
      <c r="I3299">
        <v>-2.5816994898448402</v>
      </c>
      <c r="J3299">
        <v>9.8315152060589796E-3</v>
      </c>
      <c r="K3299">
        <v>3.97959044604917E-2</v>
      </c>
      <c r="L3299" t="s">
        <v>26</v>
      </c>
      <c r="M3299" t="s">
        <v>27</v>
      </c>
      <c r="N3299">
        <v>1937.7785907022401</v>
      </c>
      <c r="O3299">
        <v>2357.7452056260499</v>
      </c>
      <c r="P3299">
        <v>1622.80362950938</v>
      </c>
      <c r="Q3299">
        <v>2673.7178059194898</v>
      </c>
      <c r="R3299">
        <v>2463.6399352671701</v>
      </c>
      <c r="S3299">
        <v>1935.8778756915001</v>
      </c>
      <c r="T3299">
        <v>1200.73413548229</v>
      </c>
      <c r="U3299">
        <v>2250.4608399256999</v>
      </c>
      <c r="V3299">
        <v>1511.0325434582101</v>
      </c>
      <c r="W3299">
        <v>1528.9869991713001</v>
      </c>
    </row>
    <row r="3300" spans="1:23" x14ac:dyDescent="0.2">
      <c r="A3300" t="s">
        <v>6603</v>
      </c>
      <c r="B3300" s="3" t="str">
        <f>HYPERLINK("http://www.ncbi.nlm.nih.gov/gene/231440","Parm1")</f>
        <v>Parm1</v>
      </c>
      <c r="C3300">
        <v>231440</v>
      </c>
      <c r="D3300" t="s">
        <v>6604</v>
      </c>
      <c r="E3300" s="3" t="str">
        <f>HYPERLINK("http://genome.ucsc.edu/cgi-bin/hgTracks?db=mm10&amp;lastVirtModeType=default&amp;lastVirtModeExtraState=&amp;virtModeType=default&amp;virtMode=0&amp;nonVirtPosition=&amp;position=chr5:91517699-91623996","chr5:91517699-91623996")</f>
        <v>chr5:91517699-91623996</v>
      </c>
      <c r="F3300" t="s">
        <v>30</v>
      </c>
      <c r="G3300">
        <v>0.62381750063964103</v>
      </c>
      <c r="H3300">
        <v>0.241638126341298</v>
      </c>
      <c r="I3300">
        <v>2.5816186794899298</v>
      </c>
      <c r="J3300">
        <v>9.8338173295323007E-3</v>
      </c>
      <c r="K3300">
        <v>3.97959044604917E-2</v>
      </c>
      <c r="L3300" t="s">
        <v>26</v>
      </c>
      <c r="M3300" t="s">
        <v>27</v>
      </c>
      <c r="N3300">
        <v>55.431036602807602</v>
      </c>
      <c r="O3300">
        <v>40.5184364439882</v>
      </c>
      <c r="P3300">
        <v>66.615486721922196</v>
      </c>
      <c r="Q3300">
        <v>48.997744048503797</v>
      </c>
      <c r="R3300">
        <v>45.131335021058</v>
      </c>
      <c r="S3300">
        <v>27.4262302624029</v>
      </c>
      <c r="T3300">
        <v>73.327275449300203</v>
      </c>
      <c r="U3300">
        <v>66.378959122451604</v>
      </c>
      <c r="V3300">
        <v>64.737518901812294</v>
      </c>
      <c r="W3300">
        <v>62.018193414124497</v>
      </c>
    </row>
    <row r="3301" spans="1:23" x14ac:dyDescent="0.2">
      <c r="A3301" t="s">
        <v>6605</v>
      </c>
      <c r="B3301" s="3" t="str">
        <f>HYPERLINK("http://www.ncbi.nlm.nih.gov/gene/12465","Cct5")</f>
        <v>Cct5</v>
      </c>
      <c r="C3301">
        <v>12465</v>
      </c>
      <c r="D3301" t="s">
        <v>6606</v>
      </c>
      <c r="E3301" s="3" t="str">
        <f>HYPERLINK("http://genome.ucsc.edu/cgi-bin/hgTracks?db=mm10&amp;lastVirtModeType=default&amp;lastVirtModeExtraState=&amp;virtModeType=default&amp;virtMode=0&amp;nonVirtPosition=&amp;position=chr15:31590883-31601804","chr15:31590883-31601804")</f>
        <v>chr15:31590883-31601804</v>
      </c>
      <c r="F3301" t="s">
        <v>25</v>
      </c>
      <c r="G3301">
        <v>-0.44515355649136301</v>
      </c>
      <c r="H3301">
        <v>0.172445342412543</v>
      </c>
      <c r="I3301">
        <v>-2.5814182642661199</v>
      </c>
      <c r="J3301">
        <v>9.8395288266408098E-3</v>
      </c>
      <c r="K3301">
        <v>3.9806988071766497E-2</v>
      </c>
      <c r="L3301" t="s">
        <v>26</v>
      </c>
      <c r="M3301" t="s">
        <v>27</v>
      </c>
      <c r="N3301">
        <v>1270.6922126998199</v>
      </c>
      <c r="O3301">
        <v>1510.1910955191499</v>
      </c>
      <c r="P3301">
        <v>1091.06805058533</v>
      </c>
      <c r="Q3301">
        <v>1300.6673874693699</v>
      </c>
      <c r="R3301">
        <v>1736.9875159365199</v>
      </c>
      <c r="S3301">
        <v>1492.91838315156</v>
      </c>
      <c r="T3301">
        <v>934.92276197857802</v>
      </c>
      <c r="U3301">
        <v>1453.9133304562799</v>
      </c>
      <c r="V3301">
        <v>1038.00726330065</v>
      </c>
      <c r="W3301">
        <v>937.42884660580501</v>
      </c>
    </row>
    <row r="3302" spans="1:23" x14ac:dyDescent="0.2">
      <c r="A3302" t="s">
        <v>6607</v>
      </c>
      <c r="B3302" s="3" t="str">
        <f>HYPERLINK("http://www.ncbi.nlm.nih.gov/gene/74521","Ppp4r4")</f>
        <v>Ppp4r4</v>
      </c>
      <c r="C3302">
        <v>74521</v>
      </c>
      <c r="D3302" t="s">
        <v>6608</v>
      </c>
      <c r="E3302" s="3" t="str">
        <f>HYPERLINK("http://genome.ucsc.edu/cgi-bin/hgTracks?db=mm10&amp;lastVirtModeType=default&amp;lastVirtModeExtraState=&amp;virtModeType=default&amp;virtMode=0&amp;nonVirtPosition=&amp;position=chr12:103532564-103613832","chr12:103532564-103613832")</f>
        <v>chr12:103532564-103613832</v>
      </c>
      <c r="F3302" t="s">
        <v>30</v>
      </c>
      <c r="G3302">
        <v>-0.60127623641818995</v>
      </c>
      <c r="H3302">
        <v>0.23298713727085901</v>
      </c>
      <c r="I3302">
        <v>-2.5807271743039499</v>
      </c>
      <c r="J3302">
        <v>9.85924640569227E-3</v>
      </c>
      <c r="K3302">
        <v>3.9874711150294499E-2</v>
      </c>
      <c r="L3302" t="s">
        <v>26</v>
      </c>
      <c r="M3302" t="s">
        <v>27</v>
      </c>
      <c r="N3302">
        <v>77.936688128232504</v>
      </c>
      <c r="O3302">
        <v>97.644974083183598</v>
      </c>
      <c r="P3302">
        <v>63.155473662019197</v>
      </c>
      <c r="Q3302">
        <v>69.042275704709894</v>
      </c>
      <c r="R3302">
        <v>118.327533836724</v>
      </c>
      <c r="S3302">
        <v>105.565112708117</v>
      </c>
      <c r="T3302">
        <v>77.910230164881497</v>
      </c>
      <c r="U3302">
        <v>49.248905155367297</v>
      </c>
      <c r="V3302">
        <v>61.059250782391103</v>
      </c>
      <c r="W3302">
        <v>64.403508545436907</v>
      </c>
    </row>
    <row r="3303" spans="1:23" x14ac:dyDescent="0.2">
      <c r="A3303" t="s">
        <v>6609</v>
      </c>
      <c r="B3303" s="3" t="str">
        <f>HYPERLINK("http://www.ncbi.nlm.nih.gov/gene/15559","Htr2b")</f>
        <v>Htr2b</v>
      </c>
      <c r="C3303">
        <v>15559</v>
      </c>
      <c r="D3303" t="s">
        <v>6610</v>
      </c>
      <c r="E3303" s="3" t="str">
        <f>HYPERLINK("http://genome.ucsc.edu/cgi-bin/hgTracks?db=mm10&amp;lastVirtModeType=default&amp;lastVirtModeExtraState=&amp;virtModeType=default&amp;virtMode=0&amp;nonVirtPosition=&amp;position=chr1:86099036-86111970","chr1:86099036-86111970")</f>
        <v>chr1:86099036-86111970</v>
      </c>
      <c r="F3303" t="s">
        <v>25</v>
      </c>
      <c r="G3303">
        <v>0.858229046734589</v>
      </c>
      <c r="H3303">
        <v>0.33261273429834398</v>
      </c>
      <c r="I3303">
        <v>2.58026514993495</v>
      </c>
      <c r="J3303">
        <v>9.8724481123406704E-3</v>
      </c>
      <c r="K3303">
        <v>3.99160485121842E-2</v>
      </c>
      <c r="L3303" t="s">
        <v>26</v>
      </c>
      <c r="M3303" t="s">
        <v>27</v>
      </c>
      <c r="N3303">
        <v>18.4845952280901</v>
      </c>
      <c r="O3303">
        <v>11.5414951465767</v>
      </c>
      <c r="P3303">
        <v>23.691920289225202</v>
      </c>
      <c r="Q3303">
        <v>11.1358509201145</v>
      </c>
      <c r="R3303">
        <v>7.9643532390102401</v>
      </c>
      <c r="S3303">
        <v>15.5242812806054</v>
      </c>
      <c r="T3303">
        <v>13.7488641467438</v>
      </c>
      <c r="U3303">
        <v>34.260107934168602</v>
      </c>
      <c r="V3303">
        <v>26.483530459832298</v>
      </c>
      <c r="W3303">
        <v>20.275178616156101</v>
      </c>
    </row>
    <row r="3304" spans="1:23" x14ac:dyDescent="0.2">
      <c r="A3304" t="s">
        <v>6611</v>
      </c>
      <c r="B3304" s="3" t="str">
        <f>HYPERLINK("http://www.ncbi.nlm.nih.gov/gene/11671","Aldh3a2")</f>
        <v>Aldh3a2</v>
      </c>
      <c r="C3304">
        <v>11671</v>
      </c>
      <c r="D3304" t="s">
        <v>6612</v>
      </c>
      <c r="E3304" s="3" t="str">
        <f>HYPERLINK("http://genome.ucsc.edu/cgi-bin/hgTracks?db=mm10&amp;lastVirtModeType=default&amp;lastVirtModeExtraState=&amp;virtModeType=default&amp;virtMode=0&amp;nonVirtPosition=&amp;position=chr11:61244751-61267528","chr11:61244751-61267528")</f>
        <v>chr11:61244751-61267528</v>
      </c>
      <c r="F3304" t="s">
        <v>25</v>
      </c>
      <c r="G3304">
        <v>-0.454523428175724</v>
      </c>
      <c r="H3304">
        <v>0.17633726242341599</v>
      </c>
      <c r="I3304">
        <v>-2.5775801548077499</v>
      </c>
      <c r="J3304">
        <v>9.9494803121229092E-3</v>
      </c>
      <c r="K3304">
        <v>4.0215360959745802E-2</v>
      </c>
      <c r="L3304" t="s">
        <v>26</v>
      </c>
      <c r="M3304" t="s">
        <v>27</v>
      </c>
      <c r="N3304">
        <v>262.10355026385901</v>
      </c>
      <c r="O3304">
        <v>309.44412878361101</v>
      </c>
      <c r="P3304">
        <v>226.59811637404499</v>
      </c>
      <c r="Q3304">
        <v>388.08440456598998</v>
      </c>
      <c r="R3304">
        <v>282.54491252679202</v>
      </c>
      <c r="S3304">
        <v>257.70306925804999</v>
      </c>
      <c r="T3304">
        <v>284.14319236603802</v>
      </c>
      <c r="U3304">
        <v>196.99562062146899</v>
      </c>
      <c r="V3304">
        <v>208.18997555923701</v>
      </c>
      <c r="W3304">
        <v>217.063676949436</v>
      </c>
    </row>
    <row r="3305" spans="1:23" x14ac:dyDescent="0.2">
      <c r="A3305" t="s">
        <v>6613</v>
      </c>
      <c r="B3305" s="3" t="str">
        <f>HYPERLINK("http://www.ncbi.nlm.nih.gov/gene/68915","Vars2")</f>
        <v>Vars2</v>
      </c>
      <c r="C3305">
        <v>68915</v>
      </c>
      <c r="D3305" t="s">
        <v>6614</v>
      </c>
      <c r="E3305" s="3" t="str">
        <f>HYPERLINK("http://genome.ucsc.edu/cgi-bin/hgTracks?db=mm10&amp;lastVirtModeType=default&amp;lastVirtModeExtraState=&amp;virtModeType=default&amp;virtMode=0&amp;nonVirtPosition=&amp;position=chr17:35655634-35667592","chr17:35655634-35667592")</f>
        <v>chr17:35655634-35667592</v>
      </c>
      <c r="F3305" t="s">
        <v>25</v>
      </c>
      <c r="G3305">
        <v>0.51420640641933701</v>
      </c>
      <c r="H3305">
        <v>0.19950389002755201</v>
      </c>
      <c r="I3305">
        <v>2.5774254644775301</v>
      </c>
      <c r="J3305">
        <v>9.9539346282179302E-3</v>
      </c>
      <c r="K3305">
        <v>4.0221224685113501E-2</v>
      </c>
      <c r="L3305" t="s">
        <v>26</v>
      </c>
      <c r="M3305" t="s">
        <v>27</v>
      </c>
      <c r="N3305">
        <v>153.72544217276999</v>
      </c>
      <c r="O3305">
        <v>121.451144446803</v>
      </c>
      <c r="P3305">
        <v>177.931165467244</v>
      </c>
      <c r="Q3305">
        <v>86.302844630887407</v>
      </c>
      <c r="R3305">
        <v>125.91263215959</v>
      </c>
      <c r="S3305">
        <v>152.13795654993299</v>
      </c>
      <c r="T3305">
        <v>160.40341504534399</v>
      </c>
      <c r="U3305">
        <v>209.84316109678201</v>
      </c>
      <c r="V3305">
        <v>162.579450878415</v>
      </c>
      <c r="W3305">
        <v>178.89863484843599</v>
      </c>
    </row>
    <row r="3306" spans="1:23" x14ac:dyDescent="0.2">
      <c r="A3306" t="s">
        <v>6615</v>
      </c>
      <c r="B3306" s="3" t="str">
        <f>HYPERLINK("http://www.ncbi.nlm.nih.gov/gene/117229","Stk33")</f>
        <v>Stk33</v>
      </c>
      <c r="C3306">
        <v>117229</v>
      </c>
      <c r="D3306" t="s">
        <v>6616</v>
      </c>
      <c r="E3306" s="3" t="str">
        <f>HYPERLINK("http://genome.ucsc.edu/cgi-bin/hgTracks?db=mm10&amp;lastVirtModeType=default&amp;lastVirtModeExtraState=&amp;virtModeType=default&amp;virtMode=0&amp;nonVirtPosition=&amp;position=chr7:109279215-109439053","chr7:109279215-109439053")</f>
        <v>chr7:109279215-109439053</v>
      </c>
      <c r="F3306" t="s">
        <v>25</v>
      </c>
      <c r="G3306">
        <v>-0.92534774353680505</v>
      </c>
      <c r="H3306">
        <v>0.35910089489055103</v>
      </c>
      <c r="I3306">
        <v>-2.5768461084421301</v>
      </c>
      <c r="J3306">
        <v>9.9706330047031992E-3</v>
      </c>
      <c r="K3306">
        <v>4.0276544967113297E-2</v>
      </c>
      <c r="L3306" t="s">
        <v>26</v>
      </c>
      <c r="M3306" t="s">
        <v>27</v>
      </c>
      <c r="N3306">
        <v>19.698498749181098</v>
      </c>
      <c r="O3306">
        <v>30.868338118215199</v>
      </c>
      <c r="P3306">
        <v>11.3211192224054</v>
      </c>
      <c r="Q3306">
        <v>19.487739110200401</v>
      </c>
      <c r="R3306">
        <v>32.236667872184299</v>
      </c>
      <c r="S3306">
        <v>40.880607372260997</v>
      </c>
      <c r="T3306">
        <v>0</v>
      </c>
      <c r="U3306">
        <v>14.9887972211987</v>
      </c>
      <c r="V3306">
        <v>8.8278434866107602</v>
      </c>
      <c r="W3306">
        <v>21.467836181812299</v>
      </c>
    </row>
    <row r="3307" spans="1:23" x14ac:dyDescent="0.2">
      <c r="A3307" t="s">
        <v>6617</v>
      </c>
      <c r="B3307" s="3" t="str">
        <f>HYPERLINK("http://www.ncbi.nlm.nih.gov/gene/12387","Ctnnb1")</f>
        <v>Ctnnb1</v>
      </c>
      <c r="C3307">
        <v>12387</v>
      </c>
      <c r="D3307" t="s">
        <v>6618</v>
      </c>
      <c r="E3307" s="3" t="str">
        <f>HYPERLINK("http://genome.ucsc.edu/cgi-bin/hgTracks?db=mm10&amp;lastVirtModeType=default&amp;lastVirtModeExtraState=&amp;virtModeType=default&amp;virtMode=0&amp;nonVirtPosition=&amp;position=chr9:120933399-120960507","chr9:120933399-120960507")</f>
        <v>chr9:120933399-120960507</v>
      </c>
      <c r="F3307" t="s">
        <v>30</v>
      </c>
      <c r="G3307">
        <v>-0.40440281520804</v>
      </c>
      <c r="H3307">
        <v>0.15701188525538101</v>
      </c>
      <c r="I3307">
        <v>-2.57561912940715</v>
      </c>
      <c r="J3307">
        <v>1.0006079773679699E-2</v>
      </c>
      <c r="K3307">
        <v>4.0407543501008801E-2</v>
      </c>
      <c r="L3307" t="s">
        <v>26</v>
      </c>
      <c r="M3307" t="s">
        <v>27</v>
      </c>
      <c r="N3307">
        <v>3883.6364117798298</v>
      </c>
      <c r="O3307">
        <v>4539.9720490262098</v>
      </c>
      <c r="P3307">
        <v>3391.3846838450499</v>
      </c>
      <c r="Q3307">
        <v>5673.7160437983403</v>
      </c>
      <c r="R3307">
        <v>4180.5269406480902</v>
      </c>
      <c r="S3307">
        <v>3765.6731626321898</v>
      </c>
      <c r="T3307">
        <v>3533.45808571315</v>
      </c>
      <c r="U3307">
        <v>3393.8919422285699</v>
      </c>
      <c r="V3307">
        <v>3528.9304337726498</v>
      </c>
      <c r="W3307">
        <v>3109.2582736658201</v>
      </c>
    </row>
    <row r="3308" spans="1:23" x14ac:dyDescent="0.2">
      <c r="A3308" t="s">
        <v>6619</v>
      </c>
      <c r="B3308" s="3" t="str">
        <f>HYPERLINK("http://www.ncbi.nlm.nih.gov/gene/320808","Dcaf5")</f>
        <v>Dcaf5</v>
      </c>
      <c r="C3308">
        <v>320808</v>
      </c>
      <c r="D3308" t="s">
        <v>6620</v>
      </c>
      <c r="E3308" s="3" t="str">
        <f>HYPERLINK("http://genome.ucsc.edu/cgi-bin/hgTracks?db=mm10&amp;lastVirtModeType=default&amp;lastVirtModeExtraState=&amp;virtModeType=default&amp;virtMode=0&amp;nonVirtPosition=&amp;position=chr12:80335846-80436601","chr12:80335846-80436601")</f>
        <v>chr12:80335846-80436601</v>
      </c>
      <c r="F3308" t="s">
        <v>25</v>
      </c>
      <c r="G3308">
        <v>-0.33874343423377301</v>
      </c>
      <c r="H3308">
        <v>0.131588603384548</v>
      </c>
      <c r="I3308">
        <v>-2.5742611861594602</v>
      </c>
      <c r="J3308">
        <v>1.00454408409735E-2</v>
      </c>
      <c r="K3308">
        <v>4.0554265390858199E-2</v>
      </c>
      <c r="L3308" t="s">
        <v>26</v>
      </c>
      <c r="M3308" t="s">
        <v>27</v>
      </c>
      <c r="N3308">
        <v>359.399104598299</v>
      </c>
      <c r="O3308">
        <v>407.99217166881601</v>
      </c>
      <c r="P3308">
        <v>322.95430429541199</v>
      </c>
      <c r="Q3308">
        <v>466.03536100679202</v>
      </c>
      <c r="R3308">
        <v>383.80597513706499</v>
      </c>
      <c r="S3308">
        <v>374.13517886259098</v>
      </c>
      <c r="T3308">
        <v>334.55569423743202</v>
      </c>
      <c r="U3308">
        <v>338.31856584991499</v>
      </c>
      <c r="V3308">
        <v>295.73275680146099</v>
      </c>
      <c r="W3308">
        <v>323.21020029284102</v>
      </c>
    </row>
    <row r="3309" spans="1:23" x14ac:dyDescent="0.2">
      <c r="A3309" t="s">
        <v>6621</v>
      </c>
      <c r="B3309" s="3" t="str">
        <f>HYPERLINK("http://www.ncbi.nlm.nih.gov/gene/67268","Myl12a")</f>
        <v>Myl12a</v>
      </c>
      <c r="C3309">
        <v>67268</v>
      </c>
      <c r="D3309" t="s">
        <v>6622</v>
      </c>
      <c r="E3309" s="3" t="str">
        <f>HYPERLINK("http://genome.ucsc.edu/cgi-bin/hgTracks?db=mm10&amp;lastVirtModeType=default&amp;lastVirtModeExtraState=&amp;virtModeType=default&amp;virtMode=0&amp;nonVirtPosition=&amp;position=chr17:70993792-71002533","chr17:70993792-71002533")</f>
        <v>chr17:70993792-71002533</v>
      </c>
      <c r="F3309" t="s">
        <v>25</v>
      </c>
      <c r="G3309">
        <v>-0.41278596974391302</v>
      </c>
      <c r="H3309">
        <v>0.160364452822405</v>
      </c>
      <c r="I3309">
        <v>-2.5740490643587401</v>
      </c>
      <c r="J3309">
        <v>1.0051601797186199E-2</v>
      </c>
      <c r="K3309">
        <v>4.0566907675141602E-2</v>
      </c>
      <c r="L3309" t="s">
        <v>26</v>
      </c>
      <c r="M3309" t="s">
        <v>27</v>
      </c>
      <c r="N3309">
        <v>213.19836317247299</v>
      </c>
      <c r="O3309">
        <v>254.83008950982699</v>
      </c>
      <c r="P3309">
        <v>181.974568419458</v>
      </c>
      <c r="Q3309">
        <v>237.75041714444501</v>
      </c>
      <c r="R3309">
        <v>257.134833145188</v>
      </c>
      <c r="S3309">
        <v>269.60501823984799</v>
      </c>
      <c r="T3309">
        <v>142.07159618301901</v>
      </c>
      <c r="U3309">
        <v>162.735512687301</v>
      </c>
      <c r="V3309">
        <v>225.110008908574</v>
      </c>
      <c r="W3309">
        <v>197.98115589893601</v>
      </c>
    </row>
    <row r="3310" spans="1:23" x14ac:dyDescent="0.2">
      <c r="A3310" t="s">
        <v>6623</v>
      </c>
      <c r="B3310" s="3" t="str">
        <f>HYPERLINK("http://www.ncbi.nlm.nih.gov/gene/66713","Actr2")</f>
        <v>Actr2</v>
      </c>
      <c r="C3310">
        <v>66713</v>
      </c>
      <c r="D3310" t="s">
        <v>6624</v>
      </c>
      <c r="E3310" s="3" t="str">
        <f>HYPERLINK("http://genome.ucsc.edu/cgi-bin/hgTracks?db=mm10&amp;lastVirtModeType=default&amp;lastVirtModeExtraState=&amp;virtModeType=default&amp;virtMode=0&amp;nonVirtPosition=&amp;position=chr11:20062303-20112951","chr11:20062303-20112951")</f>
        <v>chr11:20062303-20112951</v>
      </c>
      <c r="F3310" t="s">
        <v>25</v>
      </c>
      <c r="G3310">
        <v>-0.30132158159285399</v>
      </c>
      <c r="H3310">
        <v>0.11713798577340501</v>
      </c>
      <c r="I3310">
        <v>-2.5723643752568801</v>
      </c>
      <c r="J3310">
        <v>1.01006522401669E-2</v>
      </c>
      <c r="K3310">
        <v>4.0741558042328402E-2</v>
      </c>
      <c r="L3310" t="s">
        <v>26</v>
      </c>
      <c r="M3310" t="s">
        <v>27</v>
      </c>
      <c r="N3310">
        <v>941.021553888374</v>
      </c>
      <c r="O3310">
        <v>1060.2173680781</v>
      </c>
      <c r="P3310">
        <v>851.62469324608196</v>
      </c>
      <c r="Q3310">
        <v>1011.1352635464</v>
      </c>
      <c r="R3310">
        <v>1008.8180769413</v>
      </c>
      <c r="S3310">
        <v>1160.6987637466</v>
      </c>
      <c r="T3310">
        <v>829.51480352020894</v>
      </c>
      <c r="U3310">
        <v>764.42865828113599</v>
      </c>
      <c r="V3310">
        <v>943.10794581958305</v>
      </c>
      <c r="W3310">
        <v>869.44736536339894</v>
      </c>
    </row>
    <row r="3311" spans="1:23" x14ac:dyDescent="0.2">
      <c r="A3311" t="s">
        <v>6625</v>
      </c>
      <c r="B3311" s="3" t="str">
        <f>HYPERLINK("http://www.ncbi.nlm.nih.gov/gene/18968","Pola1")</f>
        <v>Pola1</v>
      </c>
      <c r="C3311">
        <v>18968</v>
      </c>
      <c r="D3311" t="s">
        <v>6626</v>
      </c>
      <c r="E3311" s="3" t="str">
        <f>HYPERLINK("http://genome.ucsc.edu/cgi-bin/hgTracks?db=mm10&amp;lastVirtModeType=default&amp;lastVirtModeExtraState=&amp;virtModeType=default&amp;virtMode=0&amp;nonVirtPosition=&amp;position=chrX:93304765-93632155","chrX:93304765-93632155")</f>
        <v>chrX:93304765-93632155</v>
      </c>
      <c r="F3311" t="s">
        <v>25</v>
      </c>
      <c r="G3311">
        <v>0.45411429795455999</v>
      </c>
      <c r="H3311">
        <v>0.17653648609942199</v>
      </c>
      <c r="I3311">
        <v>2.5723537835618302</v>
      </c>
      <c r="J3311">
        <v>1.01009612949392E-2</v>
      </c>
      <c r="K3311">
        <v>4.0741558042328402E-2</v>
      </c>
      <c r="L3311" t="s">
        <v>26</v>
      </c>
      <c r="M3311" t="s">
        <v>27</v>
      </c>
      <c r="N3311">
        <v>353.003852775442</v>
      </c>
      <c r="O3311">
        <v>284.90582521617603</v>
      </c>
      <c r="P3311">
        <v>404.07737344489101</v>
      </c>
      <c r="Q3311">
        <v>233.85286932240501</v>
      </c>
      <c r="R3311">
        <v>292.78479526266199</v>
      </c>
      <c r="S3311">
        <v>328.07981106346102</v>
      </c>
      <c r="T3311">
        <v>540.78865643858899</v>
      </c>
      <c r="U3311">
        <v>312.62348489928797</v>
      </c>
      <c r="V3311">
        <v>378.86161630037901</v>
      </c>
      <c r="W3311">
        <v>384.03573614130897</v>
      </c>
    </row>
    <row r="3312" spans="1:23" x14ac:dyDescent="0.2">
      <c r="A3312" t="s">
        <v>6627</v>
      </c>
      <c r="B3312" s="3" t="str">
        <f>HYPERLINK("http://www.ncbi.nlm.nih.gov/gene/330836","Slc7a6")</f>
        <v>Slc7a6</v>
      </c>
      <c r="C3312">
        <v>330836</v>
      </c>
      <c r="D3312" t="s">
        <v>6628</v>
      </c>
      <c r="E3312" s="3" t="str">
        <f>HYPERLINK("http://genome.ucsc.edu/cgi-bin/hgTracks?db=mm10&amp;lastVirtModeType=default&amp;lastVirtModeExtraState=&amp;virtModeType=default&amp;virtMode=0&amp;nonVirtPosition=&amp;position=chr8:106168874-106198704","chr8:106168874-106198704")</f>
        <v>chr8:106168874-106198704</v>
      </c>
      <c r="F3312" t="s">
        <v>30</v>
      </c>
      <c r="G3312">
        <v>0.486403171900116</v>
      </c>
      <c r="H3312">
        <v>0.18909765793442301</v>
      </c>
      <c r="I3312">
        <v>2.57223266122522</v>
      </c>
      <c r="J3312">
        <v>1.01044961189771E-2</v>
      </c>
      <c r="K3312">
        <v>4.0743543369232998E-2</v>
      </c>
      <c r="L3312" t="s">
        <v>26</v>
      </c>
      <c r="M3312" t="s">
        <v>27</v>
      </c>
      <c r="N3312">
        <v>236.64270628578001</v>
      </c>
      <c r="O3312">
        <v>189.319791207252</v>
      </c>
      <c r="P3312">
        <v>272.13489259467599</v>
      </c>
      <c r="Q3312">
        <v>143.652476869477</v>
      </c>
      <c r="R3312">
        <v>211.62424320798601</v>
      </c>
      <c r="S3312">
        <v>212.682653544294</v>
      </c>
      <c r="T3312">
        <v>252.062509356969</v>
      </c>
      <c r="U3312">
        <v>353.307363071113</v>
      </c>
      <c r="V3312">
        <v>258.950075607249</v>
      </c>
      <c r="W3312">
        <v>224.219622343373</v>
      </c>
    </row>
    <row r="3313" spans="1:23" x14ac:dyDescent="0.2">
      <c r="A3313" t="s">
        <v>6629</v>
      </c>
      <c r="B3313" s="3" t="str">
        <f>HYPERLINK("http://www.ncbi.nlm.nih.gov/gene/76781","Mettl4")</f>
        <v>Mettl4</v>
      </c>
      <c r="C3313">
        <v>76781</v>
      </c>
      <c r="D3313" t="s">
        <v>6630</v>
      </c>
      <c r="E3313" s="3" t="str">
        <f>HYPERLINK("http://genome.ucsc.edu/cgi-bin/hgTracks?db=mm10&amp;lastVirtModeType=default&amp;lastVirtModeExtraState=&amp;virtModeType=default&amp;virtMode=0&amp;nonVirtPosition=&amp;position=chr17:94727079-94749892","chr17:94727079-94749892")</f>
        <v>chr17:94727079-94749892</v>
      </c>
      <c r="F3313" t="s">
        <v>25</v>
      </c>
      <c r="G3313">
        <v>-0.440270287108673</v>
      </c>
      <c r="H3313">
        <v>0.17118321812514001</v>
      </c>
      <c r="I3313">
        <v>-2.5719243505915599</v>
      </c>
      <c r="J3313">
        <v>1.0113498801354899E-2</v>
      </c>
      <c r="K3313">
        <v>4.0767568467472301E-2</v>
      </c>
      <c r="L3313" t="s">
        <v>26</v>
      </c>
      <c r="M3313" t="s">
        <v>27</v>
      </c>
      <c r="N3313">
        <v>113.801255852662</v>
      </c>
      <c r="O3313">
        <v>134.33290258768099</v>
      </c>
      <c r="P3313">
        <v>98.402520801397401</v>
      </c>
      <c r="Q3313">
        <v>142.53889177746601</v>
      </c>
      <c r="R3313">
        <v>120.22380841744</v>
      </c>
      <c r="S3313">
        <v>140.23600756813599</v>
      </c>
      <c r="T3313">
        <v>114.573867889532</v>
      </c>
      <c r="U3313">
        <v>81.367756343650299</v>
      </c>
      <c r="V3313">
        <v>102.255853719908</v>
      </c>
      <c r="W3313">
        <v>95.412605252499205</v>
      </c>
    </row>
    <row r="3314" spans="1:23" x14ac:dyDescent="0.2">
      <c r="A3314" t="s">
        <v>6631</v>
      </c>
      <c r="B3314" s="3" t="str">
        <f>HYPERLINK("http://www.ncbi.nlm.nih.gov/gene/18993","Pou3f3")</f>
        <v>Pou3f3</v>
      </c>
      <c r="C3314">
        <v>18993</v>
      </c>
      <c r="D3314" t="s">
        <v>6632</v>
      </c>
      <c r="E3314" s="3" t="str">
        <f>HYPERLINK("http://genome.ucsc.edu/cgi-bin/hgTracks?db=mm10&amp;lastVirtModeType=default&amp;lastVirtModeExtraState=&amp;virtModeType=default&amp;virtMode=0&amp;nonVirtPosition=&amp;position=chr1:42697145-42700209","chr1:42697145-42700209")</f>
        <v>chr1:42697145-42700209</v>
      </c>
      <c r="F3314" t="s">
        <v>30</v>
      </c>
      <c r="G3314">
        <v>-0.40646909765980099</v>
      </c>
      <c r="H3314">
        <v>0.15807090863599199</v>
      </c>
      <c r="I3314">
        <v>-2.5714351942888198</v>
      </c>
      <c r="J3314">
        <v>1.0127796839757799E-2</v>
      </c>
      <c r="K3314">
        <v>4.07926121992533E-2</v>
      </c>
      <c r="L3314" t="s">
        <v>26</v>
      </c>
      <c r="M3314" t="s">
        <v>27</v>
      </c>
      <c r="N3314">
        <v>873.02668969642195</v>
      </c>
      <c r="O3314">
        <v>1019.74350118886</v>
      </c>
      <c r="P3314">
        <v>762.98908107709099</v>
      </c>
      <c r="Q3314">
        <v>800.66768115623302</v>
      </c>
      <c r="R3314">
        <v>1056.9834512914999</v>
      </c>
      <c r="S3314">
        <v>1201.5793711188601</v>
      </c>
      <c r="T3314">
        <v>774.51934693323403</v>
      </c>
      <c r="U3314">
        <v>884.33903605072601</v>
      </c>
      <c r="V3314">
        <v>702.54921080943996</v>
      </c>
      <c r="W3314">
        <v>690.54873051496304</v>
      </c>
    </row>
    <row r="3315" spans="1:23" x14ac:dyDescent="0.2">
      <c r="A3315" t="s">
        <v>6633</v>
      </c>
      <c r="B3315" s="3" t="str">
        <f>HYPERLINK("http://www.ncbi.nlm.nih.gov/gene/240119","St6gal2")</f>
        <v>St6gal2</v>
      </c>
      <c r="C3315">
        <v>240119</v>
      </c>
      <c r="D3315" t="s">
        <v>6634</v>
      </c>
      <c r="E3315" s="3" t="str">
        <f>HYPERLINK("http://genome.ucsc.edu/cgi-bin/hgTracks?db=mm10&amp;lastVirtModeType=default&amp;lastVirtModeExtraState=&amp;virtModeType=default&amp;virtMode=0&amp;nonVirtPosition=&amp;position=chr17:55445716-55499226","chr17:55445716-55499226")</f>
        <v>chr17:55445716-55499226</v>
      </c>
      <c r="F3315" t="s">
        <v>30</v>
      </c>
      <c r="G3315">
        <v>-0.64323931037975401</v>
      </c>
      <c r="H3315">
        <v>0.25015107715526702</v>
      </c>
      <c r="I3315">
        <v>-2.5714033203242899</v>
      </c>
      <c r="J3315">
        <v>1.01287291400321E-2</v>
      </c>
      <c r="K3315">
        <v>4.07926121992533E-2</v>
      </c>
      <c r="L3315" t="s">
        <v>26</v>
      </c>
      <c r="M3315" t="s">
        <v>27</v>
      </c>
      <c r="N3315">
        <v>356.45804019376101</v>
      </c>
      <c r="O3315">
        <v>460.107811454726</v>
      </c>
      <c r="P3315">
        <v>278.72071174803801</v>
      </c>
      <c r="Q3315">
        <v>733.29578308954001</v>
      </c>
      <c r="R3315">
        <v>385.702249717781</v>
      </c>
      <c r="S3315">
        <v>261.32540155685803</v>
      </c>
      <c r="T3315">
        <v>265.81137350371301</v>
      </c>
      <c r="U3315">
        <v>310.48222815340301</v>
      </c>
      <c r="V3315">
        <v>261.89269010278599</v>
      </c>
      <c r="W3315">
        <v>276.69655523224799</v>
      </c>
    </row>
    <row r="3316" spans="1:23" x14ac:dyDescent="0.2">
      <c r="A3316" t="s">
        <v>6635</v>
      </c>
      <c r="B3316" s="3" t="str">
        <f>HYPERLINK("http://www.ncbi.nlm.nih.gov/gene/227720","Nup214")</f>
        <v>Nup214</v>
      </c>
      <c r="C3316">
        <v>227720</v>
      </c>
      <c r="D3316" t="s">
        <v>6636</v>
      </c>
      <c r="E3316" s="3" t="str">
        <f>HYPERLINK("http://genome.ucsc.edu/cgi-bin/hgTracks?db=mm10&amp;lastVirtModeType=default&amp;lastVirtModeExtraState=&amp;virtModeType=default&amp;virtMode=0&amp;nonVirtPosition=&amp;position=chr2:31974449-32053975","chr2:31974449-32053975")</f>
        <v>chr2:31974449-32053975</v>
      </c>
      <c r="F3316" t="s">
        <v>30</v>
      </c>
      <c r="G3316">
        <v>0.37118058423143402</v>
      </c>
      <c r="H3316">
        <v>0.144349655165742</v>
      </c>
      <c r="I3316">
        <v>2.57139917518503</v>
      </c>
      <c r="J3316">
        <v>1.0128850389255199E-2</v>
      </c>
      <c r="K3316">
        <v>4.07926121992533E-2</v>
      </c>
      <c r="L3316" t="s">
        <v>26</v>
      </c>
      <c r="M3316" t="s">
        <v>27</v>
      </c>
      <c r="N3316">
        <v>320.93934047179198</v>
      </c>
      <c r="O3316">
        <v>272.98804486217398</v>
      </c>
      <c r="P3316">
        <v>356.90281217900502</v>
      </c>
      <c r="Q3316">
        <v>263.91966680671402</v>
      </c>
      <c r="R3316">
        <v>230.58698901515399</v>
      </c>
      <c r="S3316">
        <v>324.45747876465401</v>
      </c>
      <c r="T3316">
        <v>366.63637724650101</v>
      </c>
      <c r="U3316">
        <v>353.307363071113</v>
      </c>
      <c r="V3316">
        <v>339.13632061062998</v>
      </c>
      <c r="W3316">
        <v>368.53118778777798</v>
      </c>
    </row>
    <row r="3317" spans="1:23" x14ac:dyDescent="0.2">
      <c r="A3317" t="s">
        <v>6637</v>
      </c>
      <c r="B3317" s="3" t="str">
        <f>HYPERLINK("http://www.ncbi.nlm.nih.gov/gene/108017","Fxyd4")</f>
        <v>Fxyd4</v>
      </c>
      <c r="C3317">
        <v>108017</v>
      </c>
      <c r="D3317" t="s">
        <v>6638</v>
      </c>
      <c r="E3317" s="3" t="str">
        <f>HYPERLINK("http://genome.ucsc.edu/cgi-bin/hgTracks?db=mm10&amp;lastVirtModeType=default&amp;lastVirtModeExtraState=&amp;virtModeType=default&amp;virtMode=0&amp;nonVirtPosition=&amp;position=chr6:117933558-117937335","chr6:117933558-117937335")</f>
        <v>chr6:117933558-117937335</v>
      </c>
      <c r="F3317" t="s">
        <v>25</v>
      </c>
      <c r="G3317">
        <v>0.98440194129623704</v>
      </c>
      <c r="H3317">
        <v>0.38298232209039401</v>
      </c>
      <c r="I3317">
        <v>2.5703586941641898</v>
      </c>
      <c r="J3317">
        <v>1.01593263456333E-2</v>
      </c>
      <c r="K3317">
        <v>4.0903048434869499E-2</v>
      </c>
      <c r="L3317" t="s">
        <v>26</v>
      </c>
      <c r="M3317" t="s">
        <v>27</v>
      </c>
      <c r="N3317">
        <v>11.276120227564601</v>
      </c>
      <c r="O3317">
        <v>4.85183555498201</v>
      </c>
      <c r="P3317">
        <v>16.094333732001601</v>
      </c>
      <c r="Q3317">
        <v>3.8975478220400701</v>
      </c>
      <c r="R3317">
        <v>3.4132942452900998</v>
      </c>
      <c r="S3317">
        <v>7.2446645976158699</v>
      </c>
      <c r="T3317">
        <v>32.0806830090688</v>
      </c>
      <c r="U3317">
        <v>10.7062837294277</v>
      </c>
      <c r="V3317">
        <v>13.241765229916099</v>
      </c>
      <c r="W3317">
        <v>8.3486029595936806</v>
      </c>
    </row>
    <row r="3318" spans="1:23" x14ac:dyDescent="0.2">
      <c r="A3318" t="s">
        <v>6639</v>
      </c>
      <c r="B3318" s="3" t="str">
        <f>HYPERLINK("http://www.ncbi.nlm.nih.gov/gene/67581","Tbc1d23")</f>
        <v>Tbc1d23</v>
      </c>
      <c r="C3318">
        <v>67581</v>
      </c>
      <c r="D3318" t="s">
        <v>6640</v>
      </c>
      <c r="E3318" s="3" t="str">
        <f>HYPERLINK("http://genome.ucsc.edu/cgi-bin/hgTracks?db=mm10&amp;lastVirtModeType=default&amp;lastVirtModeExtraState=&amp;virtModeType=default&amp;virtMode=0&amp;nonVirtPosition=&amp;position=chr16:57168863-57231466","chr16:57168863-57231466")</f>
        <v>chr16:57168863-57231466</v>
      </c>
      <c r="F3318" t="s">
        <v>25</v>
      </c>
      <c r="G3318">
        <v>-0.436392928863227</v>
      </c>
      <c r="H3318">
        <v>0.169790439923902</v>
      </c>
      <c r="I3318">
        <v>-2.5701855125577802</v>
      </c>
      <c r="J3318">
        <v>1.0164406796971E-2</v>
      </c>
      <c r="K3318">
        <v>4.0911202710621701E-2</v>
      </c>
      <c r="L3318" t="s">
        <v>26</v>
      </c>
      <c r="M3318" t="s">
        <v>27</v>
      </c>
      <c r="N3318">
        <v>401.16802206886598</v>
      </c>
      <c r="O3318">
        <v>473.708302242998</v>
      </c>
      <c r="P3318">
        <v>346.76281193826702</v>
      </c>
      <c r="Q3318">
        <v>610.24463042227501</v>
      </c>
      <c r="R3318">
        <v>410.35381926709903</v>
      </c>
      <c r="S3318">
        <v>400.52645703962003</v>
      </c>
      <c r="T3318">
        <v>389.55115082440699</v>
      </c>
      <c r="U3318">
        <v>319.04725513694501</v>
      </c>
      <c r="V3318">
        <v>361.20592932715698</v>
      </c>
      <c r="W3318">
        <v>317.24691246456001</v>
      </c>
    </row>
    <row r="3319" spans="1:23" x14ac:dyDescent="0.2">
      <c r="A3319" t="s">
        <v>6641</v>
      </c>
      <c r="B3319" s="3" t="str">
        <f>HYPERLINK("http://www.ncbi.nlm.nih.gov/gene/241175","Cntnap5b")</f>
        <v>Cntnap5b</v>
      </c>
      <c r="C3319">
        <v>241175</v>
      </c>
      <c r="D3319" t="s">
        <v>6642</v>
      </c>
      <c r="E3319" s="3" t="str">
        <f>HYPERLINK("http://genome.ucsc.edu/cgi-bin/hgTracks?db=mm10&amp;lastVirtModeType=default&amp;lastVirtModeExtraState=&amp;virtModeType=default&amp;virtMode=0&amp;nonVirtPosition=&amp;position=chr1:99772764-100485942","chr1:99772764-100485942")</f>
        <v>chr1:99772764-100485942</v>
      </c>
      <c r="F3319" t="s">
        <v>30</v>
      </c>
      <c r="G3319">
        <v>-0.94798072910833198</v>
      </c>
      <c r="H3319">
        <v>0.36885785120690201</v>
      </c>
      <c r="I3319">
        <v>-2.5700435167817099</v>
      </c>
      <c r="J3319">
        <v>1.0168574069091401E-2</v>
      </c>
      <c r="K3319">
        <v>4.0915677692068102E-2</v>
      </c>
      <c r="L3319" t="s">
        <v>26</v>
      </c>
      <c r="M3319" t="s">
        <v>27</v>
      </c>
      <c r="N3319">
        <v>164.60938026213901</v>
      </c>
      <c r="O3319">
        <v>253.462372337609</v>
      </c>
      <c r="P3319">
        <v>97.969636205536005</v>
      </c>
      <c r="Q3319">
        <v>459.35385045472299</v>
      </c>
      <c r="R3319">
        <v>172.18173192907801</v>
      </c>
      <c r="S3319">
        <v>128.851534629025</v>
      </c>
      <c r="T3319">
        <v>91.659094311625296</v>
      </c>
      <c r="U3319">
        <v>70.661472614222703</v>
      </c>
      <c r="V3319">
        <v>125.796769684203</v>
      </c>
      <c r="W3319">
        <v>103.761208212093</v>
      </c>
    </row>
    <row r="3320" spans="1:23" x14ac:dyDescent="0.2">
      <c r="A3320" t="s">
        <v>6643</v>
      </c>
      <c r="B3320" s="3" t="str">
        <f>HYPERLINK("http://www.ncbi.nlm.nih.gov/gene/231642","Alkbh2")</f>
        <v>Alkbh2</v>
      </c>
      <c r="C3320">
        <v>231642</v>
      </c>
      <c r="D3320" t="s">
        <v>6644</v>
      </c>
      <c r="E3320" s="3" t="str">
        <f>HYPERLINK("http://genome.ucsc.edu/cgi-bin/hgTracks?db=mm10&amp;lastVirtModeType=default&amp;lastVirtModeExtraState=&amp;virtModeType=default&amp;virtMode=0&amp;nonVirtPosition=&amp;position=chr5:114123933-114128176","chr5:114123933-114128176")</f>
        <v>chr5:114123933-114128176</v>
      </c>
      <c r="F3320" t="s">
        <v>25</v>
      </c>
      <c r="G3320">
        <v>0.95907745808199196</v>
      </c>
      <c r="H3320">
        <v>0.37322495206741402</v>
      </c>
      <c r="I3320">
        <v>2.5697034798165399</v>
      </c>
      <c r="J3320">
        <v>1.01785596097106E-2</v>
      </c>
      <c r="K3320">
        <v>4.0943554140472897E-2</v>
      </c>
      <c r="L3320" t="s">
        <v>26</v>
      </c>
      <c r="M3320" t="s">
        <v>27</v>
      </c>
      <c r="N3320">
        <v>10.620096056834599</v>
      </c>
      <c r="O3320">
        <v>5.4247478719334596</v>
      </c>
      <c r="P3320">
        <v>14.516607195510501</v>
      </c>
      <c r="Q3320">
        <v>3.3407552760343502</v>
      </c>
      <c r="R3320">
        <v>5.6888237421501699</v>
      </c>
      <c r="S3320">
        <v>7.2446645976158699</v>
      </c>
      <c r="T3320">
        <v>9.1659094311625307</v>
      </c>
      <c r="U3320">
        <v>23.553824204740899</v>
      </c>
      <c r="V3320">
        <v>11.0348043582635</v>
      </c>
      <c r="W3320">
        <v>14.3118907878749</v>
      </c>
    </row>
    <row r="3321" spans="1:23" x14ac:dyDescent="0.2">
      <c r="A3321" t="s">
        <v>6645</v>
      </c>
      <c r="B3321" s="3" t="str">
        <f>HYPERLINK("http://www.ncbi.nlm.nih.gov/gene/72065","Rap2c")</f>
        <v>Rap2c</v>
      </c>
      <c r="C3321">
        <v>72065</v>
      </c>
      <c r="D3321" t="s">
        <v>6646</v>
      </c>
      <c r="E3321" s="3" t="str">
        <f>HYPERLINK("http://genome.ucsc.edu/cgi-bin/hgTracks?db=mm10&amp;lastVirtModeType=default&amp;lastVirtModeExtraState=&amp;virtModeType=default&amp;virtMode=0&amp;nonVirtPosition=&amp;position=chrX:51003913-51018018","chrX:51003913-51018018")</f>
        <v>chrX:51003913-51018018</v>
      </c>
      <c r="F3321" t="s">
        <v>25</v>
      </c>
      <c r="G3321">
        <v>-0.34645825199499403</v>
      </c>
      <c r="H3321">
        <v>0.13492663046297801</v>
      </c>
      <c r="I3321">
        <v>-2.5677529395507799</v>
      </c>
      <c r="J3321">
        <v>1.0236008110025299E-2</v>
      </c>
      <c r="K3321">
        <v>4.1162277658062699E-2</v>
      </c>
      <c r="L3321" t="s">
        <v>26</v>
      </c>
      <c r="M3321" t="s">
        <v>27</v>
      </c>
      <c r="N3321">
        <v>261.202908059592</v>
      </c>
      <c r="O3321">
        <v>297.51236508224201</v>
      </c>
      <c r="P3321">
        <v>233.97081529260399</v>
      </c>
      <c r="Q3321">
        <v>295.65684192904001</v>
      </c>
      <c r="R3321">
        <v>306.05871732767901</v>
      </c>
      <c r="S3321">
        <v>290.82153599000799</v>
      </c>
      <c r="T3321">
        <v>229.147735779063</v>
      </c>
      <c r="U3321">
        <v>274.08086347334898</v>
      </c>
      <c r="V3321">
        <v>234.67350601906901</v>
      </c>
      <c r="W3321">
        <v>197.98115589893601</v>
      </c>
    </row>
    <row r="3322" spans="1:23" x14ac:dyDescent="0.2">
      <c r="A3322" t="s">
        <v>6647</v>
      </c>
      <c r="B3322" s="3" t="str">
        <f>HYPERLINK("http://www.ncbi.nlm.nih.gov/gene/67768","N6amt1")</f>
        <v>N6amt1</v>
      </c>
      <c r="C3322">
        <v>67768</v>
      </c>
      <c r="D3322" t="s">
        <v>6648</v>
      </c>
      <c r="E3322" s="3" t="str">
        <f>HYPERLINK("http://genome.ucsc.edu/cgi-bin/hgTracks?db=mm10&amp;lastVirtModeType=default&amp;lastVirtModeExtraState=&amp;virtModeType=default&amp;virtMode=0&amp;nonVirtPosition=&amp;position=chr16:87354184-87368649","chr16:87354184-87368649")</f>
        <v>chr16:87354184-87368649</v>
      </c>
      <c r="F3322" t="s">
        <v>30</v>
      </c>
      <c r="G3322">
        <v>0.68924511088145801</v>
      </c>
      <c r="H3322">
        <v>0.26853910727512698</v>
      </c>
      <c r="I3322">
        <v>2.5666470626019602</v>
      </c>
      <c r="J3322">
        <v>1.0268707124122201E-2</v>
      </c>
      <c r="K3322">
        <v>4.1277672408519601E-2</v>
      </c>
      <c r="L3322" t="s">
        <v>26</v>
      </c>
      <c r="M3322" t="s">
        <v>27</v>
      </c>
      <c r="N3322">
        <v>52.870172597668002</v>
      </c>
      <c r="O3322">
        <v>35.784563602927001</v>
      </c>
      <c r="P3322">
        <v>65.684379343723705</v>
      </c>
      <c r="Q3322">
        <v>26.169249662269099</v>
      </c>
      <c r="R3322">
        <v>41.338785859624601</v>
      </c>
      <c r="S3322">
        <v>39.8456552868873</v>
      </c>
      <c r="T3322">
        <v>91.659094311625296</v>
      </c>
      <c r="U3322">
        <v>70.661472614222703</v>
      </c>
      <c r="V3322">
        <v>61.059250782391103</v>
      </c>
      <c r="W3322">
        <v>39.357699666655897</v>
      </c>
    </row>
    <row r="3323" spans="1:23" x14ac:dyDescent="0.2">
      <c r="A3323" t="s">
        <v>6649</v>
      </c>
      <c r="B3323" s="3" t="str">
        <f>HYPERLINK("http://www.ncbi.nlm.nih.gov/gene/27062","Cadps")</f>
        <v>Cadps</v>
      </c>
      <c r="C3323">
        <v>27062</v>
      </c>
      <c r="D3323" t="s">
        <v>6650</v>
      </c>
      <c r="E3323" s="3" t="str">
        <f>HYPERLINK("http://genome.ucsc.edu/cgi-bin/hgTracks?db=mm10&amp;lastVirtModeType=default&amp;lastVirtModeExtraState=&amp;virtModeType=default&amp;virtMode=0&amp;nonVirtPosition=&amp;position=chr14:12372562-12823079","chr14:12372562-12823079")</f>
        <v>chr14:12372562-12823079</v>
      </c>
      <c r="F3323" t="s">
        <v>25</v>
      </c>
      <c r="G3323">
        <v>-0.44858480466617001</v>
      </c>
      <c r="H3323">
        <v>0.17477960634778</v>
      </c>
      <c r="I3323">
        <v>-2.5665740645597199</v>
      </c>
      <c r="J3323">
        <v>1.0270868827211401E-2</v>
      </c>
      <c r="K3323">
        <v>4.1277672408519601E-2</v>
      </c>
      <c r="L3323" t="s">
        <v>26</v>
      </c>
      <c r="M3323" t="s">
        <v>27</v>
      </c>
      <c r="N3323">
        <v>458.40621105082499</v>
      </c>
      <c r="O3323">
        <v>548.51305506887297</v>
      </c>
      <c r="P3323">
        <v>390.82607803728803</v>
      </c>
      <c r="Q3323">
        <v>623.05085898040602</v>
      </c>
      <c r="R3323">
        <v>533.99092192982903</v>
      </c>
      <c r="S3323">
        <v>488.49738429638398</v>
      </c>
      <c r="T3323">
        <v>320.80683009068798</v>
      </c>
      <c r="U3323">
        <v>361.872390054655</v>
      </c>
      <c r="V3323">
        <v>348.69981772112499</v>
      </c>
      <c r="W3323">
        <v>531.92527428268295</v>
      </c>
    </row>
    <row r="3324" spans="1:23" x14ac:dyDescent="0.2">
      <c r="A3324" t="s">
        <v>6651</v>
      </c>
      <c r="B3324" s="3" t="str">
        <f>HYPERLINK("http://www.ncbi.nlm.nih.gov/gene/211389","Suox")</f>
        <v>Suox</v>
      </c>
      <c r="C3324">
        <v>211389</v>
      </c>
      <c r="D3324" t="s">
        <v>6652</v>
      </c>
      <c r="E3324" s="3" t="str">
        <f>HYPERLINK("http://genome.ucsc.edu/cgi-bin/hgTracks?db=mm10&amp;lastVirtModeType=default&amp;lastVirtModeExtraState=&amp;virtModeType=default&amp;virtMode=0&amp;nonVirtPosition=&amp;position=chr10:128669886-128673918","chr10:128669886-128673918")</f>
        <v>chr10:128669886-128673918</v>
      </c>
      <c r="F3324" t="s">
        <v>25</v>
      </c>
      <c r="G3324">
        <v>-0.68188104744716105</v>
      </c>
      <c r="H3324">
        <v>0.26575367083440299</v>
      </c>
      <c r="I3324">
        <v>-2.5658386779991398</v>
      </c>
      <c r="J3324">
        <v>1.0292668555304901E-2</v>
      </c>
      <c r="K3324">
        <v>4.13528726744938E-2</v>
      </c>
      <c r="L3324" t="s">
        <v>26</v>
      </c>
      <c r="M3324" t="s">
        <v>27</v>
      </c>
      <c r="N3324">
        <v>55.074672896196198</v>
      </c>
      <c r="O3324">
        <v>74.958537894273903</v>
      </c>
      <c r="P3324">
        <v>40.1617741476378</v>
      </c>
      <c r="Q3324">
        <v>94.097940274967499</v>
      </c>
      <c r="R3324">
        <v>67.128120157371995</v>
      </c>
      <c r="S3324">
        <v>63.649553250482299</v>
      </c>
      <c r="T3324">
        <v>22.914773577906299</v>
      </c>
      <c r="U3324">
        <v>36.401364680054101</v>
      </c>
      <c r="V3324">
        <v>59.587943534622603</v>
      </c>
      <c r="W3324">
        <v>41.743014797968399</v>
      </c>
    </row>
    <row r="3325" spans="1:23" x14ac:dyDescent="0.2">
      <c r="A3325" t="s">
        <v>6653</v>
      </c>
      <c r="B3325" s="3" t="str">
        <f>HYPERLINK("http://www.ncbi.nlm.nih.gov/gene/12632","Cfl2")</f>
        <v>Cfl2</v>
      </c>
      <c r="C3325">
        <v>12632</v>
      </c>
      <c r="D3325" t="s">
        <v>6654</v>
      </c>
      <c r="E3325" s="3" t="str">
        <f>HYPERLINK("http://genome.ucsc.edu/cgi-bin/hgTracks?db=mm10&amp;lastVirtModeType=default&amp;lastVirtModeExtraState=&amp;virtModeType=default&amp;virtMode=0&amp;nonVirtPosition=&amp;position=chr12:54858818-54862877","chr12:54858818-54862877")</f>
        <v>chr12:54858818-54862877</v>
      </c>
      <c r="F3325" t="s">
        <v>25</v>
      </c>
      <c r="G3325">
        <v>-0.45398517344331402</v>
      </c>
      <c r="H3325">
        <v>0.176943788615255</v>
      </c>
      <c r="I3325">
        <v>-2.56570279745991</v>
      </c>
      <c r="J3325">
        <v>1.0296701089553001E-2</v>
      </c>
      <c r="K3325">
        <v>4.1356665953870497E-2</v>
      </c>
      <c r="L3325" t="s">
        <v>26</v>
      </c>
      <c r="M3325" t="s">
        <v>27</v>
      </c>
      <c r="N3325">
        <v>682.54553266274695</v>
      </c>
      <c r="O3325">
        <v>817.97444107805097</v>
      </c>
      <c r="P3325">
        <v>580.97385135126899</v>
      </c>
      <c r="Q3325">
        <v>629.73236953247499</v>
      </c>
      <c r="R3325">
        <v>888.59426852385604</v>
      </c>
      <c r="S3325">
        <v>935.59668517782097</v>
      </c>
      <c r="T3325">
        <v>430.797743264639</v>
      </c>
      <c r="U3325">
        <v>653.08330749508798</v>
      </c>
      <c r="V3325">
        <v>678.27264122125996</v>
      </c>
      <c r="W3325">
        <v>561.74171342408897</v>
      </c>
    </row>
    <row r="3326" spans="1:23" x14ac:dyDescent="0.2">
      <c r="A3326" t="s">
        <v>6655</v>
      </c>
      <c r="B3326" s="3" t="str">
        <f>HYPERLINK("http://www.ncbi.nlm.nih.gov/gene/212528","Trmt1")</f>
        <v>Trmt1</v>
      </c>
      <c r="C3326">
        <v>212528</v>
      </c>
      <c r="D3326" t="s">
        <v>6656</v>
      </c>
      <c r="E3326" s="3" t="str">
        <f>HYPERLINK("http://genome.ucsc.edu/cgi-bin/hgTracks?db=mm10&amp;lastVirtModeType=default&amp;lastVirtModeExtraState=&amp;virtModeType=default&amp;virtMode=0&amp;nonVirtPosition=&amp;position=chr8:84689246-84699808","chr8:84689246-84699808")</f>
        <v>chr8:84689246-84699808</v>
      </c>
      <c r="F3326" t="s">
        <v>30</v>
      </c>
      <c r="G3326">
        <v>0.363960467350252</v>
      </c>
      <c r="H3326">
        <v>0.141862989466437</v>
      </c>
      <c r="I3326">
        <v>2.5655773131466502</v>
      </c>
      <c r="J3326">
        <v>1.0300426343269E-2</v>
      </c>
      <c r="K3326">
        <v>4.1359223137246E-2</v>
      </c>
      <c r="L3326" t="s">
        <v>26</v>
      </c>
      <c r="M3326" t="s">
        <v>27</v>
      </c>
      <c r="N3326">
        <v>208.60290302216799</v>
      </c>
      <c r="O3326">
        <v>178.79100022898601</v>
      </c>
      <c r="P3326">
        <v>230.96183011705401</v>
      </c>
      <c r="Q3326">
        <v>158.68587561163201</v>
      </c>
      <c r="R3326">
        <v>174.83651634208201</v>
      </c>
      <c r="S3326">
        <v>202.850608733244</v>
      </c>
      <c r="T3326">
        <v>229.147735779063</v>
      </c>
      <c r="U3326">
        <v>216.26693133443899</v>
      </c>
      <c r="V3326">
        <v>233.93785239518499</v>
      </c>
      <c r="W3326">
        <v>244.49480095952899</v>
      </c>
    </row>
    <row r="3327" spans="1:23" x14ac:dyDescent="0.2">
      <c r="A3327" t="s">
        <v>6657</v>
      </c>
      <c r="B3327" s="3" t="str">
        <f>HYPERLINK("http://www.ncbi.nlm.nih.gov/gene/83486","Rbm5")</f>
        <v>Rbm5</v>
      </c>
      <c r="C3327">
        <v>83486</v>
      </c>
      <c r="D3327" t="s">
        <v>6658</v>
      </c>
      <c r="E3327" s="3" t="str">
        <f>HYPERLINK("http://genome.ucsc.edu/cgi-bin/hgTracks?db=mm10&amp;lastVirtModeType=default&amp;lastVirtModeExtraState=&amp;virtModeType=default&amp;virtMode=0&amp;nonVirtPosition=&amp;position=chr9:107740494-107771002","chr9:107740494-107771002")</f>
        <v>chr9:107740494-107771002</v>
      </c>
      <c r="F3327" t="s">
        <v>25</v>
      </c>
      <c r="G3327">
        <v>0.28771021998538698</v>
      </c>
      <c r="H3327">
        <v>0.112173760785063</v>
      </c>
      <c r="I3327">
        <v>2.5648620316534698</v>
      </c>
      <c r="J3327">
        <v>1.03216838256289E-2</v>
      </c>
      <c r="K3327">
        <v>4.1425406119409799E-2</v>
      </c>
      <c r="L3327" t="s">
        <v>26</v>
      </c>
      <c r="M3327" t="s">
        <v>27</v>
      </c>
      <c r="N3327">
        <v>850.37408043045696</v>
      </c>
      <c r="O3327">
        <v>754.68380789069204</v>
      </c>
      <c r="P3327">
        <v>922.14178483528099</v>
      </c>
      <c r="Q3327">
        <v>813.47390971436403</v>
      </c>
      <c r="R3327">
        <v>766.474185525699</v>
      </c>
      <c r="S3327">
        <v>684.10332843201297</v>
      </c>
      <c r="T3327">
        <v>907.42503368509006</v>
      </c>
      <c r="U3327">
        <v>850.07892811655802</v>
      </c>
      <c r="V3327">
        <v>932.808795085204</v>
      </c>
      <c r="W3327">
        <v>998.25438245427301</v>
      </c>
    </row>
    <row r="3328" spans="1:23" x14ac:dyDescent="0.2">
      <c r="A3328" t="s">
        <v>6659</v>
      </c>
      <c r="B3328" s="3" t="str">
        <f>HYPERLINK("http://www.ncbi.nlm.nih.gov/gene/74385","Ap5m1")</f>
        <v>Ap5m1</v>
      </c>
      <c r="C3328">
        <v>74385</v>
      </c>
      <c r="D3328" t="s">
        <v>6660</v>
      </c>
      <c r="E3328" s="3" t="str">
        <f>HYPERLINK("http://genome.ucsc.edu/cgi-bin/hgTracks?db=mm10&amp;lastVirtModeType=default&amp;lastVirtModeExtraState=&amp;virtModeType=default&amp;virtMode=0&amp;nonVirtPosition=&amp;position=chr14:49066494-49087723","chr14:49066494-49087723")</f>
        <v>chr14:49066494-49087723</v>
      </c>
      <c r="F3328" t="s">
        <v>30</v>
      </c>
      <c r="G3328">
        <v>-0.39277810889641801</v>
      </c>
      <c r="H3328">
        <v>0.15314093875430301</v>
      </c>
      <c r="I3328">
        <v>-2.5648145563910001</v>
      </c>
      <c r="J3328">
        <v>1.0323096125791201E-2</v>
      </c>
      <c r="K3328">
        <v>4.1425406119409799E-2</v>
      </c>
      <c r="L3328" t="s">
        <v>26</v>
      </c>
      <c r="M3328" t="s">
        <v>27</v>
      </c>
      <c r="N3328">
        <v>191.217821568136</v>
      </c>
      <c r="O3328">
        <v>223.71459990828001</v>
      </c>
      <c r="P3328">
        <v>166.845237813029</v>
      </c>
      <c r="Q3328">
        <v>235.523246960422</v>
      </c>
      <c r="R3328">
        <v>214.658282537133</v>
      </c>
      <c r="S3328">
        <v>220.96227022728399</v>
      </c>
      <c r="T3328">
        <v>178.735233907669</v>
      </c>
      <c r="U3328">
        <v>128.47540475313201</v>
      </c>
      <c r="V3328">
        <v>192.00559583378401</v>
      </c>
      <c r="W3328">
        <v>168.16471675752999</v>
      </c>
    </row>
    <row r="3329" spans="1:23" x14ac:dyDescent="0.2">
      <c r="A3329" t="s">
        <v>6661</v>
      </c>
      <c r="B3329" s="3" t="str">
        <f>HYPERLINK("http://www.ncbi.nlm.nih.gov/gene/15446","Hpgd")</f>
        <v>Hpgd</v>
      </c>
      <c r="C3329">
        <v>15446</v>
      </c>
      <c r="D3329" t="s">
        <v>6662</v>
      </c>
      <c r="E3329" s="3" t="str">
        <f>HYPERLINK("http://genome.ucsc.edu/cgi-bin/hgTracks?db=mm10&amp;lastVirtModeType=default&amp;lastVirtModeExtraState=&amp;virtModeType=default&amp;virtMode=0&amp;nonVirtPosition=&amp;position=chr8:56294551-56321046","chr8:56294551-56321046")</f>
        <v>chr8:56294551-56321046</v>
      </c>
      <c r="F3329" t="s">
        <v>30</v>
      </c>
      <c r="G3329">
        <v>-0.862226545954631</v>
      </c>
      <c r="H3329">
        <v>0.33626313366828398</v>
      </c>
      <c r="I3329">
        <v>-2.56414236240717</v>
      </c>
      <c r="J3329">
        <v>1.0343111102590201E-2</v>
      </c>
      <c r="K3329">
        <v>4.14780825981442E-2</v>
      </c>
      <c r="L3329" t="s">
        <v>26</v>
      </c>
      <c r="M3329" t="s">
        <v>27</v>
      </c>
      <c r="N3329">
        <v>64.0250464022362</v>
      </c>
      <c r="O3329">
        <v>93.3229859347977</v>
      </c>
      <c r="P3329">
        <v>42.051591752815199</v>
      </c>
      <c r="Q3329">
        <v>172.60568926177501</v>
      </c>
      <c r="R3329">
        <v>50.440903847064803</v>
      </c>
      <c r="S3329">
        <v>56.922364695553199</v>
      </c>
      <c r="T3329">
        <v>36.663637724650101</v>
      </c>
      <c r="U3329">
        <v>29.9775944423975</v>
      </c>
      <c r="V3329">
        <v>41.932256561401097</v>
      </c>
      <c r="W3329">
        <v>59.632878282812001</v>
      </c>
    </row>
    <row r="3330" spans="1:23" x14ac:dyDescent="0.2">
      <c r="A3330" t="s">
        <v>6663</v>
      </c>
      <c r="B3330" s="3" t="str">
        <f>HYPERLINK("http://www.ncbi.nlm.nih.gov/gene/13418","Dnajc1")</f>
        <v>Dnajc1</v>
      </c>
      <c r="C3330">
        <v>13418</v>
      </c>
      <c r="D3330" t="s">
        <v>6664</v>
      </c>
      <c r="E3330" s="3" t="str">
        <f>HYPERLINK("http://genome.ucsc.edu/cgi-bin/hgTracks?db=mm10&amp;lastVirtModeType=default&amp;lastVirtModeExtraState=&amp;virtModeType=default&amp;virtMode=0&amp;nonVirtPosition=&amp;position=chr2:18213750-18392830","chr2:18213750-18392830")</f>
        <v>chr2:18213750-18392830</v>
      </c>
      <c r="F3330" t="s">
        <v>25</v>
      </c>
      <c r="G3330">
        <v>0.44195815683952699</v>
      </c>
      <c r="H3330">
        <v>0.17236380866783599</v>
      </c>
      <c r="I3330">
        <v>2.5641006673925899</v>
      </c>
      <c r="J3330">
        <v>1.03443537332637E-2</v>
      </c>
      <c r="K3330">
        <v>4.14780825981442E-2</v>
      </c>
      <c r="L3330" t="s">
        <v>26</v>
      </c>
      <c r="M3330" t="s">
        <v>27</v>
      </c>
      <c r="N3330">
        <v>243.74577369829899</v>
      </c>
      <c r="O3330">
        <v>197.929999171075</v>
      </c>
      <c r="P3330">
        <v>278.10760459371699</v>
      </c>
      <c r="Q3330">
        <v>239.977587328467</v>
      </c>
      <c r="R3330">
        <v>177.870555671229</v>
      </c>
      <c r="S3330">
        <v>175.941854513528</v>
      </c>
      <c r="T3330">
        <v>357.47046781533902</v>
      </c>
      <c r="U3330">
        <v>222.690701572096</v>
      </c>
      <c r="V3330">
        <v>266.30661184609102</v>
      </c>
      <c r="W3330">
        <v>265.96263714134102</v>
      </c>
    </row>
    <row r="3331" spans="1:23" x14ac:dyDescent="0.2">
      <c r="A3331" t="s">
        <v>6665</v>
      </c>
      <c r="B3331" s="3" t="str">
        <f>HYPERLINK("http://www.ncbi.nlm.nih.gov/gene/23834","Cdc6")</f>
        <v>Cdc6</v>
      </c>
      <c r="C3331">
        <v>23834</v>
      </c>
      <c r="D3331" t="s">
        <v>6666</v>
      </c>
      <c r="E3331" s="3" t="str">
        <f>HYPERLINK("http://genome.ucsc.edu/cgi-bin/hgTracks?db=mm10&amp;lastVirtModeType=default&amp;lastVirtModeExtraState=&amp;virtModeType=default&amp;virtMode=0&amp;nonVirtPosition=&amp;position=chr11:98908150-98923942","chr11:98908150-98923942")</f>
        <v>chr11:98908150-98923942</v>
      </c>
      <c r="F3331" t="s">
        <v>30</v>
      </c>
      <c r="G3331">
        <v>0.68835372344301804</v>
      </c>
      <c r="H3331">
        <v>0.26846400963296002</v>
      </c>
      <c r="I3331">
        <v>2.5640447089504699</v>
      </c>
      <c r="J3331">
        <v>1.03460216636751E-2</v>
      </c>
      <c r="K3331">
        <v>4.14780825981442E-2</v>
      </c>
      <c r="L3331" t="s">
        <v>26</v>
      </c>
      <c r="M3331" t="s">
        <v>27</v>
      </c>
      <c r="N3331">
        <v>97.751686589223596</v>
      </c>
      <c r="O3331">
        <v>68.130859140591994</v>
      </c>
      <c r="P3331">
        <v>119.967307175697</v>
      </c>
      <c r="Q3331">
        <v>32.850760214337797</v>
      </c>
      <c r="R3331">
        <v>88.745650377542603</v>
      </c>
      <c r="S3331">
        <v>82.796166829895597</v>
      </c>
      <c r="T3331">
        <v>137.48864146743799</v>
      </c>
      <c r="U3331">
        <v>122.051634515476</v>
      </c>
      <c r="V3331">
        <v>102.255853719908</v>
      </c>
      <c r="W3331">
        <v>118.073098999968</v>
      </c>
    </row>
    <row r="3332" spans="1:23" x14ac:dyDescent="0.2">
      <c r="A3332" t="s">
        <v>6667</v>
      </c>
      <c r="B3332" s="3" t="str">
        <f>HYPERLINK("http://www.ncbi.nlm.nih.gov/gene/68423","Ankrd13d")</f>
        <v>Ankrd13d</v>
      </c>
      <c r="C3332">
        <v>68423</v>
      </c>
      <c r="D3332" t="s">
        <v>6668</v>
      </c>
      <c r="E3332" s="3" t="str">
        <f>HYPERLINK("http://genome.ucsc.edu/cgi-bin/hgTracks?db=mm10&amp;lastVirtModeType=default&amp;lastVirtModeExtraState=&amp;virtModeType=default&amp;virtMode=0&amp;nonVirtPosition=&amp;position=chr19:4270179-4283137","chr19:4270179-4283137")</f>
        <v>chr19:4270179-4283137</v>
      </c>
      <c r="F3332" t="s">
        <v>25</v>
      </c>
      <c r="G3332">
        <v>0.69404479852603096</v>
      </c>
      <c r="H3332">
        <v>0.27069767055726401</v>
      </c>
      <c r="I3332">
        <v>2.56391123387673</v>
      </c>
      <c r="J3332">
        <v>1.0350001066959101E-2</v>
      </c>
      <c r="K3332">
        <v>4.14780825981442E-2</v>
      </c>
      <c r="L3332" t="s">
        <v>26</v>
      </c>
      <c r="M3332" t="s">
        <v>27</v>
      </c>
      <c r="N3332">
        <v>41.819811809963703</v>
      </c>
      <c r="O3332">
        <v>28.586216519968399</v>
      </c>
      <c r="P3332">
        <v>51.745008277460201</v>
      </c>
      <c r="Q3332">
        <v>21.7149092942233</v>
      </c>
      <c r="R3332">
        <v>32.995177704470997</v>
      </c>
      <c r="S3332">
        <v>31.0485625612109</v>
      </c>
      <c r="T3332">
        <v>64.161366018137699</v>
      </c>
      <c r="U3332">
        <v>42.825134917710699</v>
      </c>
      <c r="V3332">
        <v>36.782681194211499</v>
      </c>
      <c r="W3332">
        <v>63.210850979780702</v>
      </c>
    </row>
    <row r="3333" spans="1:23" x14ac:dyDescent="0.2">
      <c r="A3333" t="s">
        <v>6669</v>
      </c>
      <c r="B3333" s="3" t="str">
        <f>HYPERLINK("http://www.ncbi.nlm.nih.gov/gene/72512","Tmem173")</f>
        <v>Tmem173</v>
      </c>
      <c r="C3333">
        <v>72512</v>
      </c>
      <c r="D3333" t="s">
        <v>6670</v>
      </c>
      <c r="E3333" s="3" t="str">
        <f>HYPERLINK("http://genome.ucsc.edu/cgi-bin/hgTracks?db=mm10&amp;lastVirtModeType=default&amp;lastVirtModeExtraState=&amp;virtModeType=default&amp;virtMode=0&amp;nonVirtPosition=&amp;position=chr18:35733677-35740554","chr18:35733677-35740554")</f>
        <v>chr18:35733677-35740554</v>
      </c>
      <c r="F3333" t="s">
        <v>25</v>
      </c>
      <c r="G3333">
        <v>0.51114303076668799</v>
      </c>
      <c r="H3333">
        <v>0.19936752900458901</v>
      </c>
      <c r="I3333">
        <v>2.5638228718525302</v>
      </c>
      <c r="J3333">
        <v>1.03526362267018E-2</v>
      </c>
      <c r="K3333">
        <v>4.14780825981442E-2</v>
      </c>
      <c r="L3333" t="s">
        <v>26</v>
      </c>
      <c r="M3333" t="s">
        <v>27</v>
      </c>
      <c r="N3333">
        <v>77.718779800241705</v>
      </c>
      <c r="O3333">
        <v>62.250141881268299</v>
      </c>
      <c r="P3333">
        <v>89.320258239471897</v>
      </c>
      <c r="Q3333">
        <v>72.939823526750004</v>
      </c>
      <c r="R3333">
        <v>56.888237421501699</v>
      </c>
      <c r="S3333">
        <v>56.922364695553199</v>
      </c>
      <c r="T3333">
        <v>87.076139596044001</v>
      </c>
      <c r="U3333">
        <v>74.943986105993702</v>
      </c>
      <c r="V3333">
        <v>92.692356609412997</v>
      </c>
      <c r="W3333">
        <v>102.568550646437</v>
      </c>
    </row>
    <row r="3334" spans="1:23" x14ac:dyDescent="0.2">
      <c r="A3334" t="s">
        <v>6671</v>
      </c>
      <c r="B3334" s="3" t="str">
        <f>HYPERLINK("http://www.ncbi.nlm.nih.gov/gene/66314","Tpd52l2")</f>
        <v>Tpd52l2</v>
      </c>
      <c r="C3334">
        <v>66314</v>
      </c>
      <c r="D3334" t="s">
        <v>6672</v>
      </c>
      <c r="E3334" s="3" t="str">
        <f>HYPERLINK("http://genome.ucsc.edu/cgi-bin/hgTracks?db=mm10&amp;lastVirtModeType=default&amp;lastVirtModeExtraState=&amp;virtModeType=default&amp;virtMode=0&amp;nonVirtPosition=&amp;position=chr2:181497141-181517962","chr2:181497141-181517962")</f>
        <v>chr2:181497141-181517962</v>
      </c>
      <c r="F3334" t="s">
        <v>30</v>
      </c>
      <c r="G3334">
        <v>-0.31591058932738397</v>
      </c>
      <c r="H3334">
        <v>0.123224681110899</v>
      </c>
      <c r="I3334">
        <v>-2.5636957343234799</v>
      </c>
      <c r="J3334">
        <v>1.03564288091639E-2</v>
      </c>
      <c r="K3334">
        <v>4.14780825981442E-2</v>
      </c>
      <c r="L3334" t="s">
        <v>26</v>
      </c>
      <c r="M3334" t="s">
        <v>27</v>
      </c>
      <c r="N3334">
        <v>345.908671620402</v>
      </c>
      <c r="O3334">
        <v>391.38304845978899</v>
      </c>
      <c r="P3334">
        <v>311.80288899086202</v>
      </c>
      <c r="Q3334">
        <v>435.41177097647699</v>
      </c>
      <c r="R3334">
        <v>364.08471949761099</v>
      </c>
      <c r="S3334">
        <v>374.65265490527798</v>
      </c>
      <c r="T3334">
        <v>297.89205651278201</v>
      </c>
      <c r="U3334">
        <v>327.61228212048701</v>
      </c>
      <c r="V3334">
        <v>300.88233216865001</v>
      </c>
      <c r="W3334">
        <v>320.82488516152898</v>
      </c>
    </row>
    <row r="3335" spans="1:23" x14ac:dyDescent="0.2">
      <c r="A3335" t="s">
        <v>6673</v>
      </c>
      <c r="B3335" s="3" t="str">
        <f>HYPERLINK("http://www.ncbi.nlm.nih.gov/gene/64209","Herpud1")</f>
        <v>Herpud1</v>
      </c>
      <c r="C3335">
        <v>64209</v>
      </c>
      <c r="D3335" t="s">
        <v>6674</v>
      </c>
      <c r="E3335" s="3" t="str">
        <f>HYPERLINK("http://genome.ucsc.edu/cgi-bin/hgTracks?db=mm10&amp;lastVirtModeType=default&amp;lastVirtModeExtraState=&amp;virtModeType=default&amp;virtMode=0&amp;nonVirtPosition=&amp;position=chr8:94386499-94395358","chr8:94386499-94395358")</f>
        <v>chr8:94386499-94395358</v>
      </c>
      <c r="F3335" t="s">
        <v>30</v>
      </c>
      <c r="G3335">
        <v>-0.43797634521425999</v>
      </c>
      <c r="H3335">
        <v>0.17084117770594801</v>
      </c>
      <c r="I3335">
        <v>-2.5636462537627001</v>
      </c>
      <c r="J3335">
        <v>1.0357905175729499E-2</v>
      </c>
      <c r="K3335">
        <v>4.14780825981442E-2</v>
      </c>
      <c r="L3335" t="s">
        <v>26</v>
      </c>
      <c r="M3335" t="s">
        <v>27</v>
      </c>
      <c r="N3335">
        <v>133.75855685471399</v>
      </c>
      <c r="O3335">
        <v>157.41045926002101</v>
      </c>
      <c r="P3335">
        <v>116.019630050733</v>
      </c>
      <c r="Q3335">
        <v>153.67474269758</v>
      </c>
      <c r="R3335">
        <v>175.215771258225</v>
      </c>
      <c r="S3335">
        <v>143.34086382425701</v>
      </c>
      <c r="T3335">
        <v>137.48864146743799</v>
      </c>
      <c r="U3335">
        <v>87.791526581306996</v>
      </c>
      <c r="V3335">
        <v>114.76196532594</v>
      </c>
      <c r="W3335">
        <v>124.03638682824899</v>
      </c>
    </row>
    <row r="3336" spans="1:23" x14ac:dyDescent="0.2">
      <c r="A3336" t="s">
        <v>6675</v>
      </c>
      <c r="B3336" s="3" t="str">
        <f>HYPERLINK("http://www.ncbi.nlm.nih.gov/gene/12321","Calu")</f>
        <v>Calu</v>
      </c>
      <c r="C3336">
        <v>12321</v>
      </c>
      <c r="D3336" t="s">
        <v>6676</v>
      </c>
      <c r="E3336" s="3" t="str">
        <f>HYPERLINK("http://genome.ucsc.edu/cgi-bin/hgTracks?db=mm10&amp;lastVirtModeType=default&amp;lastVirtModeExtraState=&amp;virtModeType=default&amp;virtMode=0&amp;nonVirtPosition=&amp;position=chr6:29348105-29376675","chr6:29348105-29376675")</f>
        <v>chr6:29348105-29376675</v>
      </c>
      <c r="F3336" t="s">
        <v>30</v>
      </c>
      <c r="G3336">
        <v>-0.37698107549291698</v>
      </c>
      <c r="H3336">
        <v>0.14710324880093401</v>
      </c>
      <c r="I3336">
        <v>-2.5626971434401402</v>
      </c>
      <c r="J3336">
        <v>1.03862603441566E-2</v>
      </c>
      <c r="K3336">
        <v>4.15791964928552E-2</v>
      </c>
      <c r="L3336" t="s">
        <v>26</v>
      </c>
      <c r="M3336" t="s">
        <v>27</v>
      </c>
      <c r="N3336">
        <v>1300.2111221161799</v>
      </c>
      <c r="O3336">
        <v>1510.0378284707199</v>
      </c>
      <c r="P3336">
        <v>1142.84109235028</v>
      </c>
      <c r="Q3336">
        <v>1696.54688767944</v>
      </c>
      <c r="R3336">
        <v>1485.5415065334801</v>
      </c>
      <c r="S3336">
        <v>1348.02509119924</v>
      </c>
      <c r="T3336">
        <v>944.08867140973996</v>
      </c>
      <c r="U3336">
        <v>1068.4871161968799</v>
      </c>
      <c r="V3336">
        <v>1375.67227666351</v>
      </c>
      <c r="W3336">
        <v>1183.11630513099</v>
      </c>
    </row>
    <row r="3337" spans="1:23" x14ac:dyDescent="0.2">
      <c r="A3337" t="s">
        <v>6677</v>
      </c>
      <c r="B3337" s="3" t="str">
        <f>HYPERLINK("http://www.ncbi.nlm.nih.gov/gene/237823","Pfas")</f>
        <v>Pfas</v>
      </c>
      <c r="C3337">
        <v>237823</v>
      </c>
      <c r="D3337" t="s">
        <v>6678</v>
      </c>
      <c r="E3337" s="3" t="str">
        <f>HYPERLINK("http://genome.ucsc.edu/cgi-bin/hgTracks?db=mm10&amp;lastVirtModeType=default&amp;lastVirtModeExtraState=&amp;virtModeType=default&amp;virtMode=0&amp;nonVirtPosition=&amp;position=chr11:68985700-69008460","chr11:68985700-69008460")</f>
        <v>chr11:68985700-69008460</v>
      </c>
      <c r="F3337" t="s">
        <v>25</v>
      </c>
      <c r="G3337">
        <v>0.500213515224328</v>
      </c>
      <c r="H3337">
        <v>0.19524307834521401</v>
      </c>
      <c r="I3337">
        <v>2.5620038337025699</v>
      </c>
      <c r="J3337">
        <v>1.0407016971729599E-2</v>
      </c>
      <c r="K3337">
        <v>4.1645026783364798E-2</v>
      </c>
      <c r="L3337" t="s">
        <v>26</v>
      </c>
      <c r="M3337" t="s">
        <v>27</v>
      </c>
      <c r="N3337">
        <v>503.79368997630399</v>
      </c>
      <c r="O3337">
        <v>402.33700348102099</v>
      </c>
      <c r="P3337">
        <v>579.88620484776504</v>
      </c>
      <c r="Q3337">
        <v>281.18023573289099</v>
      </c>
      <c r="R3337">
        <v>407.31977993795198</v>
      </c>
      <c r="S3337">
        <v>518.51099477222101</v>
      </c>
      <c r="T3337">
        <v>462.87842627370799</v>
      </c>
      <c r="U3337">
        <v>704.47346939634099</v>
      </c>
      <c r="V3337">
        <v>589.25855273126797</v>
      </c>
      <c r="W3337">
        <v>562.93437098974505</v>
      </c>
    </row>
    <row r="3338" spans="1:23" x14ac:dyDescent="0.2">
      <c r="A3338" t="s">
        <v>6679</v>
      </c>
      <c r="B3338" s="3" t="str">
        <f>HYPERLINK("http://www.ncbi.nlm.nih.gov/gene/384763","Zfp667")</f>
        <v>Zfp667</v>
      </c>
      <c r="C3338">
        <v>384763</v>
      </c>
      <c r="D3338" t="s">
        <v>6680</v>
      </c>
      <c r="E3338" s="3" t="str">
        <f>HYPERLINK("http://genome.ucsc.edu/cgi-bin/hgTracks?db=mm10&amp;lastVirtModeType=default&amp;lastVirtModeExtraState=&amp;virtModeType=default&amp;virtMode=0&amp;nonVirtPosition=&amp;position=chr7:6286579-6307883","chr7:6286579-6307883")</f>
        <v>chr7:6286579-6307883</v>
      </c>
      <c r="F3338" t="s">
        <v>30</v>
      </c>
      <c r="G3338">
        <v>-0.54597837589629705</v>
      </c>
      <c r="H3338">
        <v>0.21311128896950499</v>
      </c>
      <c r="I3338">
        <v>-2.5619401887922599</v>
      </c>
      <c r="J3338">
        <v>1.0408924250909E-2</v>
      </c>
      <c r="K3338">
        <v>4.1645026783364798E-2</v>
      </c>
      <c r="L3338" t="s">
        <v>26</v>
      </c>
      <c r="M3338" t="s">
        <v>27</v>
      </c>
      <c r="N3338">
        <v>74.377122033236503</v>
      </c>
      <c r="O3338">
        <v>89.526995408569903</v>
      </c>
      <c r="P3338">
        <v>63.0147170017365</v>
      </c>
      <c r="Q3338">
        <v>99.109073189019</v>
      </c>
      <c r="R3338">
        <v>88.745650377542603</v>
      </c>
      <c r="S3338">
        <v>80.726262659148205</v>
      </c>
      <c r="T3338">
        <v>91.659094311625296</v>
      </c>
      <c r="U3338">
        <v>49.248905155367297</v>
      </c>
      <c r="V3338">
        <v>61.059250782391103</v>
      </c>
      <c r="W3338">
        <v>50.091617757562098</v>
      </c>
    </row>
    <row r="3339" spans="1:23" x14ac:dyDescent="0.2">
      <c r="A3339" t="s">
        <v>6681</v>
      </c>
      <c r="B3339" s="3" t="str">
        <f>HYPERLINK("http://www.ncbi.nlm.nih.gov/gene/56726","Sh3bgrl")</f>
        <v>Sh3bgrl</v>
      </c>
      <c r="C3339">
        <v>56726</v>
      </c>
      <c r="D3339" t="s">
        <v>6682</v>
      </c>
      <c r="E3339" s="3" t="str">
        <f>HYPERLINK("http://genome.ucsc.edu/cgi-bin/hgTracks?db=mm10&amp;lastVirtModeType=default&amp;lastVirtModeExtraState=&amp;virtModeType=default&amp;virtMode=0&amp;nonVirtPosition=&amp;position=chrX:109095406-109162467","chrX:109095406-109162467")</f>
        <v>chrX:109095406-109162467</v>
      </c>
      <c r="F3339" t="s">
        <v>30</v>
      </c>
      <c r="G3339">
        <v>-0.42278606135722002</v>
      </c>
      <c r="H3339">
        <v>0.16506289570093799</v>
      </c>
      <c r="I3339">
        <v>-2.5613634097588198</v>
      </c>
      <c r="J3339">
        <v>1.0426223065693799E-2</v>
      </c>
      <c r="K3339">
        <v>4.1701778098179501E-2</v>
      </c>
      <c r="L3339" t="s">
        <v>26</v>
      </c>
      <c r="M3339" t="s">
        <v>27</v>
      </c>
      <c r="N3339">
        <v>717.54005405018495</v>
      </c>
      <c r="O3339">
        <v>842.63089785905004</v>
      </c>
      <c r="P3339">
        <v>623.72192119353497</v>
      </c>
      <c r="Q3339">
        <v>1071.2688585150099</v>
      </c>
      <c r="R3339">
        <v>751.30398887996603</v>
      </c>
      <c r="S3339">
        <v>705.31984618217302</v>
      </c>
      <c r="T3339">
        <v>724.10684506183998</v>
      </c>
      <c r="U3339">
        <v>575.99806464320898</v>
      </c>
      <c r="V3339">
        <v>637.81169190762796</v>
      </c>
      <c r="W3339">
        <v>556.97108316146398</v>
      </c>
    </row>
    <row r="3340" spans="1:23" x14ac:dyDescent="0.2">
      <c r="A3340" t="s">
        <v>6683</v>
      </c>
      <c r="B3340" s="3" t="str">
        <f>HYPERLINK("http://www.ncbi.nlm.nih.gov/gene/11632","Aip")</f>
        <v>Aip</v>
      </c>
      <c r="C3340">
        <v>11632</v>
      </c>
      <c r="D3340" t="s">
        <v>6684</v>
      </c>
      <c r="E3340" s="3" t="str">
        <f>HYPERLINK("http://genome.ucsc.edu/cgi-bin/hgTracks?db=mm10&amp;lastVirtModeType=default&amp;lastVirtModeExtraState=&amp;virtModeType=default&amp;virtMode=0&amp;nonVirtPosition=&amp;position=chr19:4113755-4125858","chr19:4113755-4125858")</f>
        <v>chr19:4113755-4125858</v>
      </c>
      <c r="F3340" t="s">
        <v>25</v>
      </c>
      <c r="G3340">
        <v>-0.46239601637489303</v>
      </c>
      <c r="H3340">
        <v>0.18060289206644201</v>
      </c>
      <c r="I3340">
        <v>-2.5602913169562198</v>
      </c>
      <c r="J3340">
        <v>1.04584453550316E-2</v>
      </c>
      <c r="K3340">
        <v>4.1818167139213998E-2</v>
      </c>
      <c r="L3340" t="s">
        <v>26</v>
      </c>
      <c r="M3340" t="s">
        <v>27</v>
      </c>
      <c r="N3340">
        <v>113.898205002159</v>
      </c>
      <c r="O3340">
        <v>138.59825636933601</v>
      </c>
      <c r="P3340">
        <v>95.373166476776206</v>
      </c>
      <c r="Q3340">
        <v>124.721530305282</v>
      </c>
      <c r="R3340">
        <v>155.494515618771</v>
      </c>
      <c r="S3340">
        <v>135.578723183954</v>
      </c>
      <c r="T3340">
        <v>64.161366018137699</v>
      </c>
      <c r="U3340">
        <v>115.627864277819</v>
      </c>
      <c r="V3340">
        <v>101.520200096024</v>
      </c>
      <c r="W3340">
        <v>100.183235515124</v>
      </c>
    </row>
    <row r="3341" spans="1:23" x14ac:dyDescent="0.2">
      <c r="A3341" t="s">
        <v>6685</v>
      </c>
      <c r="B3341" s="3" t="str">
        <f>HYPERLINK("http://www.ncbi.nlm.nih.gov/gene/104681","Slc16a6")</f>
        <v>Slc16a6</v>
      </c>
      <c r="C3341">
        <v>104681</v>
      </c>
      <c r="D3341" t="s">
        <v>6686</v>
      </c>
      <c r="E3341" s="3" t="str">
        <f>HYPERLINK("http://genome.ucsc.edu/cgi-bin/hgTracks?db=mm10&amp;lastVirtModeType=default&amp;lastVirtModeExtraState=&amp;virtModeType=default&amp;virtMode=0&amp;nonVirtPosition=&amp;position=chr11:109450855-109473229","chr11:109450855-109473229")</f>
        <v>chr11:109450855-109473229</v>
      </c>
      <c r="F3341" t="s">
        <v>25</v>
      </c>
      <c r="G3341">
        <v>0.63295156133006603</v>
      </c>
      <c r="H3341">
        <v>0.247232415297894</v>
      </c>
      <c r="I3341">
        <v>2.5601479505323499</v>
      </c>
      <c r="J3341">
        <v>1.04627610144082E-2</v>
      </c>
      <c r="K3341">
        <v>4.1822935147444798E-2</v>
      </c>
      <c r="L3341" t="s">
        <v>26</v>
      </c>
      <c r="M3341" t="s">
        <v>27</v>
      </c>
      <c r="N3341">
        <v>96.027998697212695</v>
      </c>
      <c r="O3341">
        <v>69.751739889970295</v>
      </c>
      <c r="P3341">
        <v>115.735192802645</v>
      </c>
      <c r="Q3341">
        <v>44.543403680457999</v>
      </c>
      <c r="R3341">
        <v>87.607885629112602</v>
      </c>
      <c r="S3341">
        <v>77.1039303603403</v>
      </c>
      <c r="T3341">
        <v>137.48864146743799</v>
      </c>
      <c r="U3341">
        <v>107.062837294277</v>
      </c>
      <c r="V3341">
        <v>136.09592041858301</v>
      </c>
      <c r="W3341">
        <v>82.293372030280594</v>
      </c>
    </row>
    <row r="3342" spans="1:23" x14ac:dyDescent="0.2">
      <c r="A3342" t="s">
        <v>6687</v>
      </c>
      <c r="B3342" s="3" t="str">
        <f>HYPERLINK("http://www.ncbi.nlm.nih.gov/gene/21357","Tarbp2")</f>
        <v>Tarbp2</v>
      </c>
      <c r="C3342">
        <v>21357</v>
      </c>
      <c r="D3342" t="s">
        <v>6688</v>
      </c>
      <c r="E3342" s="3" t="str">
        <f>HYPERLINK("http://genome.ucsc.edu/cgi-bin/hgTracks?db=mm10&amp;lastVirtModeType=default&amp;lastVirtModeExtraState=&amp;virtModeType=default&amp;virtMode=0&amp;nonVirtPosition=&amp;position=chr15:102518191-102523676","chr15:102518191-102523676")</f>
        <v>chr15:102518191-102523676</v>
      </c>
      <c r="F3342" t="s">
        <v>30</v>
      </c>
      <c r="G3342">
        <v>0.69943712475564201</v>
      </c>
      <c r="H3342">
        <v>0.27323878380697503</v>
      </c>
      <c r="I3342">
        <v>2.5598017785416101</v>
      </c>
      <c r="J3342">
        <v>1.0473188120350699E-2</v>
      </c>
      <c r="K3342">
        <v>4.1852122387232703E-2</v>
      </c>
      <c r="L3342" t="s">
        <v>26</v>
      </c>
      <c r="M3342" t="s">
        <v>27</v>
      </c>
      <c r="N3342">
        <v>41.635152276188897</v>
      </c>
      <c r="O3342">
        <v>28.454587494811602</v>
      </c>
      <c r="P3342">
        <v>51.520575862221797</v>
      </c>
      <c r="Q3342">
        <v>19.487739110200401</v>
      </c>
      <c r="R3342">
        <v>26.5478441300341</v>
      </c>
      <c r="S3342">
        <v>39.328179244200399</v>
      </c>
      <c r="T3342">
        <v>59.578411302556397</v>
      </c>
      <c r="U3342">
        <v>55.672675393023901</v>
      </c>
      <c r="V3342">
        <v>41.932256561401097</v>
      </c>
      <c r="W3342">
        <v>48.8989601919058</v>
      </c>
    </row>
    <row r="3343" spans="1:23" x14ac:dyDescent="0.2">
      <c r="A3343" t="s">
        <v>6689</v>
      </c>
      <c r="B3343" s="3" t="str">
        <f>HYPERLINK("http://www.ncbi.nlm.nih.gov/gene/19173","Psmb5")</f>
        <v>Psmb5</v>
      </c>
      <c r="C3343">
        <v>19173</v>
      </c>
      <c r="D3343" t="s">
        <v>6690</v>
      </c>
      <c r="E3343" s="3" t="str">
        <f>HYPERLINK("http://genome.ucsc.edu/cgi-bin/hgTracks?db=mm10&amp;lastVirtModeType=default&amp;lastVirtModeExtraState=&amp;virtModeType=default&amp;virtMode=0&amp;nonVirtPosition=&amp;position=chr14:54614119-54617995","chr14:54614119-54617995")</f>
        <v>chr14:54614119-54617995</v>
      </c>
      <c r="F3343" t="s">
        <v>25</v>
      </c>
      <c r="G3343">
        <v>0.63384886246818795</v>
      </c>
      <c r="H3343">
        <v>0.247696845933464</v>
      </c>
      <c r="I3343">
        <v>2.5589702609231102</v>
      </c>
      <c r="J3343">
        <v>1.0498272188148101E-2</v>
      </c>
      <c r="K3343">
        <v>4.1901926556198399E-2</v>
      </c>
      <c r="L3343" t="s">
        <v>26</v>
      </c>
      <c r="M3343" t="s">
        <v>27</v>
      </c>
      <c r="N3343">
        <v>44.880034897458401</v>
      </c>
      <c r="O3343">
        <v>33.660360733716701</v>
      </c>
      <c r="P3343">
        <v>53.294790520264598</v>
      </c>
      <c r="Q3343">
        <v>26.726042208274801</v>
      </c>
      <c r="R3343">
        <v>33.3744326206143</v>
      </c>
      <c r="S3343">
        <v>40.880607372260997</v>
      </c>
      <c r="T3343">
        <v>36.663637724650101</v>
      </c>
      <c r="U3343">
        <v>66.378959122451604</v>
      </c>
      <c r="V3343">
        <v>58.852289910738399</v>
      </c>
      <c r="W3343">
        <v>51.284275323218303</v>
      </c>
    </row>
    <row r="3344" spans="1:23" x14ac:dyDescent="0.2">
      <c r="A3344" t="s">
        <v>6691</v>
      </c>
      <c r="B3344" s="3" t="str">
        <f>HYPERLINK("http://www.ncbi.nlm.nih.gov/gene/69480","Ttc9")</f>
        <v>Ttc9</v>
      </c>
      <c r="C3344">
        <v>69480</v>
      </c>
      <c r="D3344" t="s">
        <v>6692</v>
      </c>
      <c r="E3344" s="3" t="str">
        <f>HYPERLINK("http://genome.ucsc.edu/cgi-bin/hgTracks?db=mm10&amp;lastVirtModeType=default&amp;lastVirtModeExtraState=&amp;virtModeType=default&amp;virtMode=0&amp;nonVirtPosition=&amp;position=chr12:81631248-81667557","chr12:81631248-81667557")</f>
        <v>chr12:81631248-81667557</v>
      </c>
      <c r="F3344" t="s">
        <v>30</v>
      </c>
      <c r="G3344">
        <v>-0.47930484637304499</v>
      </c>
      <c r="H3344">
        <v>0.187307686442164</v>
      </c>
      <c r="I3344">
        <v>-2.5589171244237301</v>
      </c>
      <c r="J3344">
        <v>1.0499876951496999E-2</v>
      </c>
      <c r="K3344">
        <v>4.1901926556198399E-2</v>
      </c>
      <c r="L3344" t="s">
        <v>26</v>
      </c>
      <c r="M3344" t="s">
        <v>27</v>
      </c>
      <c r="N3344">
        <v>228.78857730753899</v>
      </c>
      <c r="O3344">
        <v>270.36972228363499</v>
      </c>
      <c r="P3344">
        <v>197.60271857546701</v>
      </c>
      <c r="Q3344">
        <v>303.45193757312001</v>
      </c>
      <c r="R3344">
        <v>265.47844130034099</v>
      </c>
      <c r="S3344">
        <v>242.17878797744501</v>
      </c>
      <c r="T3344">
        <v>261.22841878813199</v>
      </c>
      <c r="U3344">
        <v>205.56064760501101</v>
      </c>
      <c r="V3344">
        <v>137.56722766635099</v>
      </c>
      <c r="W3344">
        <v>186.05458024237299</v>
      </c>
    </row>
    <row r="3345" spans="1:23" x14ac:dyDescent="0.2">
      <c r="A3345" t="s">
        <v>6693</v>
      </c>
      <c r="B3345" s="3" t="str">
        <f>HYPERLINK("http://www.ncbi.nlm.nih.gov/gene/20054","Rps15")</f>
        <v>Rps15</v>
      </c>
      <c r="C3345">
        <v>20054</v>
      </c>
      <c r="D3345" t="s">
        <v>6694</v>
      </c>
      <c r="E3345" s="3" t="str">
        <f>HYPERLINK("http://genome.ucsc.edu/cgi-bin/hgTracks?db=mm10&amp;lastVirtModeType=default&amp;lastVirtModeExtraState=&amp;virtModeType=default&amp;virtMode=0&amp;nonVirtPosition=&amp;position=chr10:80292508-80294114","chr10:80292508-80294114")</f>
        <v>chr10:80292508-80294114</v>
      </c>
      <c r="F3345" t="s">
        <v>30</v>
      </c>
      <c r="G3345">
        <v>-0.45457101638201702</v>
      </c>
      <c r="H3345">
        <v>0.177643135574201</v>
      </c>
      <c r="I3345">
        <v>-2.5588999817679099</v>
      </c>
      <c r="J3345">
        <v>1.05003947195069E-2</v>
      </c>
      <c r="K3345">
        <v>4.1901926556198399E-2</v>
      </c>
      <c r="L3345" t="s">
        <v>26</v>
      </c>
      <c r="M3345" t="s">
        <v>27</v>
      </c>
      <c r="N3345">
        <v>571.46136780210497</v>
      </c>
      <c r="O3345">
        <v>681.375719920405</v>
      </c>
      <c r="P3345">
        <v>489.02560371338001</v>
      </c>
      <c r="Q3345">
        <v>491.647818123055</v>
      </c>
      <c r="R3345">
        <v>834.74007043150198</v>
      </c>
      <c r="S3345">
        <v>717.73927120665803</v>
      </c>
      <c r="T3345">
        <v>458.295471558126</v>
      </c>
      <c r="U3345">
        <v>573.85680789732396</v>
      </c>
      <c r="V3345">
        <v>476.703548276981</v>
      </c>
      <c r="W3345">
        <v>447.24658712108999</v>
      </c>
    </row>
    <row r="3346" spans="1:23" x14ac:dyDescent="0.2">
      <c r="A3346" t="s">
        <v>6695</v>
      </c>
      <c r="B3346" s="3" t="str">
        <f>HYPERLINK("http://www.ncbi.nlm.nih.gov/gene/56464","Ctsf")</f>
        <v>Ctsf</v>
      </c>
      <c r="C3346">
        <v>56464</v>
      </c>
      <c r="D3346" t="s">
        <v>6696</v>
      </c>
      <c r="E3346" s="3" t="str">
        <f>HYPERLINK("http://genome.ucsc.edu/cgi-bin/hgTracks?db=mm10&amp;lastVirtModeType=default&amp;lastVirtModeExtraState=&amp;virtModeType=default&amp;virtMode=0&amp;nonVirtPosition=&amp;position=chr19:4855128-4860912","chr19:4855128-4860912")</f>
        <v>chr19:4855128-4860912</v>
      </c>
      <c r="F3346" t="s">
        <v>30</v>
      </c>
      <c r="G3346">
        <v>-0.40508926963073699</v>
      </c>
      <c r="H3346">
        <v>0.15830778365016901</v>
      </c>
      <c r="I3346">
        <v>-2.5588714609630898</v>
      </c>
      <c r="J3346">
        <v>1.0501256197640399E-2</v>
      </c>
      <c r="K3346">
        <v>4.1901926556198399E-2</v>
      </c>
      <c r="L3346" t="s">
        <v>26</v>
      </c>
      <c r="M3346" t="s">
        <v>27</v>
      </c>
      <c r="N3346">
        <v>139.949147748017</v>
      </c>
      <c r="O3346">
        <v>164.59852635121999</v>
      </c>
      <c r="P3346">
        <v>121.462113795614</v>
      </c>
      <c r="Q3346">
        <v>184.855125273901</v>
      </c>
      <c r="R3346">
        <v>160.424829528635</v>
      </c>
      <c r="S3346">
        <v>148.51562425112499</v>
      </c>
      <c r="T3346">
        <v>109.99091317395001</v>
      </c>
      <c r="U3346">
        <v>130.61666149901799</v>
      </c>
      <c r="V3346">
        <v>123.589808812551</v>
      </c>
      <c r="W3346">
        <v>121.651071696936</v>
      </c>
    </row>
    <row r="3347" spans="1:23" x14ac:dyDescent="0.2">
      <c r="A3347" t="s">
        <v>6697</v>
      </c>
      <c r="B3347" s="3" t="str">
        <f>HYPERLINK("http://www.ncbi.nlm.nih.gov/gene/114128","Laptm4b")</f>
        <v>Laptm4b</v>
      </c>
      <c r="C3347">
        <v>114128</v>
      </c>
      <c r="D3347" t="s">
        <v>6698</v>
      </c>
      <c r="E3347" s="3" t="str">
        <f>HYPERLINK("http://genome.ucsc.edu/cgi-bin/hgTracks?db=mm10&amp;lastVirtModeType=default&amp;lastVirtModeExtraState=&amp;virtModeType=default&amp;virtMode=0&amp;nonVirtPosition=&amp;position=chr15:34238025-34284295","chr15:34238025-34284295")</f>
        <v>chr15:34238025-34284295</v>
      </c>
      <c r="F3347" t="s">
        <v>30</v>
      </c>
      <c r="G3347">
        <v>-0.40603652426331199</v>
      </c>
      <c r="H3347">
        <v>0.15867805154571399</v>
      </c>
      <c r="I3347">
        <v>-2.5588701166168302</v>
      </c>
      <c r="J3347">
        <v>1.05012968055113E-2</v>
      </c>
      <c r="K3347">
        <v>4.1901926556198399E-2</v>
      </c>
      <c r="L3347" t="s">
        <v>26</v>
      </c>
      <c r="M3347" t="s">
        <v>27</v>
      </c>
      <c r="N3347">
        <v>275.30846611697001</v>
      </c>
      <c r="O3347">
        <v>325.95226648145899</v>
      </c>
      <c r="P3347">
        <v>237.32561584360499</v>
      </c>
      <c r="Q3347">
        <v>355.79043689765803</v>
      </c>
      <c r="R3347">
        <v>302.26616816624602</v>
      </c>
      <c r="S3347">
        <v>319.80019438047202</v>
      </c>
      <c r="T3347">
        <v>160.40341504534399</v>
      </c>
      <c r="U3347">
        <v>301.91720116986102</v>
      </c>
      <c r="V3347">
        <v>241.294388634028</v>
      </c>
      <c r="W3347">
        <v>245.68745852518501</v>
      </c>
    </row>
    <row r="3348" spans="1:23" x14ac:dyDescent="0.2">
      <c r="A3348" t="s">
        <v>6699</v>
      </c>
      <c r="B3348" s="3" t="str">
        <f>HYPERLINK("http://www.ncbi.nlm.nih.gov/gene/74167","Nudt9")</f>
        <v>Nudt9</v>
      </c>
      <c r="C3348">
        <v>74167</v>
      </c>
      <c r="D3348" t="s">
        <v>6700</v>
      </c>
      <c r="E3348" s="3" t="str">
        <f>HYPERLINK("http://genome.ucsc.edu/cgi-bin/hgTracks?db=mm10&amp;lastVirtModeType=default&amp;lastVirtModeExtraState=&amp;virtModeType=default&amp;virtMode=0&amp;nonVirtPosition=&amp;position=chr5:104046863-104065378","chr5:104046863-104065378")</f>
        <v>chr5:104046863-104065378</v>
      </c>
      <c r="F3348" t="s">
        <v>30</v>
      </c>
      <c r="G3348">
        <v>-0.45647448406260099</v>
      </c>
      <c r="H3348">
        <v>0.178419002172926</v>
      </c>
      <c r="I3348">
        <v>-2.55844096482604</v>
      </c>
      <c r="J3348">
        <v>1.05142670815754E-2</v>
      </c>
      <c r="K3348">
        <v>4.1941182749292802E-2</v>
      </c>
      <c r="L3348" t="s">
        <v>26</v>
      </c>
      <c r="M3348" t="s">
        <v>27</v>
      </c>
      <c r="N3348">
        <v>172.76783494762401</v>
      </c>
      <c r="O3348">
        <v>204.03524244387299</v>
      </c>
      <c r="P3348">
        <v>149.317279325437</v>
      </c>
      <c r="Q3348">
        <v>192.65022091798099</v>
      </c>
      <c r="R3348">
        <v>247.65346024160399</v>
      </c>
      <c r="S3348">
        <v>171.80204617203299</v>
      </c>
      <c r="T3348">
        <v>183.31818862325099</v>
      </c>
      <c r="U3348">
        <v>122.051634515476</v>
      </c>
      <c r="V3348">
        <v>146.395071152962</v>
      </c>
      <c r="W3348">
        <v>145.504223010061</v>
      </c>
    </row>
    <row r="3349" spans="1:23" x14ac:dyDescent="0.2">
      <c r="A3349" t="s">
        <v>6701</v>
      </c>
      <c r="B3349" s="3" t="str">
        <f>HYPERLINK("http://www.ncbi.nlm.nih.gov/gene/320679","Samd12")</f>
        <v>Samd12</v>
      </c>
      <c r="C3349">
        <v>320679</v>
      </c>
      <c r="D3349" t="s">
        <v>6702</v>
      </c>
      <c r="E3349" s="3" t="str">
        <f>HYPERLINK("http://genome.ucsc.edu/cgi-bin/hgTracks?db=mm10&amp;lastVirtModeType=default&amp;lastVirtModeExtraState=&amp;virtModeType=default&amp;virtMode=0&amp;nonVirtPosition=&amp;position=chr15:53461800-53902436","chr15:53461800-53902436")</f>
        <v>chr15:53461800-53902436</v>
      </c>
      <c r="F3349" t="s">
        <v>25</v>
      </c>
      <c r="G3349">
        <v>-0.653495700741756</v>
      </c>
      <c r="H3349">
        <v>0.25545428818184701</v>
      </c>
      <c r="I3349">
        <v>-2.5581707999223702</v>
      </c>
      <c r="J3349">
        <v>1.0522439596593099E-2</v>
      </c>
      <c r="K3349">
        <v>4.1961283096479597E-2</v>
      </c>
      <c r="L3349" t="s">
        <v>26</v>
      </c>
      <c r="M3349" t="s">
        <v>27</v>
      </c>
      <c r="N3349">
        <v>127.80801278864701</v>
      </c>
      <c r="O3349">
        <v>164.73424945693199</v>
      </c>
      <c r="P3349">
        <v>100.113335287434</v>
      </c>
      <c r="Q3349">
        <v>252.22702334059301</v>
      </c>
      <c r="R3349">
        <v>108.466906016997</v>
      </c>
      <c r="S3349">
        <v>133.50881901320699</v>
      </c>
      <c r="T3349">
        <v>114.573867889532</v>
      </c>
      <c r="U3349">
        <v>100.63906705661999</v>
      </c>
      <c r="V3349">
        <v>83.864513122802194</v>
      </c>
      <c r="W3349">
        <v>101.37589308078</v>
      </c>
    </row>
    <row r="3350" spans="1:23" x14ac:dyDescent="0.2">
      <c r="A3350" t="s">
        <v>6703</v>
      </c>
      <c r="B3350" s="3" t="str">
        <f>HYPERLINK("http://www.ncbi.nlm.nih.gov/gene/107242","AI837181")</f>
        <v>AI837181</v>
      </c>
      <c r="C3350">
        <v>107242</v>
      </c>
      <c r="D3350" t="s">
        <v>6704</v>
      </c>
      <c r="E3350" s="3" t="str">
        <f>HYPERLINK("http://genome.ucsc.edu/cgi-bin/hgTracks?db=mm10&amp;lastVirtModeType=default&amp;lastVirtModeExtraState=&amp;virtModeType=default&amp;virtMode=0&amp;nonVirtPosition=&amp;position=chr19:5425143-5427316","chr19:5425143-5427316")</f>
        <v>chr19:5425143-5427316</v>
      </c>
      <c r="F3350" t="s">
        <v>30</v>
      </c>
      <c r="G3350">
        <v>-0.51799693874770603</v>
      </c>
      <c r="H3350">
        <v>0.20250255017527799</v>
      </c>
      <c r="I3350">
        <v>-2.5579773602818801</v>
      </c>
      <c r="J3350">
        <v>1.05282946357495E-2</v>
      </c>
      <c r="K3350">
        <v>4.1972132619029899E-2</v>
      </c>
      <c r="L3350" t="s">
        <v>26</v>
      </c>
      <c r="M3350" t="s">
        <v>27</v>
      </c>
      <c r="N3350">
        <v>95.518704865465494</v>
      </c>
      <c r="O3350">
        <v>113.981707278326</v>
      </c>
      <c r="P3350">
        <v>81.671453055820194</v>
      </c>
      <c r="Q3350">
        <v>115.25605702318499</v>
      </c>
      <c r="R3350">
        <v>114.914239591433</v>
      </c>
      <c r="S3350">
        <v>111.77482522035901</v>
      </c>
      <c r="T3350">
        <v>109.99091317395001</v>
      </c>
      <c r="U3350">
        <v>81.367756343650299</v>
      </c>
      <c r="V3350">
        <v>81.657552251149596</v>
      </c>
      <c r="W3350">
        <v>53.669590454530798</v>
      </c>
    </row>
    <row r="3351" spans="1:23" x14ac:dyDescent="0.2">
      <c r="A3351" t="s">
        <v>6705</v>
      </c>
      <c r="B3351" s="3" t="str">
        <f>HYPERLINK("http://www.ncbi.nlm.nih.gov/gene/212281","Zfp729a")</f>
        <v>Zfp729a</v>
      </c>
      <c r="C3351">
        <v>212281</v>
      </c>
      <c r="D3351" t="s">
        <v>6706</v>
      </c>
      <c r="E3351" s="3" t="str">
        <f>HYPERLINK("http://genome.ucsc.edu/cgi-bin/hgTracks?db=mm10&amp;lastVirtModeType=default&amp;lastVirtModeExtraState=&amp;virtModeType=default&amp;virtMode=0&amp;nonVirtPosition=&amp;position=chr13:67617000-67637753","chr13:67617000-67637753")</f>
        <v>chr13:67617000-67637753</v>
      </c>
      <c r="F3351" t="s">
        <v>25</v>
      </c>
      <c r="G3351">
        <v>-0.56510672499938297</v>
      </c>
      <c r="H3351">
        <v>0.22095161922523601</v>
      </c>
      <c r="I3351">
        <v>-2.5576039088598801</v>
      </c>
      <c r="J3351">
        <v>1.05396064778329E-2</v>
      </c>
      <c r="K3351">
        <v>4.2004723316863099E-2</v>
      </c>
      <c r="L3351" t="s">
        <v>26</v>
      </c>
      <c r="M3351" t="s">
        <v>27</v>
      </c>
      <c r="N3351">
        <v>93.502517489556197</v>
      </c>
      <c r="O3351">
        <v>117.250893305186</v>
      </c>
      <c r="P3351">
        <v>75.691235627834004</v>
      </c>
      <c r="Q3351">
        <v>152.00436505956301</v>
      </c>
      <c r="R3351">
        <v>110.742435513857</v>
      </c>
      <c r="S3351">
        <v>89.005879342137803</v>
      </c>
      <c r="T3351">
        <v>77.910230164881497</v>
      </c>
      <c r="U3351">
        <v>62.096445630680499</v>
      </c>
      <c r="V3351">
        <v>81.657552251149596</v>
      </c>
      <c r="W3351">
        <v>81.100714464624303</v>
      </c>
    </row>
    <row r="3352" spans="1:23" x14ac:dyDescent="0.2">
      <c r="A3352" t="s">
        <v>6707</v>
      </c>
      <c r="B3352" s="3" t="str">
        <f>HYPERLINK("http://www.ncbi.nlm.nih.gov/gene/16847","Lepr")</f>
        <v>Lepr</v>
      </c>
      <c r="C3352">
        <v>16847</v>
      </c>
      <c r="D3352" t="s">
        <v>6708</v>
      </c>
      <c r="E3352" s="3" t="str">
        <f>HYPERLINK("http://genome.ucsc.edu/cgi-bin/hgTracks?db=mm10&amp;lastVirtModeType=default&amp;lastVirtModeExtraState=&amp;virtModeType=default&amp;virtMode=0&amp;nonVirtPosition=&amp;position=chr4:101717406-101815354","chr4:101717406-101815354")</f>
        <v>chr4:101717406-101815354</v>
      </c>
      <c r="F3352" t="s">
        <v>30</v>
      </c>
      <c r="G3352">
        <v>-0.89127028816727705</v>
      </c>
      <c r="H3352">
        <v>0.34857766955971597</v>
      </c>
      <c r="I3352">
        <v>-2.5568771783144602</v>
      </c>
      <c r="J3352">
        <v>1.05616501358039E-2</v>
      </c>
      <c r="K3352">
        <v>4.2063076849144398E-2</v>
      </c>
      <c r="L3352" t="s">
        <v>26</v>
      </c>
      <c r="M3352" t="s">
        <v>27</v>
      </c>
      <c r="N3352">
        <v>14.818552532449299</v>
      </c>
      <c r="O3352">
        <v>22.052840017603799</v>
      </c>
      <c r="P3352">
        <v>9.3928369185834502</v>
      </c>
      <c r="Q3352">
        <v>28.396419846292002</v>
      </c>
      <c r="R3352">
        <v>22.755294968600701</v>
      </c>
      <c r="S3352">
        <v>15.0068052379186</v>
      </c>
      <c r="T3352">
        <v>9.1659094311625307</v>
      </c>
      <c r="U3352">
        <v>8.5650269835421398</v>
      </c>
      <c r="V3352">
        <v>10.2991507343792</v>
      </c>
      <c r="W3352">
        <v>9.5412605252499194</v>
      </c>
    </row>
    <row r="3353" spans="1:23" x14ac:dyDescent="0.2">
      <c r="A3353" t="s">
        <v>6709</v>
      </c>
      <c r="B3353" s="3" t="str">
        <f>HYPERLINK("http://www.ncbi.nlm.nih.gov/gene/19708","Dpf2")</f>
        <v>Dpf2</v>
      </c>
      <c r="C3353">
        <v>19708</v>
      </c>
      <c r="D3353" t="s">
        <v>6710</v>
      </c>
      <c r="E3353" s="3" t="str">
        <f>HYPERLINK("http://genome.ucsc.edu/cgi-bin/hgTracks?db=mm10&amp;lastVirtModeType=default&amp;lastVirtModeExtraState=&amp;virtModeType=default&amp;virtMode=0&amp;nonVirtPosition=&amp;position=chr19:5896515-5912871","chr19:5896515-5912871")</f>
        <v>chr19:5896515-5912871</v>
      </c>
      <c r="F3353" t="s">
        <v>25</v>
      </c>
      <c r="G3353">
        <v>0.385930325396381</v>
      </c>
      <c r="H3353">
        <v>0.15094657340885401</v>
      </c>
      <c r="I3353">
        <v>2.5567345894699498</v>
      </c>
      <c r="J3353">
        <v>1.05659800415053E-2</v>
      </c>
      <c r="K3353">
        <v>4.2063076849144398E-2</v>
      </c>
      <c r="L3353" t="s">
        <v>26</v>
      </c>
      <c r="M3353" t="s">
        <v>27</v>
      </c>
      <c r="N3353">
        <v>265.82601846801902</v>
      </c>
      <c r="O3353">
        <v>226.58322418462501</v>
      </c>
      <c r="P3353">
        <v>295.25811418056497</v>
      </c>
      <c r="Q3353">
        <v>241.64796496648501</v>
      </c>
      <c r="R3353">
        <v>219.20934153085301</v>
      </c>
      <c r="S3353">
        <v>218.89236605653701</v>
      </c>
      <c r="T3353">
        <v>224.564781063482</v>
      </c>
      <c r="U3353">
        <v>374.71993052996902</v>
      </c>
      <c r="V3353">
        <v>278.81272345212301</v>
      </c>
      <c r="W3353">
        <v>302.93502167668498</v>
      </c>
    </row>
    <row r="3354" spans="1:23" x14ac:dyDescent="0.2">
      <c r="A3354" t="s">
        <v>6711</v>
      </c>
      <c r="B3354" s="3" t="str">
        <f>HYPERLINK("http://www.ncbi.nlm.nih.gov/gene/100101806","Srp54c")</f>
        <v>Srp54c</v>
      </c>
      <c r="C3354">
        <v>100101806</v>
      </c>
      <c r="D3354" t="s">
        <v>6712</v>
      </c>
      <c r="E3354" s="3" t="str">
        <f>HYPERLINK("http://genome.ucsc.edu/cgi-bin/hgTracks?db=mm10&amp;lastVirtModeType=default&amp;lastVirtModeExtraState=&amp;virtModeType=default&amp;virtMode=0&amp;nonVirtPosition=&amp;position=chr12:55230477-55263020","chr12:55230477-55263020")</f>
        <v>chr12:55230477-55263020</v>
      </c>
      <c r="F3354" t="s">
        <v>30</v>
      </c>
      <c r="G3354">
        <v>-0.74181720030513798</v>
      </c>
      <c r="H3354">
        <v>0.29014450429866601</v>
      </c>
      <c r="I3354">
        <v>-2.5567163579343002</v>
      </c>
      <c r="J3354">
        <v>1.05665337809031E-2</v>
      </c>
      <c r="K3354">
        <v>4.2063076849144398E-2</v>
      </c>
      <c r="L3354" t="s">
        <v>26</v>
      </c>
      <c r="M3354" t="s">
        <v>27</v>
      </c>
      <c r="N3354">
        <v>37.981422342402503</v>
      </c>
      <c r="O3354">
        <v>53.459410655133297</v>
      </c>
      <c r="P3354">
        <v>26.372931107854399</v>
      </c>
      <c r="Q3354">
        <v>51.2249142325267</v>
      </c>
      <c r="R3354">
        <v>56.888237421501699</v>
      </c>
      <c r="S3354">
        <v>52.265080311371598</v>
      </c>
      <c r="T3354">
        <v>18.3318188623251</v>
      </c>
      <c r="U3354">
        <v>12.847540475313201</v>
      </c>
      <c r="V3354">
        <v>39.7252956897484</v>
      </c>
      <c r="W3354">
        <v>34.587069404030998</v>
      </c>
    </row>
    <row r="3355" spans="1:23" x14ac:dyDescent="0.2">
      <c r="A3355" t="s">
        <v>6711</v>
      </c>
      <c r="B3355" s="3" t="str">
        <f>HYPERLINK("http://www.ncbi.nlm.nih.gov/gene/665155","Srp54b")</f>
        <v>Srp54b</v>
      </c>
      <c r="C3355">
        <v>665155</v>
      </c>
      <c r="D3355" t="s">
        <v>6713</v>
      </c>
      <c r="E3355" s="3" t="str">
        <f>HYPERLINK("http://genome.ucsc.edu/cgi-bin/hgTracks?db=mm10&amp;lastVirtModeType=default&amp;lastVirtModeExtraState=&amp;virtModeType=default&amp;virtMode=0&amp;nonVirtPosition=&amp;position=chr12:55230167-55263480","chr12:55230167-55263480")</f>
        <v>chr12:55230167-55263480</v>
      </c>
      <c r="F3355" t="s">
        <v>30</v>
      </c>
      <c r="G3355">
        <v>-0.74181720030513798</v>
      </c>
      <c r="H3355">
        <v>0.29014450429866601</v>
      </c>
      <c r="I3355">
        <v>-2.5567163579343002</v>
      </c>
      <c r="J3355">
        <v>1.05665337809031E-2</v>
      </c>
      <c r="K3355">
        <v>4.2063076849144398E-2</v>
      </c>
      <c r="L3355" t="s">
        <v>26</v>
      </c>
      <c r="M3355" t="s">
        <v>27</v>
      </c>
      <c r="N3355">
        <v>37.981422342402503</v>
      </c>
      <c r="O3355">
        <v>53.459410655133297</v>
      </c>
      <c r="P3355">
        <v>26.372931107854399</v>
      </c>
      <c r="Q3355">
        <v>51.2249142325267</v>
      </c>
      <c r="R3355">
        <v>56.888237421501699</v>
      </c>
      <c r="S3355">
        <v>52.265080311371598</v>
      </c>
      <c r="T3355">
        <v>18.3318188623251</v>
      </c>
      <c r="U3355">
        <v>12.847540475313201</v>
      </c>
      <c r="V3355">
        <v>39.7252956897484</v>
      </c>
      <c r="W3355">
        <v>34.587069404030998</v>
      </c>
    </row>
    <row r="3356" spans="1:23" x14ac:dyDescent="0.2">
      <c r="A3356" t="s">
        <v>6714</v>
      </c>
      <c r="B3356" s="3" t="str">
        <f>HYPERLINK("http://www.ncbi.nlm.nih.gov/gene/70567","Fra10ac1")</f>
        <v>Fra10ac1</v>
      </c>
      <c r="C3356">
        <v>70567</v>
      </c>
      <c r="D3356" t="s">
        <v>6715</v>
      </c>
      <c r="E3356" s="3" t="str">
        <f>HYPERLINK("http://genome.ucsc.edu/cgi-bin/hgTracks?db=mm10&amp;lastVirtModeType=default&amp;lastVirtModeExtraState=&amp;virtModeType=default&amp;virtMode=0&amp;nonVirtPosition=&amp;position=chr19:38188478-38224132","chr19:38188478-38224132")</f>
        <v>chr19:38188478-38224132</v>
      </c>
      <c r="F3356" t="s">
        <v>25</v>
      </c>
      <c r="G3356">
        <v>0.81753298354498805</v>
      </c>
      <c r="H3356">
        <v>0.31976011677666799</v>
      </c>
      <c r="I3356">
        <v>2.5567071709445899</v>
      </c>
      <c r="J3356">
        <v>1.05668128235772E-2</v>
      </c>
      <c r="K3356">
        <v>4.2063076849144398E-2</v>
      </c>
      <c r="L3356" t="s">
        <v>26</v>
      </c>
      <c r="M3356" t="s">
        <v>27</v>
      </c>
      <c r="N3356">
        <v>55.5087964182691</v>
      </c>
      <c r="O3356">
        <v>34.878789834578498</v>
      </c>
      <c r="P3356">
        <v>70.981301356036994</v>
      </c>
      <c r="Q3356">
        <v>34.521137852354897</v>
      </c>
      <c r="R3356">
        <v>33.3744326206143</v>
      </c>
      <c r="S3356">
        <v>36.740799030766198</v>
      </c>
      <c r="T3356">
        <v>41.246592440231403</v>
      </c>
      <c r="U3356">
        <v>145.60545872021601</v>
      </c>
      <c r="V3356">
        <v>43.403563809169597</v>
      </c>
      <c r="W3356">
        <v>53.669590454530798</v>
      </c>
    </row>
    <row r="3357" spans="1:23" x14ac:dyDescent="0.2">
      <c r="A3357" t="s">
        <v>6716</v>
      </c>
      <c r="B3357" s="3" t="str">
        <f>HYPERLINK("http://www.ncbi.nlm.nih.gov/gene/19094","Mapk11")</f>
        <v>Mapk11</v>
      </c>
      <c r="C3357">
        <v>19094</v>
      </c>
      <c r="D3357" t="s">
        <v>6717</v>
      </c>
      <c r="E3357" s="3" t="str">
        <f>HYPERLINK("http://genome.ucsc.edu/cgi-bin/hgTracks?db=mm10&amp;lastVirtModeType=default&amp;lastVirtModeExtraState=&amp;virtModeType=default&amp;virtMode=0&amp;nonVirtPosition=&amp;position=chr15:89142483-89149606","chr15:89142483-89149606")</f>
        <v>chr15:89142483-89149606</v>
      </c>
      <c r="F3357" t="s">
        <v>25</v>
      </c>
      <c r="G3357">
        <v>0.65129610100525803</v>
      </c>
      <c r="H3357">
        <v>0.25483761979094699</v>
      </c>
      <c r="I3357">
        <v>2.5557298076302102</v>
      </c>
      <c r="J3357">
        <v>1.05965364084871E-2</v>
      </c>
      <c r="K3357">
        <v>4.2168861529287102E-2</v>
      </c>
      <c r="L3357" t="s">
        <v>26</v>
      </c>
      <c r="M3357" t="s">
        <v>27</v>
      </c>
      <c r="N3357">
        <v>85.304860239273097</v>
      </c>
      <c r="O3357">
        <v>62.031114954500801</v>
      </c>
      <c r="P3357">
        <v>102.760169202852</v>
      </c>
      <c r="Q3357">
        <v>33.964345306349202</v>
      </c>
      <c r="R3357">
        <v>72.437688983378806</v>
      </c>
      <c r="S3357">
        <v>79.691310573774501</v>
      </c>
      <c r="T3357">
        <v>87.076139596044001</v>
      </c>
      <c r="U3357">
        <v>117.769121023704</v>
      </c>
      <c r="V3357">
        <v>100.04889284825499</v>
      </c>
      <c r="W3357">
        <v>106.14652334340499</v>
      </c>
    </row>
    <row r="3358" spans="1:23" x14ac:dyDescent="0.2">
      <c r="A3358" t="s">
        <v>6718</v>
      </c>
      <c r="B3358" s="3" t="str">
        <f>HYPERLINK("http://www.ncbi.nlm.nih.gov/gene/210998","Fam91a1")</f>
        <v>Fam91a1</v>
      </c>
      <c r="C3358">
        <v>210998</v>
      </c>
      <c r="D3358" t="s">
        <v>6719</v>
      </c>
      <c r="E3358" s="3" t="str">
        <f>HYPERLINK("http://genome.ucsc.edu/cgi-bin/hgTracks?db=mm10&amp;lastVirtModeType=default&amp;lastVirtModeExtraState=&amp;virtModeType=default&amp;virtMode=0&amp;nonVirtPosition=&amp;position=chr15:58415467-58457801","chr15:58415467-58457801")</f>
        <v>chr15:58415467-58457801</v>
      </c>
      <c r="F3358" t="s">
        <v>30</v>
      </c>
      <c r="G3358">
        <v>-0.32120357462211502</v>
      </c>
      <c r="H3358">
        <v>0.12569570220583101</v>
      </c>
      <c r="I3358">
        <v>-2.5554061832291799</v>
      </c>
      <c r="J3358">
        <v>1.06063948527069E-2</v>
      </c>
      <c r="K3358">
        <v>4.2195553616339303E-2</v>
      </c>
      <c r="L3358" t="s">
        <v>26</v>
      </c>
      <c r="M3358" t="s">
        <v>27</v>
      </c>
      <c r="N3358">
        <v>611.20226585670002</v>
      </c>
      <c r="O3358">
        <v>695.80761016477595</v>
      </c>
      <c r="P3358">
        <v>547.74825762564296</v>
      </c>
      <c r="Q3358">
        <v>637.52746517655498</v>
      </c>
      <c r="R3358">
        <v>695.93277112303701</v>
      </c>
      <c r="S3358">
        <v>753.96259419473699</v>
      </c>
      <c r="T3358">
        <v>472.04433570486998</v>
      </c>
      <c r="U3358">
        <v>593.12811861029297</v>
      </c>
      <c r="V3358">
        <v>610.59250782391098</v>
      </c>
      <c r="W3358">
        <v>515.22806836349605</v>
      </c>
    </row>
    <row r="3359" spans="1:23" x14ac:dyDescent="0.2">
      <c r="A3359" t="s">
        <v>6720</v>
      </c>
      <c r="B3359" s="3" t="str">
        <f>HYPERLINK("http://www.ncbi.nlm.nih.gov/gene/15571","Elavl3")</f>
        <v>Elavl3</v>
      </c>
      <c r="C3359">
        <v>15571</v>
      </c>
      <c r="D3359" t="s">
        <v>6721</v>
      </c>
      <c r="E3359" s="3" t="str">
        <f>HYPERLINK("http://genome.ucsc.edu/cgi-bin/hgTracks?db=mm10&amp;lastVirtModeType=default&amp;lastVirtModeExtraState=&amp;virtModeType=default&amp;virtMode=0&amp;nonVirtPosition=&amp;position=chr9:22015004-22052023","chr9:22015004-22052023")</f>
        <v>chr9:22015004-22052023</v>
      </c>
      <c r="F3359" t="s">
        <v>25</v>
      </c>
      <c r="G3359">
        <v>-0.417773414598959</v>
      </c>
      <c r="H3359">
        <v>0.16349712592008001</v>
      </c>
      <c r="I3359">
        <v>-2.5552339972212801</v>
      </c>
      <c r="J3359">
        <v>1.0611643411934799E-2</v>
      </c>
      <c r="K3359">
        <v>4.2203895731873803E-2</v>
      </c>
      <c r="L3359" t="s">
        <v>26</v>
      </c>
      <c r="M3359" t="s">
        <v>27</v>
      </c>
      <c r="N3359">
        <v>311.17648047474199</v>
      </c>
      <c r="O3359">
        <v>368.73948068812501</v>
      </c>
      <c r="P3359">
        <v>268.00423031470501</v>
      </c>
      <c r="Q3359">
        <v>295.65684192904001</v>
      </c>
      <c r="R3359">
        <v>424.00699624825899</v>
      </c>
      <c r="S3359">
        <v>386.55460388707502</v>
      </c>
      <c r="T3359">
        <v>206.23296220115699</v>
      </c>
      <c r="U3359">
        <v>297.63468767808899</v>
      </c>
      <c r="V3359">
        <v>269.98487996551302</v>
      </c>
      <c r="W3359">
        <v>298.16439141405999</v>
      </c>
    </row>
    <row r="3360" spans="1:23" x14ac:dyDescent="0.2">
      <c r="A3360" t="s">
        <v>6722</v>
      </c>
      <c r="B3360" s="3" t="str">
        <f>HYPERLINK("http://www.ncbi.nlm.nih.gov/gene/19363","Rad51b")</f>
        <v>Rad51b</v>
      </c>
      <c r="C3360">
        <v>19363</v>
      </c>
      <c r="D3360" t="s">
        <v>6723</v>
      </c>
      <c r="E3360" s="3" t="str">
        <f>HYPERLINK("http://genome.ucsc.edu/cgi-bin/hgTracks?db=mm10&amp;lastVirtModeType=default&amp;lastVirtModeExtraState=&amp;virtModeType=default&amp;virtMode=0&amp;nonVirtPosition=&amp;position=chr12:79297350-79508654","chr12:79297350-79508654")</f>
        <v>chr12:79297350-79508654</v>
      </c>
      <c r="F3360" t="s">
        <v>30</v>
      </c>
      <c r="G3360">
        <v>0.93702441157757599</v>
      </c>
      <c r="H3360">
        <v>0.36680566171940998</v>
      </c>
      <c r="I3360">
        <v>2.5545527492276201</v>
      </c>
      <c r="J3360">
        <v>1.0632431810729599E-2</v>
      </c>
      <c r="K3360">
        <v>4.22646744106321E-2</v>
      </c>
      <c r="L3360" t="s">
        <v>26</v>
      </c>
      <c r="M3360" t="s">
        <v>27</v>
      </c>
      <c r="N3360">
        <v>19.207326628833702</v>
      </c>
      <c r="O3360">
        <v>9.2920220001729792</v>
      </c>
      <c r="P3360">
        <v>26.643805100329399</v>
      </c>
      <c r="Q3360">
        <v>5.0111329140515304</v>
      </c>
      <c r="R3360">
        <v>12.5154122327304</v>
      </c>
      <c r="S3360">
        <v>10.349520853736999</v>
      </c>
      <c r="T3360">
        <v>54.995456586975202</v>
      </c>
      <c r="U3360">
        <v>10.7062837294277</v>
      </c>
      <c r="V3360">
        <v>20.5983014687584</v>
      </c>
      <c r="W3360">
        <v>20.275178616156101</v>
      </c>
    </row>
    <row r="3361" spans="1:23" x14ac:dyDescent="0.2">
      <c r="A3361" t="s">
        <v>6724</v>
      </c>
      <c r="B3361" s="3" t="str">
        <f>HYPERLINK("http://www.ncbi.nlm.nih.gov/gene/29873","Cspg5")</f>
        <v>Cspg5</v>
      </c>
      <c r="C3361">
        <v>29873</v>
      </c>
      <c r="D3361" t="s">
        <v>6725</v>
      </c>
      <c r="E3361" s="3" t="str">
        <f>HYPERLINK("http://genome.ucsc.edu/cgi-bin/hgTracks?db=mm10&amp;lastVirtModeType=default&amp;lastVirtModeExtraState=&amp;virtModeType=default&amp;virtMode=0&amp;nonVirtPosition=&amp;position=chr9:110243782-110262576","chr9:110243782-110262576")</f>
        <v>chr9:110243782-110262576</v>
      </c>
      <c r="F3361" t="s">
        <v>30</v>
      </c>
      <c r="G3361">
        <v>-0.62284595504923701</v>
      </c>
      <c r="H3361">
        <v>0.243820523890487</v>
      </c>
      <c r="I3361">
        <v>-2.5545263586136402</v>
      </c>
      <c r="J3361">
        <v>1.06332378529923E-2</v>
      </c>
      <c r="K3361">
        <v>4.22646744106321E-2</v>
      </c>
      <c r="L3361" t="s">
        <v>26</v>
      </c>
      <c r="M3361" t="s">
        <v>27</v>
      </c>
      <c r="N3361">
        <v>3851.0325704607299</v>
      </c>
      <c r="O3361">
        <v>4926.1162029682901</v>
      </c>
      <c r="P3361">
        <v>3044.7198460800601</v>
      </c>
      <c r="Q3361">
        <v>7780.0622453380001</v>
      </c>
      <c r="R3361">
        <v>3549.8260151017098</v>
      </c>
      <c r="S3361">
        <v>3448.4603484651502</v>
      </c>
      <c r="T3361">
        <v>3088.9114783017699</v>
      </c>
      <c r="U3361">
        <v>3586.6050493582702</v>
      </c>
      <c r="V3361">
        <v>2754.2871678225601</v>
      </c>
      <c r="W3361">
        <v>2749.07568883763</v>
      </c>
    </row>
    <row r="3362" spans="1:23" x14ac:dyDescent="0.2">
      <c r="A3362" t="s">
        <v>6726</v>
      </c>
      <c r="B3362" s="3" t="str">
        <f>HYPERLINK("http://www.ncbi.nlm.nih.gov/gene/67732","Iah1")</f>
        <v>Iah1</v>
      </c>
      <c r="C3362">
        <v>67732</v>
      </c>
      <c r="D3362" t="s">
        <v>6727</v>
      </c>
      <c r="E3362" s="3" t="str">
        <f>HYPERLINK("http://genome.ucsc.edu/cgi-bin/hgTracks?db=mm10&amp;lastVirtModeType=default&amp;lastVirtModeExtraState=&amp;virtModeType=default&amp;virtMode=0&amp;nonVirtPosition=&amp;position=chr12:21316391-21323607","chr12:21316391-21323607")</f>
        <v>chr12:21316391-21323607</v>
      </c>
      <c r="F3362" t="s">
        <v>30</v>
      </c>
      <c r="G3362">
        <v>-0.53431984588557402</v>
      </c>
      <c r="H3362">
        <v>0.20919675248601399</v>
      </c>
      <c r="I3362">
        <v>-2.5541498112944998</v>
      </c>
      <c r="J3362">
        <v>1.0644744569106799E-2</v>
      </c>
      <c r="K3362">
        <v>4.22978559421094E-2</v>
      </c>
      <c r="L3362" t="s">
        <v>26</v>
      </c>
      <c r="M3362" t="s">
        <v>27</v>
      </c>
      <c r="N3362">
        <v>65.021069877676496</v>
      </c>
      <c r="O3362">
        <v>80.359934382077995</v>
      </c>
      <c r="P3362">
        <v>53.5169214993754</v>
      </c>
      <c r="Q3362">
        <v>86.302844630887407</v>
      </c>
      <c r="R3362">
        <v>86.4701208806826</v>
      </c>
      <c r="S3362">
        <v>68.306837634663907</v>
      </c>
      <c r="T3362">
        <v>54.995456586975202</v>
      </c>
      <c r="U3362">
        <v>47.107648409481797</v>
      </c>
      <c r="V3362">
        <v>55.909675415201498</v>
      </c>
      <c r="W3362">
        <v>56.054905585843301</v>
      </c>
    </row>
    <row r="3363" spans="1:23" x14ac:dyDescent="0.2">
      <c r="A3363" t="s">
        <v>6728</v>
      </c>
      <c r="B3363" s="3" t="str">
        <f>HYPERLINK("http://www.ncbi.nlm.nih.gov/gene/16633","Klra2")</f>
        <v>Klra2</v>
      </c>
      <c r="C3363">
        <v>16633</v>
      </c>
      <c r="D3363" t="s">
        <v>6729</v>
      </c>
      <c r="E3363" s="3" t="str">
        <f>HYPERLINK("http://genome.ucsc.edu/cgi-bin/hgTracks?db=mm10&amp;lastVirtModeType=default&amp;lastVirtModeExtraState=&amp;virtModeType=default&amp;virtMode=0&amp;nonVirtPosition=&amp;position=chr6:131219234-131247362","chr6:131219234-131247362")</f>
        <v>chr6:131219234-131247362</v>
      </c>
      <c r="F3363" t="s">
        <v>25</v>
      </c>
      <c r="G3363">
        <v>1.0026642866616899</v>
      </c>
      <c r="H3363">
        <v>0.392627488304019</v>
      </c>
      <c r="I3363">
        <v>2.55372921288004</v>
      </c>
      <c r="J3363">
        <v>1.06576105111188E-2</v>
      </c>
      <c r="K3363">
        <v>4.2336417192047497E-2</v>
      </c>
      <c r="L3363" t="s">
        <v>26</v>
      </c>
      <c r="M3363" t="s">
        <v>27</v>
      </c>
      <c r="N3363">
        <v>25.404810583600501</v>
      </c>
      <c r="O3363">
        <v>10.133227530685399</v>
      </c>
      <c r="P3363">
        <v>36.858497873286801</v>
      </c>
      <c r="Q3363">
        <v>17.260568926177498</v>
      </c>
      <c r="R3363">
        <v>7.9643532390102401</v>
      </c>
      <c r="S3363">
        <v>5.1747604268684801</v>
      </c>
      <c r="T3363">
        <v>96.242049027206505</v>
      </c>
      <c r="U3363">
        <v>14.9887972211987</v>
      </c>
      <c r="V3363">
        <v>24.276569588179601</v>
      </c>
      <c r="W3363">
        <v>11.926575656562401</v>
      </c>
    </row>
    <row r="3364" spans="1:23" x14ac:dyDescent="0.2">
      <c r="A3364" t="s">
        <v>6730</v>
      </c>
      <c r="B3364" s="3" t="str">
        <f>HYPERLINK("http://www.ncbi.nlm.nih.gov/gene/67739","Slc48a1")</f>
        <v>Slc48a1</v>
      </c>
      <c r="C3364">
        <v>67739</v>
      </c>
      <c r="D3364" t="s">
        <v>6731</v>
      </c>
      <c r="E3364" s="3" t="str">
        <f>HYPERLINK("http://genome.ucsc.edu/cgi-bin/hgTracks?db=mm10&amp;lastVirtModeType=default&amp;lastVirtModeExtraState=&amp;virtModeType=default&amp;virtMode=0&amp;nonVirtPosition=&amp;position=chr15:97784364-97792692","chr15:97784364-97792692")</f>
        <v>chr15:97784364-97792692</v>
      </c>
      <c r="F3364" t="s">
        <v>30</v>
      </c>
      <c r="G3364">
        <v>-0.45597226868228502</v>
      </c>
      <c r="H3364">
        <v>0.17859078442339499</v>
      </c>
      <c r="I3364">
        <v>-2.5531679596707901</v>
      </c>
      <c r="J3364">
        <v>1.0674800566404101E-2</v>
      </c>
      <c r="K3364">
        <v>4.23910063749139E-2</v>
      </c>
      <c r="L3364" t="s">
        <v>26</v>
      </c>
      <c r="M3364" t="s">
        <v>27</v>
      </c>
      <c r="N3364">
        <v>220.59890045577799</v>
      </c>
      <c r="O3364">
        <v>264.53216406975901</v>
      </c>
      <c r="P3364">
        <v>187.64895274529201</v>
      </c>
      <c r="Q3364">
        <v>327.95080959737197</v>
      </c>
      <c r="R3364">
        <v>252.96302906761099</v>
      </c>
      <c r="S3364">
        <v>212.682653544294</v>
      </c>
      <c r="T3364">
        <v>164.98636976092499</v>
      </c>
      <c r="U3364">
        <v>214.12567458855401</v>
      </c>
      <c r="V3364">
        <v>204.51170743981601</v>
      </c>
      <c r="W3364">
        <v>166.972059191874</v>
      </c>
    </row>
    <row r="3365" spans="1:23" x14ac:dyDescent="0.2">
      <c r="A3365" t="s">
        <v>6732</v>
      </c>
      <c r="B3365" s="3" t="str">
        <f>HYPERLINK("http://www.ncbi.nlm.nih.gov/gene/107528","Magee1")</f>
        <v>Magee1</v>
      </c>
      <c r="C3365">
        <v>107528</v>
      </c>
      <c r="D3365" t="s">
        <v>6733</v>
      </c>
      <c r="E3365" s="3" t="str">
        <f>HYPERLINK("http://genome.ucsc.edu/cgi-bin/hgTracks?db=mm10&amp;lastVirtModeType=default&amp;lastVirtModeExtraState=&amp;virtModeType=default&amp;virtMode=0&amp;nonVirtPosition=&amp;position=chrX:105120377-105123961","chrX:105120377-105123961")</f>
        <v>chrX:105120377-105123961</v>
      </c>
      <c r="F3365" t="s">
        <v>30</v>
      </c>
      <c r="G3365">
        <v>-0.36118908103668101</v>
      </c>
      <c r="H3365">
        <v>0.14147223906301501</v>
      </c>
      <c r="I3365">
        <v>-2.5530738993662201</v>
      </c>
      <c r="J3365">
        <v>1.06776838550209E-2</v>
      </c>
      <c r="K3365">
        <v>4.23910063749139E-2</v>
      </c>
      <c r="L3365" t="s">
        <v>26</v>
      </c>
      <c r="M3365" t="s">
        <v>27</v>
      </c>
      <c r="N3365">
        <v>345.40603626446801</v>
      </c>
      <c r="O3365">
        <v>396.07517499417099</v>
      </c>
      <c r="P3365">
        <v>307.40418221719102</v>
      </c>
      <c r="Q3365">
        <v>449.33158462661999</v>
      </c>
      <c r="R3365">
        <v>390.63256362764503</v>
      </c>
      <c r="S3365">
        <v>348.26137672824802</v>
      </c>
      <c r="T3365">
        <v>297.89205651278201</v>
      </c>
      <c r="U3365">
        <v>357.589876562884</v>
      </c>
      <c r="V3365">
        <v>279.548377076007</v>
      </c>
      <c r="W3365">
        <v>294.58641871709102</v>
      </c>
    </row>
    <row r="3366" spans="1:23" x14ac:dyDescent="0.2">
      <c r="A3366" t="s">
        <v>6734</v>
      </c>
      <c r="B3366" s="3" t="str">
        <f>HYPERLINK("http://www.ncbi.nlm.nih.gov/gene/14807","Grik3")</f>
        <v>Grik3</v>
      </c>
      <c r="C3366">
        <v>14807</v>
      </c>
      <c r="D3366" t="s">
        <v>6735</v>
      </c>
      <c r="E3366" s="3" t="str">
        <f>HYPERLINK("http://genome.ucsc.edu/cgi-bin/hgTracks?db=mm10&amp;lastVirtModeType=default&amp;lastVirtModeExtraState=&amp;virtModeType=default&amp;virtMode=0&amp;nonVirtPosition=&amp;position=chr4:125490830-125714173","chr4:125490830-125714173")</f>
        <v>chr4:125490830-125714173</v>
      </c>
      <c r="F3366" t="s">
        <v>30</v>
      </c>
      <c r="G3366">
        <v>0.47070590568655102</v>
      </c>
      <c r="H3366">
        <v>0.18444978624008901</v>
      </c>
      <c r="I3366">
        <v>2.5519460622950101</v>
      </c>
      <c r="J3366">
        <v>1.07123101138446E-2</v>
      </c>
      <c r="K3366">
        <v>4.2514065131083099E-2</v>
      </c>
      <c r="L3366" t="s">
        <v>26</v>
      </c>
      <c r="M3366" t="s">
        <v>27</v>
      </c>
      <c r="N3366">
        <v>1351.8915440001099</v>
      </c>
      <c r="O3366">
        <v>1096.6794629717599</v>
      </c>
      <c r="P3366">
        <v>1543.30060477138</v>
      </c>
      <c r="Q3366">
        <v>1139.7543416737201</v>
      </c>
      <c r="R3366">
        <v>807.43371646918104</v>
      </c>
      <c r="S3366">
        <v>1342.8503307723699</v>
      </c>
      <c r="T3366">
        <v>1182.40231661997</v>
      </c>
      <c r="U3366">
        <v>1698.01659948723</v>
      </c>
      <c r="V3366">
        <v>1753.0625857161201</v>
      </c>
      <c r="W3366">
        <v>1539.7209172622099</v>
      </c>
    </row>
    <row r="3367" spans="1:23" x14ac:dyDescent="0.2">
      <c r="A3367" t="s">
        <v>6736</v>
      </c>
      <c r="B3367" s="3" t="str">
        <f>HYPERLINK("http://www.ncbi.nlm.nih.gov/gene/58991","Ghrl")</f>
        <v>Ghrl</v>
      </c>
      <c r="C3367">
        <v>58991</v>
      </c>
      <c r="D3367" t="s">
        <v>6737</v>
      </c>
      <c r="E3367" s="3" t="str">
        <f>HYPERLINK("http://genome.ucsc.edu/cgi-bin/hgTracks?db=mm10&amp;lastVirtModeType=default&amp;lastVirtModeExtraState=&amp;virtModeType=default&amp;virtMode=0&amp;nonVirtPosition=&amp;position=chr6:113716118-113719454","chr6:113716118-113719454")</f>
        <v>chr6:113716118-113719454</v>
      </c>
      <c r="F3367" t="s">
        <v>25</v>
      </c>
      <c r="G3367">
        <v>0.96459407828129795</v>
      </c>
      <c r="H3367">
        <v>0.37801118842374698</v>
      </c>
      <c r="I3367">
        <v>2.5517606563538999</v>
      </c>
      <c r="J3367">
        <v>1.0718011894769E-2</v>
      </c>
      <c r="K3367">
        <v>4.2514065131083099E-2</v>
      </c>
      <c r="L3367" t="s">
        <v>26</v>
      </c>
      <c r="M3367" t="s">
        <v>27</v>
      </c>
      <c r="N3367">
        <v>13.084752080660399</v>
      </c>
      <c r="O3367">
        <v>6.5070763460988896</v>
      </c>
      <c r="P3367">
        <v>18.018008881581501</v>
      </c>
      <c r="Q3367">
        <v>3.8975478220400701</v>
      </c>
      <c r="R3367">
        <v>6.8265884905801997</v>
      </c>
      <c r="S3367">
        <v>8.7970927256764107</v>
      </c>
      <c r="T3367">
        <v>9.1659094311625307</v>
      </c>
      <c r="U3367">
        <v>34.260107934168602</v>
      </c>
      <c r="V3367">
        <v>9.5634971104949908</v>
      </c>
      <c r="W3367">
        <v>19.0825210504998</v>
      </c>
    </row>
    <row r="3368" spans="1:23" x14ac:dyDescent="0.2">
      <c r="A3368" t="s">
        <v>6738</v>
      </c>
      <c r="B3368" s="3" t="str">
        <f>HYPERLINK("http://www.ncbi.nlm.nih.gov/gene/76574","Mfsd2a")</f>
        <v>Mfsd2a</v>
      </c>
      <c r="C3368">
        <v>76574</v>
      </c>
      <c r="D3368" t="s">
        <v>6739</v>
      </c>
      <c r="E3368" s="3" t="str">
        <f>HYPERLINK("http://genome.ucsc.edu/cgi-bin/hgTracks?db=mm10&amp;lastVirtModeType=default&amp;lastVirtModeExtraState=&amp;virtModeType=default&amp;virtMode=0&amp;nonVirtPosition=&amp;position=chr4:122946850-122961188","chr4:122946850-122961188")</f>
        <v>chr4:122946850-122961188</v>
      </c>
      <c r="F3368" t="s">
        <v>25</v>
      </c>
      <c r="G3368">
        <v>-0.52899313665943803</v>
      </c>
      <c r="H3368">
        <v>0.20730566446830401</v>
      </c>
      <c r="I3368">
        <v>-2.5517543768820601</v>
      </c>
      <c r="J3368">
        <v>1.07182050543303E-2</v>
      </c>
      <c r="K3368">
        <v>4.2514065131083099E-2</v>
      </c>
      <c r="L3368" t="s">
        <v>26</v>
      </c>
      <c r="M3368" t="s">
        <v>27</v>
      </c>
      <c r="N3368">
        <v>159.37984671825299</v>
      </c>
      <c r="O3368">
        <v>196.937202302331</v>
      </c>
      <c r="P3368">
        <v>131.21183003019499</v>
      </c>
      <c r="Q3368">
        <v>244.98872024251901</v>
      </c>
      <c r="R3368">
        <v>154.35675087034099</v>
      </c>
      <c r="S3368">
        <v>191.466135794134</v>
      </c>
      <c r="T3368">
        <v>137.48864146743799</v>
      </c>
      <c r="U3368">
        <v>107.062837294277</v>
      </c>
      <c r="V3368">
        <v>166.99337262172</v>
      </c>
      <c r="W3368">
        <v>113.30246873734301</v>
      </c>
    </row>
    <row r="3369" spans="1:23" x14ac:dyDescent="0.2">
      <c r="A3369" t="s">
        <v>6740</v>
      </c>
      <c r="B3369" s="3" t="str">
        <f>HYPERLINK("http://www.ncbi.nlm.nih.gov/gene/271813","Agbl2")</f>
        <v>Agbl2</v>
      </c>
      <c r="C3369">
        <v>271813</v>
      </c>
      <c r="D3369" t="s">
        <v>6741</v>
      </c>
      <c r="E3369" s="3" t="str">
        <f>HYPERLINK("http://genome.ucsc.edu/cgi-bin/hgTracks?db=mm10&amp;lastVirtModeType=default&amp;lastVirtModeExtraState=&amp;virtModeType=default&amp;virtMode=0&amp;nonVirtPosition=&amp;position=chr2:90782743-90816231","chr2:90782743-90816231")</f>
        <v>chr2:90782743-90816231</v>
      </c>
      <c r="F3369" t="s">
        <v>30</v>
      </c>
      <c r="G3369">
        <v>-0.77489821809966297</v>
      </c>
      <c r="H3369">
        <v>0.30369847253823101</v>
      </c>
      <c r="I3369">
        <v>-2.5515380819115401</v>
      </c>
      <c r="J3369">
        <v>1.07248602809143E-2</v>
      </c>
      <c r="K3369">
        <v>4.2521442213044797E-2</v>
      </c>
      <c r="L3369" t="s">
        <v>26</v>
      </c>
      <c r="M3369" t="s">
        <v>27</v>
      </c>
      <c r="N3369">
        <v>28.055881293657301</v>
      </c>
      <c r="O3369">
        <v>37.2742242371001</v>
      </c>
      <c r="P3369">
        <v>21.142124086075199</v>
      </c>
      <c r="Q3369">
        <v>31.737175122326299</v>
      </c>
      <c r="R3369">
        <v>32.995177704470997</v>
      </c>
      <c r="S3369">
        <v>47.090319884503103</v>
      </c>
      <c r="T3369">
        <v>27.497728293487601</v>
      </c>
      <c r="U3369">
        <v>23.553824204740899</v>
      </c>
      <c r="V3369">
        <v>13.241765229916099</v>
      </c>
      <c r="W3369">
        <v>20.275178616156101</v>
      </c>
    </row>
    <row r="3370" spans="1:23" x14ac:dyDescent="0.2">
      <c r="A3370" t="s">
        <v>6742</v>
      </c>
      <c r="B3370" s="3" t="str">
        <f>HYPERLINK("http://www.ncbi.nlm.nih.gov/gene/70584","Pak4")</f>
        <v>Pak4</v>
      </c>
      <c r="C3370">
        <v>70584</v>
      </c>
      <c r="D3370" t="s">
        <v>6743</v>
      </c>
      <c r="E3370" s="3" t="str">
        <f>HYPERLINK("http://genome.ucsc.edu/cgi-bin/hgTracks?db=mm10&amp;lastVirtModeType=default&amp;lastVirtModeExtraState=&amp;virtModeType=default&amp;virtMode=0&amp;nonVirtPosition=&amp;position=chr7:28558818-28598184","chr7:28558818-28598184")</f>
        <v>chr7:28558818-28598184</v>
      </c>
      <c r="F3370" t="s">
        <v>25</v>
      </c>
      <c r="G3370">
        <v>0.50487524346882595</v>
      </c>
      <c r="H3370">
        <v>0.19787486067315299</v>
      </c>
      <c r="I3370">
        <v>2.5514875500166299</v>
      </c>
      <c r="J3370">
        <v>1.07264156370447E-2</v>
      </c>
      <c r="K3370">
        <v>4.2521442213044797E-2</v>
      </c>
      <c r="L3370" t="s">
        <v>26</v>
      </c>
      <c r="M3370" t="s">
        <v>27</v>
      </c>
      <c r="N3370">
        <v>127.659443843163</v>
      </c>
      <c r="O3370">
        <v>100.73988330740799</v>
      </c>
      <c r="P3370">
        <v>147.84911424497801</v>
      </c>
      <c r="Q3370">
        <v>79.621334078818705</v>
      </c>
      <c r="R3370">
        <v>90.641924958259395</v>
      </c>
      <c r="S3370">
        <v>131.95639088514599</v>
      </c>
      <c r="T3370">
        <v>160.40341504534399</v>
      </c>
      <c r="U3370">
        <v>141.32294522844501</v>
      </c>
      <c r="V3370">
        <v>134.624613170814</v>
      </c>
      <c r="W3370">
        <v>155.04548353531101</v>
      </c>
    </row>
    <row r="3371" spans="1:23" x14ac:dyDescent="0.2">
      <c r="A3371" t="s">
        <v>6744</v>
      </c>
      <c r="B3371" s="3" t="str">
        <f>HYPERLINK("http://www.ncbi.nlm.nih.gov/gene/110094","Phka2")</f>
        <v>Phka2</v>
      </c>
      <c r="C3371">
        <v>110094</v>
      </c>
      <c r="D3371" t="s">
        <v>6745</v>
      </c>
      <c r="E3371" s="3" t="str">
        <f>HYPERLINK("http://genome.ucsc.edu/cgi-bin/hgTracks?db=mm10&amp;lastVirtModeType=default&amp;lastVirtModeExtraState=&amp;virtModeType=default&amp;virtMode=0&amp;nonVirtPosition=&amp;position=chrX:160502433-160591722","chrX:160502433-160591722")</f>
        <v>chrX:160502433-160591722</v>
      </c>
      <c r="F3371" t="s">
        <v>30</v>
      </c>
      <c r="G3371">
        <v>0.41788876133820702</v>
      </c>
      <c r="H3371">
        <v>0.16383634614701101</v>
      </c>
      <c r="I3371">
        <v>2.5506474672185</v>
      </c>
      <c r="J3371">
        <v>1.0752302524088399E-2</v>
      </c>
      <c r="K3371">
        <v>4.2598932095303597E-2</v>
      </c>
      <c r="L3371" t="s">
        <v>26</v>
      </c>
      <c r="M3371" t="s">
        <v>27</v>
      </c>
      <c r="N3371">
        <v>132.94924127156199</v>
      </c>
      <c r="O3371">
        <v>109.96091007250099</v>
      </c>
      <c r="P3371">
        <v>150.190489670857</v>
      </c>
      <c r="Q3371">
        <v>108.01775392511099</v>
      </c>
      <c r="R3371">
        <v>105.43286668784999</v>
      </c>
      <c r="S3371">
        <v>116.432109604541</v>
      </c>
      <c r="T3371">
        <v>174.152279192088</v>
      </c>
      <c r="U3371">
        <v>115.627864277819</v>
      </c>
      <c r="V3371">
        <v>146.395071152962</v>
      </c>
      <c r="W3371">
        <v>164.58674406056099</v>
      </c>
    </row>
    <row r="3372" spans="1:23" x14ac:dyDescent="0.2">
      <c r="A3372" t="s">
        <v>6746</v>
      </c>
      <c r="B3372" s="3" t="str">
        <f>HYPERLINK("http://www.ncbi.nlm.nih.gov/gene/218544","Sgtb")</f>
        <v>Sgtb</v>
      </c>
      <c r="C3372">
        <v>218544</v>
      </c>
      <c r="D3372" t="s">
        <v>6747</v>
      </c>
      <c r="E3372" s="3" t="str">
        <f>HYPERLINK("http://genome.ucsc.edu/cgi-bin/hgTracks?db=mm10&amp;lastVirtModeType=default&amp;lastVirtModeExtraState=&amp;virtModeType=default&amp;virtMode=0&amp;nonVirtPosition=&amp;position=chr13:104109789-104141441","chr13:104109789-104141441")</f>
        <v>chr13:104109789-104141441</v>
      </c>
      <c r="F3372" t="s">
        <v>30</v>
      </c>
      <c r="G3372">
        <v>-0.56103769624844002</v>
      </c>
      <c r="H3372">
        <v>0.219961920474078</v>
      </c>
      <c r="I3372">
        <v>-2.5506128289808099</v>
      </c>
      <c r="J3372">
        <v>1.07533710817708E-2</v>
      </c>
      <c r="K3372">
        <v>4.2598932095303597E-2</v>
      </c>
      <c r="L3372" t="s">
        <v>26</v>
      </c>
      <c r="M3372" t="s">
        <v>27</v>
      </c>
      <c r="N3372">
        <v>121.062179290944</v>
      </c>
      <c r="O3372">
        <v>151.32328066967801</v>
      </c>
      <c r="P3372">
        <v>98.366353256893007</v>
      </c>
      <c r="Q3372">
        <v>121.380775029248</v>
      </c>
      <c r="R3372">
        <v>189.24820315552901</v>
      </c>
      <c r="S3372">
        <v>143.34086382425701</v>
      </c>
      <c r="T3372">
        <v>82.493184880462707</v>
      </c>
      <c r="U3372">
        <v>104.92158054839101</v>
      </c>
      <c r="V3372">
        <v>77.243630507844202</v>
      </c>
      <c r="W3372">
        <v>128.80701709087401</v>
      </c>
    </row>
    <row r="3373" spans="1:23" x14ac:dyDescent="0.2">
      <c r="A3373" t="s">
        <v>6748</v>
      </c>
      <c r="B3373" s="3" t="str">
        <f>HYPERLINK("http://www.ncbi.nlm.nih.gov/gene/243833","Zfp128")</f>
        <v>Zfp128</v>
      </c>
      <c r="C3373">
        <v>243833</v>
      </c>
      <c r="D3373" t="s">
        <v>6749</v>
      </c>
      <c r="E3373" s="3" t="str">
        <f>HYPERLINK("http://genome.ucsc.edu/cgi-bin/hgTracks?db=mm10&amp;lastVirtModeType=default&amp;lastVirtModeExtraState=&amp;virtModeType=default&amp;virtMode=0&amp;nonVirtPosition=&amp;position=chr7:12881177-12893422","chr7:12881177-12893422")</f>
        <v>chr7:12881177-12893422</v>
      </c>
      <c r="F3373" t="s">
        <v>30</v>
      </c>
      <c r="G3373">
        <v>-0.59386862070694002</v>
      </c>
      <c r="H3373">
        <v>0.23284001805611201</v>
      </c>
      <c r="I3373">
        <v>-2.55054361215443</v>
      </c>
      <c r="J3373">
        <v>1.07555066398493E-2</v>
      </c>
      <c r="K3373">
        <v>4.2598932095303597E-2</v>
      </c>
      <c r="L3373" t="s">
        <v>26</v>
      </c>
      <c r="M3373" t="s">
        <v>27</v>
      </c>
      <c r="N3373">
        <v>69.686293119131705</v>
      </c>
      <c r="O3373">
        <v>86.532028776932705</v>
      </c>
      <c r="P3373">
        <v>57.0519913757811</v>
      </c>
      <c r="Q3373">
        <v>105.23379119508201</v>
      </c>
      <c r="R3373">
        <v>87.607885629112602</v>
      </c>
      <c r="S3373">
        <v>66.754409506603395</v>
      </c>
      <c r="T3373">
        <v>77.910230164881497</v>
      </c>
      <c r="U3373">
        <v>42.825134917710699</v>
      </c>
      <c r="V3373">
        <v>57.380982662969998</v>
      </c>
      <c r="W3373">
        <v>50.091617757562098</v>
      </c>
    </row>
    <row r="3374" spans="1:23" x14ac:dyDescent="0.2">
      <c r="A3374" t="s">
        <v>6750</v>
      </c>
      <c r="B3374" s="3" t="str">
        <f>HYPERLINK("http://www.ncbi.nlm.nih.gov/gene/12828","Col4a3")</f>
        <v>Col4a3</v>
      </c>
      <c r="C3374">
        <v>12828</v>
      </c>
      <c r="D3374" t="s">
        <v>6751</v>
      </c>
      <c r="E3374" s="3" t="str">
        <f>HYPERLINK("http://genome.ucsc.edu/cgi-bin/hgTracks?db=mm10&amp;lastVirtModeType=default&amp;lastVirtModeExtraState=&amp;virtModeType=default&amp;virtMode=0&amp;nonVirtPosition=&amp;position=chr1:82586920-82722059","chr1:82586920-82722059")</f>
        <v>chr1:82586920-82722059</v>
      </c>
      <c r="F3374" t="s">
        <v>30</v>
      </c>
      <c r="G3374">
        <v>0.83628563491849806</v>
      </c>
      <c r="H3374">
        <v>0.32793484423268299</v>
      </c>
      <c r="I3374">
        <v>2.55015790369968</v>
      </c>
      <c r="J3374">
        <v>1.07674138721607E-2</v>
      </c>
      <c r="K3374">
        <v>4.2633482898315797E-2</v>
      </c>
      <c r="L3374" t="s">
        <v>26</v>
      </c>
      <c r="M3374" t="s">
        <v>27</v>
      </c>
      <c r="N3374">
        <v>28.4167820358428</v>
      </c>
      <c r="O3374">
        <v>16.6018811434577</v>
      </c>
      <c r="P3374">
        <v>37.277957705131598</v>
      </c>
      <c r="Q3374">
        <v>23.9420794782462</v>
      </c>
      <c r="R3374">
        <v>17.066471226450499</v>
      </c>
      <c r="S3374">
        <v>8.7970927256764107</v>
      </c>
      <c r="T3374">
        <v>59.578411302556397</v>
      </c>
      <c r="U3374">
        <v>32.118851188283003</v>
      </c>
      <c r="V3374">
        <v>32.368759450906097</v>
      </c>
      <c r="W3374">
        <v>25.045808878780999</v>
      </c>
    </row>
    <row r="3375" spans="1:23" x14ac:dyDescent="0.2">
      <c r="A3375" t="s">
        <v>6752</v>
      </c>
      <c r="B3375" s="3" t="str">
        <f>HYPERLINK("http://www.ncbi.nlm.nih.gov/gene/19711","Resp18")</f>
        <v>Resp18</v>
      </c>
      <c r="C3375">
        <v>19711</v>
      </c>
      <c r="D3375" t="s">
        <v>6753</v>
      </c>
      <c r="E3375" s="3" t="str">
        <f>HYPERLINK("http://genome.ucsc.edu/cgi-bin/hgTracks?db=mm10&amp;lastVirtModeType=default&amp;lastVirtModeExtraState=&amp;virtModeType=default&amp;virtMode=0&amp;nonVirtPosition=&amp;position=chr1:75272196-75278415","chr1:75272196-75278415")</f>
        <v>chr1:75272196-75278415</v>
      </c>
      <c r="F3375" t="s">
        <v>25</v>
      </c>
      <c r="G3375">
        <v>-1.01990243062546</v>
      </c>
      <c r="H3375">
        <v>0.40002053752436401</v>
      </c>
      <c r="I3375">
        <v>-2.5496251690910601</v>
      </c>
      <c r="J3375">
        <v>1.0783879230327901E-2</v>
      </c>
      <c r="K3375">
        <v>4.2686055800567897E-2</v>
      </c>
      <c r="L3375" t="s">
        <v>26</v>
      </c>
      <c r="M3375" t="s">
        <v>27</v>
      </c>
      <c r="N3375">
        <v>110.617350033863</v>
      </c>
      <c r="O3375">
        <v>193.90151137783599</v>
      </c>
      <c r="P3375">
        <v>48.1542290258839</v>
      </c>
      <c r="Q3375">
        <v>301.78155993510302</v>
      </c>
      <c r="R3375">
        <v>167.63067293535801</v>
      </c>
      <c r="S3375">
        <v>112.292301263046</v>
      </c>
      <c r="T3375">
        <v>4.58295471558126</v>
      </c>
      <c r="U3375">
        <v>53.531418647138402</v>
      </c>
      <c r="V3375">
        <v>42.6679101852854</v>
      </c>
      <c r="W3375">
        <v>91.834632555530504</v>
      </c>
    </row>
    <row r="3376" spans="1:23" x14ac:dyDescent="0.2">
      <c r="A3376" t="s">
        <v>6754</v>
      </c>
      <c r="B3376" s="3" t="str">
        <f>HYPERLINK("http://www.ncbi.nlm.nih.gov/gene/53881","Slc5a3")</f>
        <v>Slc5a3</v>
      </c>
      <c r="C3376">
        <v>53881</v>
      </c>
      <c r="D3376" t="s">
        <v>6755</v>
      </c>
      <c r="E3376" s="3" t="str">
        <f>HYPERLINK("http://genome.ucsc.edu/cgi-bin/hgTracks?db=mm10&amp;lastVirtModeType=default&amp;lastVirtModeExtraState=&amp;virtModeType=default&amp;virtMode=0&amp;nonVirtPosition=&amp;position=chr16:92058321-92087473","chr16:92058321-92087473")</f>
        <v>chr16:92058321-92087473</v>
      </c>
      <c r="F3376" t="s">
        <v>30</v>
      </c>
      <c r="G3376">
        <v>0.508502552161051</v>
      </c>
      <c r="H3376">
        <v>0.199463168469425</v>
      </c>
      <c r="I3376">
        <v>2.5493556332381102</v>
      </c>
      <c r="J3376">
        <v>1.0792218364775801E-2</v>
      </c>
      <c r="K3376">
        <v>4.2702511970772503E-2</v>
      </c>
      <c r="L3376" t="s">
        <v>26</v>
      </c>
      <c r="M3376" t="s">
        <v>27</v>
      </c>
      <c r="N3376">
        <v>515.21512239443098</v>
      </c>
      <c r="O3376">
        <v>410.44688269007901</v>
      </c>
      <c r="P3376">
        <v>593.79130217269505</v>
      </c>
      <c r="Q3376">
        <v>400.333840578116</v>
      </c>
      <c r="R3376">
        <v>329.57252212856599</v>
      </c>
      <c r="S3376">
        <v>501.43428536355498</v>
      </c>
      <c r="T3376">
        <v>421.63183383347598</v>
      </c>
      <c r="U3376">
        <v>672.35461820805801</v>
      </c>
      <c r="V3376">
        <v>508.336654104003</v>
      </c>
      <c r="W3376">
        <v>772.84210254524305</v>
      </c>
    </row>
    <row r="3377" spans="1:23" x14ac:dyDescent="0.2">
      <c r="A3377" t="s">
        <v>6756</v>
      </c>
      <c r="B3377" s="3" t="str">
        <f>HYPERLINK("http://www.ncbi.nlm.nih.gov/gene/80718","Rab27b")</f>
        <v>Rab27b</v>
      </c>
      <c r="C3377">
        <v>80718</v>
      </c>
      <c r="D3377" t="s">
        <v>6757</v>
      </c>
      <c r="E3377" s="3" t="str">
        <f>HYPERLINK("http://genome.ucsc.edu/cgi-bin/hgTracks?db=mm10&amp;lastVirtModeType=default&amp;lastVirtModeExtraState=&amp;virtModeType=default&amp;virtMode=0&amp;nonVirtPosition=&amp;position=chr18:69979130-70053588","chr18:69979130-70053588")</f>
        <v>chr18:69979130-70053588</v>
      </c>
      <c r="F3377" t="s">
        <v>25</v>
      </c>
      <c r="G3377">
        <v>-0.82389066580210701</v>
      </c>
      <c r="H3377">
        <v>0.323185520325454</v>
      </c>
      <c r="I3377">
        <v>-2.5492808742558601</v>
      </c>
      <c r="J3377">
        <v>1.07945323384182E-2</v>
      </c>
      <c r="K3377">
        <v>4.2702511970772503E-2</v>
      </c>
      <c r="L3377" t="s">
        <v>26</v>
      </c>
      <c r="M3377" t="s">
        <v>27</v>
      </c>
      <c r="N3377">
        <v>100.967823018397</v>
      </c>
      <c r="O3377">
        <v>142.72559049859601</v>
      </c>
      <c r="P3377">
        <v>69.649497408248195</v>
      </c>
      <c r="Q3377">
        <v>267.81721462875402</v>
      </c>
      <c r="R3377">
        <v>96.710003616552896</v>
      </c>
      <c r="S3377">
        <v>63.649553250482299</v>
      </c>
      <c r="T3377">
        <v>73.327275449300203</v>
      </c>
      <c r="U3377">
        <v>62.096445630680499</v>
      </c>
      <c r="V3377">
        <v>63.266211654043801</v>
      </c>
      <c r="W3377">
        <v>79.908056898968098</v>
      </c>
    </row>
    <row r="3378" spans="1:23" x14ac:dyDescent="0.2">
      <c r="A3378" t="s">
        <v>6758</v>
      </c>
      <c r="B3378" s="3" t="str">
        <f>HYPERLINK("http://www.ncbi.nlm.nih.gov/gene/68588","Cthrc1")</f>
        <v>Cthrc1</v>
      </c>
      <c r="C3378">
        <v>68588</v>
      </c>
      <c r="D3378" t="s">
        <v>6759</v>
      </c>
      <c r="E3378" s="3" t="str">
        <f>HYPERLINK("http://genome.ucsc.edu/cgi-bin/hgTracks?db=mm10&amp;lastVirtModeType=default&amp;lastVirtModeExtraState=&amp;virtModeType=default&amp;virtMode=0&amp;nonVirtPosition=&amp;position=chr15:39076931-39087119","chr15:39076931-39087119")</f>
        <v>chr15:39076931-39087119</v>
      </c>
      <c r="F3378" t="s">
        <v>30</v>
      </c>
      <c r="G3378">
        <v>-0.67933572314776602</v>
      </c>
      <c r="H3378">
        <v>0.26649168558737402</v>
      </c>
      <c r="I3378">
        <v>-2.5491816814113402</v>
      </c>
      <c r="J3378">
        <v>1.07976032807883E-2</v>
      </c>
      <c r="K3378">
        <v>4.2702511970772503E-2</v>
      </c>
      <c r="L3378" t="s">
        <v>26</v>
      </c>
      <c r="M3378" t="s">
        <v>27</v>
      </c>
      <c r="N3378">
        <v>57.665691112173199</v>
      </c>
      <c r="O3378">
        <v>76.428666030096295</v>
      </c>
      <c r="P3378">
        <v>43.593459923730997</v>
      </c>
      <c r="Q3378">
        <v>101.893035919048</v>
      </c>
      <c r="R3378">
        <v>73.575453731808807</v>
      </c>
      <c r="S3378">
        <v>53.817508439432203</v>
      </c>
      <c r="T3378">
        <v>45.829547155812598</v>
      </c>
      <c r="U3378">
        <v>29.9775944423975</v>
      </c>
      <c r="V3378">
        <v>54.438368167432998</v>
      </c>
      <c r="W3378">
        <v>44.128329929280902</v>
      </c>
    </row>
    <row r="3379" spans="1:23" x14ac:dyDescent="0.2">
      <c r="A3379" t="s">
        <v>6760</v>
      </c>
      <c r="B3379" s="3" t="str">
        <f>HYPERLINK("http://www.ncbi.nlm.nih.gov/gene/84004","Mcam")</f>
        <v>Mcam</v>
      </c>
      <c r="C3379">
        <v>84004</v>
      </c>
      <c r="D3379" t="s">
        <v>6761</v>
      </c>
      <c r="E3379" s="3" t="str">
        <f>HYPERLINK("http://genome.ucsc.edu/cgi-bin/hgTracks?db=mm10&amp;lastVirtModeType=default&amp;lastVirtModeExtraState=&amp;virtModeType=default&amp;virtMode=0&amp;nonVirtPosition=&amp;position=chr9:44134657-44142726","chr9:44134657-44142726")</f>
        <v>chr9:44134657-44142726</v>
      </c>
      <c r="F3379" t="s">
        <v>30</v>
      </c>
      <c r="G3379">
        <v>-0.58811326822786403</v>
      </c>
      <c r="H3379">
        <v>0.230729975927527</v>
      </c>
      <c r="I3379">
        <v>-2.5489244120260799</v>
      </c>
      <c r="J3379">
        <v>1.0805571784002E-2</v>
      </c>
      <c r="K3379">
        <v>4.2721408845459302E-2</v>
      </c>
      <c r="L3379" t="s">
        <v>26</v>
      </c>
      <c r="M3379" t="s">
        <v>27</v>
      </c>
      <c r="N3379">
        <v>1258.7000209789201</v>
      </c>
      <c r="O3379">
        <v>1589.8827483835701</v>
      </c>
      <c r="P3379">
        <v>1010.31297542543</v>
      </c>
      <c r="Q3379">
        <v>1031.73658774861</v>
      </c>
      <c r="R3379">
        <v>1594.00841255048</v>
      </c>
      <c r="S3379">
        <v>2143.90324485161</v>
      </c>
      <c r="T3379">
        <v>664.52843375928296</v>
      </c>
      <c r="U3379">
        <v>1160.5611562699601</v>
      </c>
      <c r="V3379">
        <v>1232.21982000609</v>
      </c>
      <c r="W3379">
        <v>983.94249166639804</v>
      </c>
    </row>
    <row r="3380" spans="1:23" x14ac:dyDescent="0.2">
      <c r="A3380" t="s">
        <v>6762</v>
      </c>
      <c r="B3380" s="3" t="str">
        <f>HYPERLINK("http://www.ncbi.nlm.nih.gov/gene/18452","P4ha2")</f>
        <v>P4ha2</v>
      </c>
      <c r="C3380">
        <v>18452</v>
      </c>
      <c r="D3380" t="s">
        <v>6763</v>
      </c>
      <c r="E3380" s="3" t="str">
        <f>HYPERLINK("http://genome.ucsc.edu/cgi-bin/hgTracks?db=mm10&amp;lastVirtModeType=default&amp;lastVirtModeExtraState=&amp;virtModeType=default&amp;virtMode=0&amp;nonVirtPosition=&amp;position=chr11:54100923-54131667","chr11:54100923-54131667")</f>
        <v>chr11:54100923-54131667</v>
      </c>
      <c r="F3380" t="s">
        <v>30</v>
      </c>
      <c r="G3380">
        <v>0.65051042511684198</v>
      </c>
      <c r="H3380">
        <v>0.25529859854850201</v>
      </c>
      <c r="I3380">
        <v>2.5480375874184702</v>
      </c>
      <c r="J3380">
        <v>1.08330798246896E-2</v>
      </c>
      <c r="K3380">
        <v>4.2817524183122201E-2</v>
      </c>
      <c r="L3380" t="s">
        <v>26</v>
      </c>
      <c r="M3380" t="s">
        <v>27</v>
      </c>
      <c r="N3380">
        <v>46.721897160583403</v>
      </c>
      <c r="O3380">
        <v>35.465536318486301</v>
      </c>
      <c r="P3380">
        <v>55.164167792156199</v>
      </c>
      <c r="Q3380">
        <v>38.418685674395</v>
      </c>
      <c r="R3380">
        <v>30.719648207610899</v>
      </c>
      <c r="S3380">
        <v>37.258275073452999</v>
      </c>
      <c r="T3380">
        <v>36.663637724650101</v>
      </c>
      <c r="U3380">
        <v>42.825134917710699</v>
      </c>
      <c r="V3380">
        <v>68.415787021233399</v>
      </c>
      <c r="W3380">
        <v>72.752111505030598</v>
      </c>
    </row>
    <row r="3381" spans="1:23" x14ac:dyDescent="0.2">
      <c r="A3381" t="s">
        <v>6764</v>
      </c>
      <c r="B3381" s="3" t="str">
        <f>HYPERLINK("http://www.ncbi.nlm.nih.gov/gene/69742","Tm2d2")</f>
        <v>Tm2d2</v>
      </c>
      <c r="C3381">
        <v>69742</v>
      </c>
      <c r="D3381" t="s">
        <v>6765</v>
      </c>
      <c r="E3381" s="3" t="str">
        <f>HYPERLINK("http://genome.ucsc.edu/cgi-bin/hgTracks?db=mm10&amp;lastVirtModeType=default&amp;lastVirtModeExtraState=&amp;virtModeType=default&amp;virtMode=0&amp;nonVirtPosition=&amp;position=chr8:25017210-25023260","chr8:25017210-25023260")</f>
        <v>chr8:25017210-25023260</v>
      </c>
      <c r="F3381" t="s">
        <v>30</v>
      </c>
      <c r="G3381">
        <v>-0.43456099612628701</v>
      </c>
      <c r="H3381">
        <v>0.170560532827083</v>
      </c>
      <c r="I3381">
        <v>-2.54784028241078</v>
      </c>
      <c r="J3381">
        <v>1.08392084044847E-2</v>
      </c>
      <c r="K3381">
        <v>4.2829105855548798E-2</v>
      </c>
      <c r="L3381" t="s">
        <v>26</v>
      </c>
      <c r="M3381" t="s">
        <v>27</v>
      </c>
      <c r="N3381">
        <v>160.92484545856101</v>
      </c>
      <c r="O3381">
        <v>193.256762871668</v>
      </c>
      <c r="P3381">
        <v>136.675907398731</v>
      </c>
      <c r="Q3381">
        <v>225.500981132319</v>
      </c>
      <c r="R3381">
        <v>163.83812377392499</v>
      </c>
      <c r="S3381">
        <v>190.43118370875999</v>
      </c>
      <c r="T3381">
        <v>105.407958458369</v>
      </c>
      <c r="U3381">
        <v>147.74671546610199</v>
      </c>
      <c r="V3381">
        <v>145.65941752907801</v>
      </c>
      <c r="W3381">
        <v>147.889538141374</v>
      </c>
    </row>
    <row r="3382" spans="1:23" x14ac:dyDescent="0.2">
      <c r="A3382" t="s">
        <v>6766</v>
      </c>
      <c r="B3382" s="3" t="str">
        <f>HYPERLINK("http://www.ncbi.nlm.nih.gov/gene/399548","Scn4b")</f>
        <v>Scn4b</v>
      </c>
      <c r="C3382">
        <v>399548</v>
      </c>
      <c r="D3382" t="s">
        <v>6767</v>
      </c>
      <c r="E3382" s="3" t="str">
        <f>HYPERLINK("http://genome.ucsc.edu/cgi-bin/hgTracks?db=mm10&amp;lastVirtModeType=default&amp;lastVirtModeExtraState=&amp;virtModeType=default&amp;virtMode=0&amp;nonVirtPosition=&amp;position=chr9:45139041-45154061","chr9:45139041-45154061")</f>
        <v>chr9:45139041-45154061</v>
      </c>
      <c r="F3382" t="s">
        <v>30</v>
      </c>
      <c r="G3382">
        <v>-1.01882439596931</v>
      </c>
      <c r="H3382">
        <v>0.40000215290992902</v>
      </c>
      <c r="I3382">
        <v>-2.5470472810148199</v>
      </c>
      <c r="J3382">
        <v>1.08638712742113E-2</v>
      </c>
      <c r="K3382">
        <v>4.2913893874030599E-2</v>
      </c>
      <c r="L3382" t="s">
        <v>26</v>
      </c>
      <c r="M3382" t="s">
        <v>27</v>
      </c>
      <c r="N3382">
        <v>20.353088860510098</v>
      </c>
      <c r="O3382">
        <v>35.305685850094797</v>
      </c>
      <c r="P3382">
        <v>9.1386411183215994</v>
      </c>
      <c r="Q3382">
        <v>17.260568926177498</v>
      </c>
      <c r="R3382">
        <v>64.852590660511893</v>
      </c>
      <c r="S3382">
        <v>23.803897963594999</v>
      </c>
      <c r="T3382">
        <v>4.58295471558126</v>
      </c>
      <c r="U3382">
        <v>27.836337696512</v>
      </c>
      <c r="V3382">
        <v>2.9426144955369198</v>
      </c>
      <c r="W3382">
        <v>1.1926575656562399</v>
      </c>
    </row>
    <row r="3383" spans="1:23" x14ac:dyDescent="0.2">
      <c r="A3383" t="s">
        <v>6768</v>
      </c>
      <c r="B3383" s="3" t="str">
        <f>HYPERLINK("http://www.ncbi.nlm.nih.gov/gene/12091","Glb1")</f>
        <v>Glb1</v>
      </c>
      <c r="C3383">
        <v>12091</v>
      </c>
      <c r="D3383" t="s">
        <v>6769</v>
      </c>
      <c r="E3383" s="3" t="str">
        <f>HYPERLINK("http://genome.ucsc.edu/cgi-bin/hgTracks?db=mm10&amp;lastVirtModeType=default&amp;lastVirtModeExtraState=&amp;virtModeType=default&amp;virtMode=0&amp;nonVirtPosition=&amp;position=chr9:114401077-114474379","chr9:114401077-114474379")</f>
        <v>chr9:114401077-114474379</v>
      </c>
      <c r="F3383" t="s">
        <v>30</v>
      </c>
      <c r="G3383">
        <v>-0.43494615671140302</v>
      </c>
      <c r="H3383">
        <v>0.17086402208443099</v>
      </c>
      <c r="I3383">
        <v>-2.54556899343314</v>
      </c>
      <c r="J3383">
        <v>1.09099801857088E-2</v>
      </c>
      <c r="K3383">
        <v>4.3083321930647601E-2</v>
      </c>
      <c r="L3383" t="s">
        <v>26</v>
      </c>
      <c r="M3383" t="s">
        <v>27</v>
      </c>
      <c r="N3383">
        <v>172.35675986808801</v>
      </c>
      <c r="O3383">
        <v>207.28146509178299</v>
      </c>
      <c r="P3383">
        <v>146.163230950317</v>
      </c>
      <c r="Q3383">
        <v>227.72815131634201</v>
      </c>
      <c r="R3383">
        <v>219.20934153085301</v>
      </c>
      <c r="S3383">
        <v>174.90690242815401</v>
      </c>
      <c r="T3383">
        <v>119.15682260511301</v>
      </c>
      <c r="U3383">
        <v>130.61666149901799</v>
      </c>
      <c r="V3383">
        <v>165.52206537395199</v>
      </c>
      <c r="W3383">
        <v>169.35737432318601</v>
      </c>
    </row>
    <row r="3384" spans="1:23" x14ac:dyDescent="0.2">
      <c r="A3384" t="s">
        <v>6770</v>
      </c>
      <c r="B3384" s="3" t="str">
        <f>HYPERLINK("http://www.ncbi.nlm.nih.gov/gene/73158","Larp1")</f>
        <v>Larp1</v>
      </c>
      <c r="C3384">
        <v>73158</v>
      </c>
      <c r="D3384" t="s">
        <v>6771</v>
      </c>
      <c r="E3384" s="3" t="str">
        <f>HYPERLINK("http://genome.ucsc.edu/cgi-bin/hgTracks?db=mm10&amp;lastVirtModeType=default&amp;lastVirtModeExtraState=&amp;virtModeType=default&amp;virtMode=0&amp;nonVirtPosition=&amp;position=chr11:58009063-58062032","chr11:58009063-58062032")</f>
        <v>chr11:58009063-58062032</v>
      </c>
      <c r="F3384" t="s">
        <v>30</v>
      </c>
      <c r="G3384">
        <v>0.41881142043659902</v>
      </c>
      <c r="H3384">
        <v>0.16459496515906399</v>
      </c>
      <c r="I3384">
        <v>2.5444971541618</v>
      </c>
      <c r="J3384">
        <v>1.09435203492742E-2</v>
      </c>
      <c r="K3384">
        <v>4.32030309543429E-2</v>
      </c>
      <c r="L3384" t="s">
        <v>26</v>
      </c>
      <c r="M3384" t="s">
        <v>27</v>
      </c>
      <c r="N3384">
        <v>711.571406764372</v>
      </c>
      <c r="O3384">
        <v>593.41018778041496</v>
      </c>
      <c r="P3384">
        <v>800.19232100233899</v>
      </c>
      <c r="Q3384">
        <v>449.88837717262601</v>
      </c>
      <c r="R3384">
        <v>607.945630577781</v>
      </c>
      <c r="S3384">
        <v>722.39655559083894</v>
      </c>
      <c r="T3384">
        <v>673.69434319044603</v>
      </c>
      <c r="U3384">
        <v>873.63275232129797</v>
      </c>
      <c r="V3384">
        <v>811.42594714430595</v>
      </c>
      <c r="W3384">
        <v>842.01624135330496</v>
      </c>
    </row>
    <row r="3385" spans="1:23" x14ac:dyDescent="0.2">
      <c r="A3385" t="s">
        <v>6772</v>
      </c>
      <c r="B3385" s="3" t="str">
        <f>HYPERLINK("http://www.ncbi.nlm.nih.gov/gene/66226","Trappc2")</f>
        <v>Trappc2</v>
      </c>
      <c r="C3385">
        <v>66226</v>
      </c>
      <c r="D3385" t="s">
        <v>6773</v>
      </c>
      <c r="E3385" s="3" t="str">
        <f>HYPERLINK("http://genome.ucsc.edu/cgi-bin/hgTracks?db=mm10&amp;lastVirtModeType=default&amp;lastVirtModeExtraState=&amp;virtModeType=default&amp;virtMode=0&amp;nonVirtPosition=&amp;position=chrX:166440754-166453140","chrX:166440754-166453140")</f>
        <v>chrX:166440754-166453140</v>
      </c>
      <c r="F3385" t="s">
        <v>30</v>
      </c>
      <c r="G3385">
        <v>-0.64634634008847103</v>
      </c>
      <c r="H3385">
        <v>0.25413003173548998</v>
      </c>
      <c r="I3385">
        <v>-2.5433685884131099</v>
      </c>
      <c r="J3385">
        <v>1.0978934609402399E-2</v>
      </c>
      <c r="K3385">
        <v>4.3330065828030603E-2</v>
      </c>
      <c r="L3385" t="s">
        <v>26</v>
      </c>
      <c r="M3385" t="s">
        <v>27</v>
      </c>
      <c r="N3385">
        <v>45.628529229710701</v>
      </c>
      <c r="O3385">
        <v>61.683832118089498</v>
      </c>
      <c r="P3385">
        <v>33.587052063426597</v>
      </c>
      <c r="Q3385">
        <v>64.587935336664103</v>
      </c>
      <c r="R3385">
        <v>65.611100492798599</v>
      </c>
      <c r="S3385">
        <v>54.852460524805799</v>
      </c>
      <c r="T3385">
        <v>13.7488641467438</v>
      </c>
      <c r="U3385">
        <v>34.260107934168602</v>
      </c>
      <c r="V3385">
        <v>43.403563809169597</v>
      </c>
      <c r="W3385">
        <v>42.935672363624597</v>
      </c>
    </row>
    <row r="3386" spans="1:23" x14ac:dyDescent="0.2">
      <c r="A3386" t="s">
        <v>6774</v>
      </c>
      <c r="B3386" s="3" t="str">
        <f>HYPERLINK("http://www.ncbi.nlm.nih.gov/gene/19244","Ptp4a2")</f>
        <v>Ptp4a2</v>
      </c>
      <c r="C3386">
        <v>19244</v>
      </c>
      <c r="D3386" t="s">
        <v>6775</v>
      </c>
      <c r="E3386" s="3" t="str">
        <f>HYPERLINK("http://genome.ucsc.edu/cgi-bin/hgTracks?db=mm10&amp;lastVirtModeType=default&amp;lastVirtModeExtraState=&amp;virtModeType=default&amp;virtMode=0&amp;nonVirtPosition=&amp;position=chr4:129820478-129850003","chr4:129820478-129850003")</f>
        <v>chr4:129820478-129850003</v>
      </c>
      <c r="F3386" t="s">
        <v>30</v>
      </c>
      <c r="G3386">
        <v>-0.28327472019926497</v>
      </c>
      <c r="H3386">
        <v>0.11141199122044</v>
      </c>
      <c r="I3386">
        <v>-2.5425873561381498</v>
      </c>
      <c r="J3386">
        <v>1.10035091953011E-2</v>
      </c>
      <c r="K3386">
        <v>4.3414257994778299E-2</v>
      </c>
      <c r="L3386" t="s">
        <v>26</v>
      </c>
      <c r="M3386" t="s">
        <v>27</v>
      </c>
      <c r="N3386">
        <v>969.14063296775998</v>
      </c>
      <c r="O3386">
        <v>1081.38301745646</v>
      </c>
      <c r="P3386">
        <v>884.95884460122898</v>
      </c>
      <c r="Q3386">
        <v>1077.9503690670799</v>
      </c>
      <c r="R3386">
        <v>1134.3514541847401</v>
      </c>
      <c r="S3386">
        <v>1031.8472291175699</v>
      </c>
      <c r="T3386">
        <v>925.75685254741495</v>
      </c>
      <c r="U3386">
        <v>805.11253645296097</v>
      </c>
      <c r="V3386">
        <v>977.68366614214199</v>
      </c>
      <c r="W3386">
        <v>831.28232326239902</v>
      </c>
    </row>
    <row r="3387" spans="1:23" x14ac:dyDescent="0.2">
      <c r="A3387" t="s">
        <v>6776</v>
      </c>
      <c r="B3387" s="3" t="str">
        <f>HYPERLINK("http://www.ncbi.nlm.nih.gov/gene/70123","2210013O21Rik")</f>
        <v>2210013O21Rik</v>
      </c>
      <c r="C3387">
        <v>70123</v>
      </c>
      <c r="D3387" t="s">
        <v>6777</v>
      </c>
      <c r="E3387" s="3" t="str">
        <f>HYPERLINK("http://genome.ucsc.edu/cgi-bin/hgTracks?db=mm10&amp;lastVirtModeType=default&amp;lastVirtModeExtraState=&amp;virtModeType=default&amp;virtMode=0&amp;nonVirtPosition=&amp;position=chrX:153723553-153741296","chrX:153723553-153741296")</f>
        <v>chrX:153723553-153741296</v>
      </c>
      <c r="F3387" t="s">
        <v>30</v>
      </c>
      <c r="G3387">
        <v>-0.477618613492029</v>
      </c>
      <c r="H3387">
        <v>0.187867623009463</v>
      </c>
      <c r="I3387">
        <v>-2.5423146673227999</v>
      </c>
      <c r="J3387">
        <v>1.1012098444819301E-2</v>
      </c>
      <c r="K3387">
        <v>4.3426300988781301E-2</v>
      </c>
      <c r="L3387" t="s">
        <v>26</v>
      </c>
      <c r="M3387" t="s">
        <v>27</v>
      </c>
      <c r="N3387">
        <v>81.290958117613101</v>
      </c>
      <c r="O3387">
        <v>97.421084829927906</v>
      </c>
      <c r="P3387">
        <v>69.193363083376994</v>
      </c>
      <c r="Q3387">
        <v>109.131339017122</v>
      </c>
      <c r="R3387">
        <v>91.021179874402705</v>
      </c>
      <c r="S3387">
        <v>92.110735598258898</v>
      </c>
      <c r="T3387">
        <v>73.327275449300203</v>
      </c>
      <c r="U3387">
        <v>68.520215868337104</v>
      </c>
      <c r="V3387">
        <v>66.944479773464906</v>
      </c>
      <c r="W3387">
        <v>67.981481242405707</v>
      </c>
    </row>
    <row r="3388" spans="1:23" x14ac:dyDescent="0.2">
      <c r="A3388" t="s">
        <v>6778</v>
      </c>
      <c r="B3388" s="3" t="str">
        <f>HYPERLINK("http://www.ncbi.nlm.nih.gov/gene/70568","Cpne3")</f>
        <v>Cpne3</v>
      </c>
      <c r="C3388">
        <v>70568</v>
      </c>
      <c r="D3388" t="s">
        <v>6779</v>
      </c>
      <c r="E3388" s="3" t="str">
        <f>HYPERLINK("http://genome.ucsc.edu/cgi-bin/hgTracks?db=mm10&amp;lastVirtModeType=default&amp;lastVirtModeExtraState=&amp;virtModeType=default&amp;virtMode=0&amp;nonVirtPosition=&amp;position=chr4:19519251-19570104","chr4:19519251-19570104")</f>
        <v>chr4:19519251-19570104</v>
      </c>
      <c r="F3388" t="s">
        <v>25</v>
      </c>
      <c r="G3388">
        <v>-0.35777592988765999</v>
      </c>
      <c r="H3388">
        <v>0.14073008852539501</v>
      </c>
      <c r="I3388">
        <v>-2.5422845507774801</v>
      </c>
      <c r="J3388">
        <v>1.10130474317005E-2</v>
      </c>
      <c r="K3388">
        <v>4.3426300988781301E-2</v>
      </c>
      <c r="L3388" t="s">
        <v>26</v>
      </c>
      <c r="M3388" t="s">
        <v>27</v>
      </c>
      <c r="N3388">
        <v>501.28757591634502</v>
      </c>
      <c r="O3388">
        <v>576.92713347105598</v>
      </c>
      <c r="P3388">
        <v>444.55790775031198</v>
      </c>
      <c r="Q3388">
        <v>691.53634213911005</v>
      </c>
      <c r="R3388">
        <v>492.272881154061</v>
      </c>
      <c r="S3388">
        <v>546.97217711999804</v>
      </c>
      <c r="T3388">
        <v>435.38069798022002</v>
      </c>
      <c r="U3388">
        <v>430.39260592299303</v>
      </c>
      <c r="V3388">
        <v>466.404397542602</v>
      </c>
      <c r="W3388">
        <v>446.05392955543402</v>
      </c>
    </row>
    <row r="3389" spans="1:23" x14ac:dyDescent="0.2">
      <c r="A3389" t="s">
        <v>6780</v>
      </c>
      <c r="B3389" s="3" t="str">
        <f>HYPERLINK("http://www.ncbi.nlm.nih.gov/gene/67092","Gatm")</f>
        <v>Gatm</v>
      </c>
      <c r="C3389">
        <v>67092</v>
      </c>
      <c r="D3389" t="s">
        <v>6781</v>
      </c>
      <c r="E3389" s="3" t="str">
        <f>HYPERLINK("http://genome.ucsc.edu/cgi-bin/hgTracks?db=mm10&amp;lastVirtModeType=default&amp;lastVirtModeExtraState=&amp;virtModeType=default&amp;virtMode=0&amp;nonVirtPosition=&amp;position=chr2:122594472-122611277","chr2:122594472-122611277")</f>
        <v>chr2:122594472-122611277</v>
      </c>
      <c r="F3389" t="s">
        <v>25</v>
      </c>
      <c r="G3389">
        <v>-0.30996012677200102</v>
      </c>
      <c r="H3389">
        <v>0.121956184201869</v>
      </c>
      <c r="I3389">
        <v>-2.5415695710759398</v>
      </c>
      <c r="J3389">
        <v>1.10355981366029E-2</v>
      </c>
      <c r="K3389">
        <v>4.3491900097893603E-2</v>
      </c>
      <c r="L3389" t="s">
        <v>26</v>
      </c>
      <c r="M3389" t="s">
        <v>27</v>
      </c>
      <c r="N3389">
        <v>1193.26420981552</v>
      </c>
      <c r="O3389">
        <v>1345.90587177667</v>
      </c>
      <c r="P3389">
        <v>1078.7829633446499</v>
      </c>
      <c r="Q3389">
        <v>1310.6896532974799</v>
      </c>
      <c r="R3389">
        <v>1383.1426791747799</v>
      </c>
      <c r="S3389">
        <v>1343.8852828577401</v>
      </c>
      <c r="T3389">
        <v>1104.49208645508</v>
      </c>
      <c r="U3389">
        <v>1010.67318405797</v>
      </c>
      <c r="V3389">
        <v>1250.61116060319</v>
      </c>
      <c r="W3389">
        <v>949.35542226236703</v>
      </c>
    </row>
    <row r="3390" spans="1:23" x14ac:dyDescent="0.2">
      <c r="A3390" t="s">
        <v>6782</v>
      </c>
      <c r="B3390" s="3" t="str">
        <f>HYPERLINK("http://www.ncbi.nlm.nih.gov/gene/434064","Gm5577")</f>
        <v>Gm5577</v>
      </c>
      <c r="C3390">
        <v>434064</v>
      </c>
      <c r="D3390" t="s">
        <v>6783</v>
      </c>
      <c r="E3390" s="3" t="str">
        <f>HYPERLINK("http://genome.ucsc.edu/cgi-bin/hgTracks?db=mm10&amp;lastVirtModeType=default&amp;lastVirtModeExtraState=&amp;virtModeType=default&amp;virtMode=0&amp;nonVirtPosition=&amp;position=chr6:87981682-87984180","chr6:87981682-87984180")</f>
        <v>chr6:87981682-87984180</v>
      </c>
      <c r="F3390" t="s">
        <v>30</v>
      </c>
      <c r="G3390">
        <v>0.88548249551799996</v>
      </c>
      <c r="H3390">
        <v>0.34840238838979098</v>
      </c>
      <c r="I3390">
        <v>2.54155116332706</v>
      </c>
      <c r="J3390">
        <v>1.1036179264628699E-2</v>
      </c>
      <c r="K3390">
        <v>4.3491900097893603E-2</v>
      </c>
      <c r="L3390" t="s">
        <v>26</v>
      </c>
      <c r="M3390" t="s">
        <v>27</v>
      </c>
      <c r="N3390">
        <v>36.391575334743898</v>
      </c>
      <c r="O3390">
        <v>19.892743824865601</v>
      </c>
      <c r="P3390">
        <v>48.765698967152701</v>
      </c>
      <c r="Q3390">
        <v>20.601324202211799</v>
      </c>
      <c r="R3390">
        <v>16.307961394163801</v>
      </c>
      <c r="S3390">
        <v>22.768945878221299</v>
      </c>
      <c r="T3390">
        <v>100.825003742788</v>
      </c>
      <c r="U3390">
        <v>12.847540475313201</v>
      </c>
      <c r="V3390">
        <v>45.610524680822301</v>
      </c>
      <c r="W3390">
        <v>35.779726969687196</v>
      </c>
    </row>
    <row r="3391" spans="1:23" x14ac:dyDescent="0.2">
      <c r="A3391" t="s">
        <v>6784</v>
      </c>
      <c r="B3391" s="3" t="str">
        <f>HYPERLINK("http://www.ncbi.nlm.nih.gov/gene/93739","Gabarapl2")</f>
        <v>Gabarapl2</v>
      </c>
      <c r="C3391">
        <v>93739</v>
      </c>
      <c r="D3391" t="s">
        <v>6785</v>
      </c>
      <c r="E3391" s="3" t="str">
        <f>HYPERLINK("http://genome.ucsc.edu/cgi-bin/hgTracks?db=mm10&amp;lastVirtModeType=default&amp;lastVirtModeExtraState=&amp;virtModeType=default&amp;virtMode=0&amp;nonVirtPosition=&amp;position=chr8:111940702-111952915","chr8:111940702-111952915")</f>
        <v>chr8:111940702-111952915</v>
      </c>
      <c r="F3391" t="s">
        <v>30</v>
      </c>
      <c r="G3391">
        <v>-0.57691781198304604</v>
      </c>
      <c r="H3391">
        <v>0.22706449554813299</v>
      </c>
      <c r="I3391">
        <v>-2.5407662725533902</v>
      </c>
      <c r="J3391">
        <v>1.10609833789347E-2</v>
      </c>
      <c r="K3391">
        <v>4.3576825074231898E-2</v>
      </c>
      <c r="L3391" t="s">
        <v>26</v>
      </c>
      <c r="M3391" t="s">
        <v>27</v>
      </c>
      <c r="N3391">
        <v>62.152277987094102</v>
      </c>
      <c r="O3391">
        <v>80.0522355111449</v>
      </c>
      <c r="P3391">
        <v>48.727309844056002</v>
      </c>
      <c r="Q3391">
        <v>83.518881900858702</v>
      </c>
      <c r="R3391">
        <v>89.883415125972704</v>
      </c>
      <c r="S3391">
        <v>66.754409506603395</v>
      </c>
      <c r="T3391">
        <v>32.0806830090688</v>
      </c>
      <c r="U3391">
        <v>47.107648409481797</v>
      </c>
      <c r="V3391">
        <v>53.702714543548801</v>
      </c>
      <c r="W3391">
        <v>62.018193414124497</v>
      </c>
    </row>
    <row r="3392" spans="1:23" x14ac:dyDescent="0.2">
      <c r="A3392" t="s">
        <v>6786</v>
      </c>
      <c r="B3392" s="3" t="str">
        <f>HYPERLINK("http://www.ncbi.nlm.nih.gov/gene/270201","Klhl18")</f>
        <v>Klhl18</v>
      </c>
      <c r="C3392">
        <v>270201</v>
      </c>
      <c r="D3392" t="s">
        <v>6787</v>
      </c>
      <c r="E3392" s="3" t="str">
        <f>HYPERLINK("http://genome.ucsc.edu/cgi-bin/hgTracks?db=mm10&amp;lastVirtModeType=default&amp;lastVirtModeExtraState=&amp;virtModeType=default&amp;virtMode=0&amp;nonVirtPosition=&amp;position=chr9:110425925-110476694","chr9:110425925-110476694")</f>
        <v>chr9:110425925-110476694</v>
      </c>
      <c r="F3392" t="s">
        <v>25</v>
      </c>
      <c r="G3392">
        <v>0.46629761547496901</v>
      </c>
      <c r="H3392">
        <v>0.18355609738588199</v>
      </c>
      <c r="I3392">
        <v>2.54035481313755</v>
      </c>
      <c r="J3392">
        <v>1.1074006093932399E-2</v>
      </c>
      <c r="K3392">
        <v>4.3592625414457797E-2</v>
      </c>
      <c r="L3392" t="s">
        <v>26</v>
      </c>
      <c r="M3392" t="s">
        <v>27</v>
      </c>
      <c r="N3392">
        <v>88.625966267701202</v>
      </c>
      <c r="O3392">
        <v>71.168363490882996</v>
      </c>
      <c r="P3392">
        <v>101.719168350315</v>
      </c>
      <c r="Q3392">
        <v>75.723786256778595</v>
      </c>
      <c r="R3392">
        <v>66.369610325085304</v>
      </c>
      <c r="S3392">
        <v>71.411693890785003</v>
      </c>
      <c r="T3392">
        <v>123.739777320694</v>
      </c>
      <c r="U3392">
        <v>79.2264995977648</v>
      </c>
      <c r="V3392">
        <v>103.727160967676</v>
      </c>
      <c r="W3392">
        <v>100.183235515124</v>
      </c>
    </row>
    <row r="3393" spans="1:23" x14ac:dyDescent="0.2">
      <c r="A3393" t="s">
        <v>6788</v>
      </c>
      <c r="B3393" s="3" t="str">
        <f>HYPERLINK("http://www.ncbi.nlm.nih.gov/gene/77629","Sphkap")</f>
        <v>Sphkap</v>
      </c>
      <c r="C3393">
        <v>77629</v>
      </c>
      <c r="D3393" t="s">
        <v>6789</v>
      </c>
      <c r="E3393" s="3" t="str">
        <f>HYPERLINK("http://genome.ucsc.edu/cgi-bin/hgTracks?db=mm10&amp;lastVirtModeType=default&amp;lastVirtModeExtraState=&amp;virtModeType=default&amp;virtMode=0&amp;nonVirtPosition=&amp;position=chr1:83255780-83408200","chr1:83255780-83408200")</f>
        <v>chr1:83255780-83408200</v>
      </c>
      <c r="F3393" t="s">
        <v>25</v>
      </c>
      <c r="G3393">
        <v>-0.98346167052917199</v>
      </c>
      <c r="H3393">
        <v>0.38713578154883899</v>
      </c>
      <c r="I3393">
        <v>-2.5403533266663501</v>
      </c>
      <c r="J3393">
        <v>1.1074053165516601E-2</v>
      </c>
      <c r="K3393">
        <v>4.3592625414457797E-2</v>
      </c>
      <c r="L3393" t="s">
        <v>26</v>
      </c>
      <c r="M3393" t="s">
        <v>27</v>
      </c>
      <c r="N3393">
        <v>91.931278695414505</v>
      </c>
      <c r="O3393">
        <v>178.36685590676001</v>
      </c>
      <c r="P3393">
        <v>27.104595786905399</v>
      </c>
      <c r="Q3393">
        <v>83.518881900858702</v>
      </c>
      <c r="R3393">
        <v>406.56127010566502</v>
      </c>
      <c r="S3393">
        <v>45.020415713755703</v>
      </c>
      <c r="T3393">
        <v>4.58295471558126</v>
      </c>
      <c r="U3393">
        <v>34.260107934168602</v>
      </c>
      <c r="V3393">
        <v>14.7130724776846</v>
      </c>
      <c r="W3393">
        <v>54.862248020187003</v>
      </c>
    </row>
    <row r="3394" spans="1:23" x14ac:dyDescent="0.2">
      <c r="A3394" t="s">
        <v>6790</v>
      </c>
      <c r="B3394" s="3" t="str">
        <f>HYPERLINK("http://www.ncbi.nlm.nih.gov/gene/30935","Tor3a")</f>
        <v>Tor3a</v>
      </c>
      <c r="C3394">
        <v>30935</v>
      </c>
      <c r="D3394" t="s">
        <v>6791</v>
      </c>
      <c r="E3394" s="3" t="str">
        <f>HYPERLINK("http://genome.ucsc.edu/cgi-bin/hgTracks?db=mm10&amp;lastVirtModeType=default&amp;lastVirtModeExtraState=&amp;virtModeType=default&amp;virtMode=0&amp;nonVirtPosition=&amp;position=chr1:156653616-156674339","chr1:156653616-156674339")</f>
        <v>chr1:156653616-156674339</v>
      </c>
      <c r="F3394" t="s">
        <v>25</v>
      </c>
      <c r="G3394">
        <v>-0.64477383637913099</v>
      </c>
      <c r="H3394">
        <v>0.253814890694115</v>
      </c>
      <c r="I3394">
        <v>-2.5403310050716401</v>
      </c>
      <c r="J3394">
        <v>1.10747600373374E-2</v>
      </c>
      <c r="K3394">
        <v>4.3592625414457797E-2</v>
      </c>
      <c r="L3394" t="s">
        <v>26</v>
      </c>
      <c r="M3394" t="s">
        <v>27</v>
      </c>
      <c r="N3394">
        <v>144.479568698609</v>
      </c>
      <c r="O3394">
        <v>183.53019112887901</v>
      </c>
      <c r="P3394">
        <v>115.191601875906</v>
      </c>
      <c r="Q3394">
        <v>252.22702334059301</v>
      </c>
      <c r="R3394">
        <v>136.91102472774699</v>
      </c>
      <c r="S3394">
        <v>161.45252531829601</v>
      </c>
      <c r="T3394">
        <v>178.735233907669</v>
      </c>
      <c r="U3394">
        <v>74.943986105993702</v>
      </c>
      <c r="V3394">
        <v>89.014088489991806</v>
      </c>
      <c r="W3394">
        <v>118.073098999968</v>
      </c>
    </row>
    <row r="3395" spans="1:23" x14ac:dyDescent="0.2">
      <c r="A3395" t="s">
        <v>6792</v>
      </c>
      <c r="B3395" s="3" t="str">
        <f>HYPERLINK("http://www.ncbi.nlm.nih.gov/gene/102442","Dennd4a")</f>
        <v>Dennd4a</v>
      </c>
      <c r="C3395">
        <v>102442</v>
      </c>
      <c r="D3395" t="s">
        <v>6793</v>
      </c>
      <c r="E3395" s="3" t="str">
        <f>HYPERLINK("http://genome.ucsc.edu/cgi-bin/hgTracks?db=mm10&amp;lastVirtModeType=default&amp;lastVirtModeExtraState=&amp;virtModeType=default&amp;virtMode=0&amp;nonVirtPosition=&amp;position=chr9:64811010-64919667","chr9:64811010-64919667")</f>
        <v>chr9:64811010-64919667</v>
      </c>
      <c r="F3395" t="s">
        <v>30</v>
      </c>
      <c r="G3395">
        <v>-0.25796355757184097</v>
      </c>
      <c r="H3395">
        <v>0.101553263185357</v>
      </c>
      <c r="I3395">
        <v>-2.54017989654356</v>
      </c>
      <c r="J3395">
        <v>1.10795463393101E-2</v>
      </c>
      <c r="K3395">
        <v>4.3598649729562698E-2</v>
      </c>
      <c r="L3395" t="s">
        <v>26</v>
      </c>
      <c r="M3395" t="s">
        <v>27</v>
      </c>
      <c r="N3395">
        <v>739.50119905327597</v>
      </c>
      <c r="O3395">
        <v>822.42327138488599</v>
      </c>
      <c r="P3395">
        <v>677.30964480456805</v>
      </c>
      <c r="Q3395">
        <v>834.63202646258196</v>
      </c>
      <c r="R3395">
        <v>803.64116730774697</v>
      </c>
      <c r="S3395">
        <v>828.99662038432996</v>
      </c>
      <c r="T3395">
        <v>604.95002245672697</v>
      </c>
      <c r="U3395">
        <v>676.63713169982896</v>
      </c>
      <c r="V3395">
        <v>727.56143402150406</v>
      </c>
      <c r="W3395">
        <v>700.08999104021302</v>
      </c>
    </row>
    <row r="3396" spans="1:23" x14ac:dyDescent="0.2">
      <c r="A3396" t="s">
        <v>6794</v>
      </c>
      <c r="B3396" s="3" t="str">
        <f>HYPERLINK("http://www.ncbi.nlm.nih.gov/gene/67014","Mina")</f>
        <v>Mina</v>
      </c>
      <c r="C3396">
        <v>67014</v>
      </c>
      <c r="D3396" t="s">
        <v>6795</v>
      </c>
      <c r="E3396" s="3" t="str">
        <f>HYPERLINK("http://genome.ucsc.edu/cgi-bin/hgTracks?db=mm10&amp;lastVirtModeType=default&amp;lastVirtModeExtraState=&amp;virtModeType=default&amp;virtMode=0&amp;nonVirtPosition=&amp;position=chr16:59471774-59492451","chr16:59471774-59492451")</f>
        <v>chr16:59471774-59492451</v>
      </c>
      <c r="F3396" t="s">
        <v>30</v>
      </c>
      <c r="G3396">
        <v>0.77100597396323201</v>
      </c>
      <c r="H3396">
        <v>0.30355286668118903</v>
      </c>
      <c r="I3396">
        <v>2.5399396895598798</v>
      </c>
      <c r="J3396">
        <v>1.10871585815169E-2</v>
      </c>
      <c r="K3396">
        <v>4.3615787475056601E-2</v>
      </c>
      <c r="L3396" t="s">
        <v>26</v>
      </c>
      <c r="M3396" t="s">
        <v>27</v>
      </c>
      <c r="N3396">
        <v>48.0607854760826</v>
      </c>
      <c r="O3396">
        <v>30.770416419036</v>
      </c>
      <c r="P3396">
        <v>61.028562268867603</v>
      </c>
      <c r="Q3396">
        <v>13.9198136501431</v>
      </c>
      <c r="R3396">
        <v>39.063256362764498</v>
      </c>
      <c r="S3396">
        <v>39.328179244200399</v>
      </c>
      <c r="T3396">
        <v>77.910230164881497</v>
      </c>
      <c r="U3396">
        <v>64.237702376566105</v>
      </c>
      <c r="V3396">
        <v>56.645329039085702</v>
      </c>
      <c r="W3396">
        <v>45.3209874949371</v>
      </c>
    </row>
    <row r="3397" spans="1:23" x14ac:dyDescent="0.2">
      <c r="A3397" t="s">
        <v>6796</v>
      </c>
      <c r="B3397" s="3" t="str">
        <f>HYPERLINK("http://www.ncbi.nlm.nih.gov/gene/93875","Pcdhb4")</f>
        <v>Pcdhb4</v>
      </c>
      <c r="C3397">
        <v>93875</v>
      </c>
      <c r="D3397" t="s">
        <v>6797</v>
      </c>
      <c r="E3397" s="3" t="str">
        <f>HYPERLINK("http://genome.ucsc.edu/cgi-bin/hgTracks?db=mm10&amp;lastVirtModeType=default&amp;lastVirtModeExtraState=&amp;virtModeType=default&amp;virtMode=0&amp;nonVirtPosition=&amp;position=chr18:37307454-37311173","chr18:37307454-37311173")</f>
        <v>chr18:37307454-37311173</v>
      </c>
      <c r="F3397" t="s">
        <v>30</v>
      </c>
      <c r="G3397">
        <v>-0.74703558071131104</v>
      </c>
      <c r="H3397">
        <v>0.29423526187464999</v>
      </c>
      <c r="I3397">
        <v>-2.5389056904728302</v>
      </c>
      <c r="J3397">
        <v>1.11199794406664E-2</v>
      </c>
      <c r="K3397">
        <v>4.3732054240811703E-2</v>
      </c>
      <c r="L3397" t="s">
        <v>26</v>
      </c>
      <c r="M3397" t="s">
        <v>27</v>
      </c>
      <c r="N3397">
        <v>50.137419259646599</v>
      </c>
      <c r="O3397">
        <v>68.899897751486293</v>
      </c>
      <c r="P3397">
        <v>36.065560390766798</v>
      </c>
      <c r="Q3397">
        <v>105.790583741088</v>
      </c>
      <c r="R3397">
        <v>55.371217756928303</v>
      </c>
      <c r="S3397">
        <v>45.537891756442598</v>
      </c>
      <c r="T3397">
        <v>32.0806830090688</v>
      </c>
      <c r="U3397">
        <v>29.9775944423975</v>
      </c>
      <c r="V3397">
        <v>40.460949313632703</v>
      </c>
      <c r="W3397">
        <v>41.743014797968399</v>
      </c>
    </row>
    <row r="3398" spans="1:23" x14ac:dyDescent="0.2">
      <c r="A3398" t="s">
        <v>6798</v>
      </c>
      <c r="B3398" s="3" t="str">
        <f>HYPERLINK("http://www.ncbi.nlm.nih.gov/gene/360013","Myo18a")</f>
        <v>Myo18a</v>
      </c>
      <c r="C3398">
        <v>360013</v>
      </c>
      <c r="D3398" t="s">
        <v>6799</v>
      </c>
      <c r="E3398" s="3" t="str">
        <f>HYPERLINK("http://genome.ucsc.edu/cgi-bin/hgTracks?db=mm10&amp;lastVirtModeType=default&amp;lastVirtModeExtraState=&amp;virtModeType=default&amp;virtMode=0&amp;nonVirtPosition=&amp;position=chr11:77777234-77865988","chr11:77777234-77865988")</f>
        <v>chr11:77777234-77865988</v>
      </c>
      <c r="F3398" t="s">
        <v>30</v>
      </c>
      <c r="G3398">
        <v>0.42211108880728399</v>
      </c>
      <c r="H3398">
        <v>0.16628700459020401</v>
      </c>
      <c r="I3398">
        <v>2.5384490498673</v>
      </c>
      <c r="J3398">
        <v>1.11345014293266E-2</v>
      </c>
      <c r="K3398">
        <v>4.3776309054642699E-2</v>
      </c>
      <c r="L3398" t="s">
        <v>26</v>
      </c>
      <c r="M3398" t="s">
        <v>27</v>
      </c>
      <c r="N3398">
        <v>795.97486965703195</v>
      </c>
      <c r="O3398">
        <v>664.03045815437201</v>
      </c>
      <c r="P3398">
        <v>894.93317828402598</v>
      </c>
      <c r="Q3398">
        <v>614.69897079032</v>
      </c>
      <c r="R3398">
        <v>559.78025622757696</v>
      </c>
      <c r="S3398">
        <v>817.61214744521897</v>
      </c>
      <c r="T3398">
        <v>724.10684506183998</v>
      </c>
      <c r="U3398">
        <v>837.23138764124405</v>
      </c>
      <c r="V3398">
        <v>968.85582265553103</v>
      </c>
      <c r="W3398">
        <v>1049.53865777749</v>
      </c>
    </row>
    <row r="3399" spans="1:23" x14ac:dyDescent="0.2">
      <c r="A3399" t="s">
        <v>6800</v>
      </c>
      <c r="B3399" s="3" t="str">
        <f>HYPERLINK("http://www.ncbi.nlm.nih.gov/gene/101488","Slco2b1")</f>
        <v>Slco2b1</v>
      </c>
      <c r="C3399">
        <v>101488</v>
      </c>
      <c r="D3399" t="s">
        <v>6801</v>
      </c>
      <c r="E3399" s="3" t="str">
        <f>HYPERLINK("http://genome.ucsc.edu/cgi-bin/hgTracks?db=mm10&amp;lastVirtModeType=default&amp;lastVirtModeExtraState=&amp;virtModeType=default&amp;virtMode=0&amp;nonVirtPosition=&amp;position=chr7:99657803-99706842","chr7:99657803-99706842")</f>
        <v>chr7:99657803-99706842</v>
      </c>
      <c r="F3399" t="s">
        <v>25</v>
      </c>
      <c r="G3399">
        <v>-0.61885060544510995</v>
      </c>
      <c r="H3399">
        <v>0.24384730599135199</v>
      </c>
      <c r="I3399">
        <v>-2.5378611542547</v>
      </c>
      <c r="J3399">
        <v>1.11532223652784E-2</v>
      </c>
      <c r="K3399">
        <v>4.38370415889177E-2</v>
      </c>
      <c r="L3399" t="s">
        <v>26</v>
      </c>
      <c r="M3399" t="s">
        <v>27</v>
      </c>
      <c r="N3399">
        <v>137.895394107275</v>
      </c>
      <c r="O3399">
        <v>175.826081670343</v>
      </c>
      <c r="P3399">
        <v>109.447378434973</v>
      </c>
      <c r="Q3399">
        <v>259.465326438668</v>
      </c>
      <c r="R3399">
        <v>123.63710266273</v>
      </c>
      <c r="S3399">
        <v>144.37581590963001</v>
      </c>
      <c r="T3399">
        <v>128.322732036275</v>
      </c>
      <c r="U3399">
        <v>83.509013089535898</v>
      </c>
      <c r="V3399">
        <v>116.23327257370801</v>
      </c>
      <c r="W3399">
        <v>109.72449604037401</v>
      </c>
    </row>
    <row r="3400" spans="1:23" x14ac:dyDescent="0.2">
      <c r="A3400" t="s">
        <v>6802</v>
      </c>
      <c r="B3400" s="3" t="str">
        <f>HYPERLINK("http://www.ncbi.nlm.nih.gov/gene/53902","Rcan3")</f>
        <v>Rcan3</v>
      </c>
      <c r="C3400">
        <v>53902</v>
      </c>
      <c r="D3400" t="s">
        <v>6803</v>
      </c>
      <c r="E3400" s="3" t="str">
        <f>HYPERLINK("http://genome.ucsc.edu/cgi-bin/hgTracks?db=mm10&amp;lastVirtModeType=default&amp;lastVirtModeExtraState=&amp;virtModeType=default&amp;virtMode=0&amp;nonVirtPosition=&amp;position=chr4:135412308-135433805","chr4:135412308-135433805")</f>
        <v>chr4:135412308-135433805</v>
      </c>
      <c r="F3400" t="s">
        <v>25</v>
      </c>
      <c r="G3400">
        <v>-0.374198304637893</v>
      </c>
      <c r="H3400">
        <v>0.147489549110808</v>
      </c>
      <c r="I3400">
        <v>-2.5371174221758501</v>
      </c>
      <c r="J3400">
        <v>1.11769458076695E-2</v>
      </c>
      <c r="K3400">
        <v>4.3917394750734098E-2</v>
      </c>
      <c r="L3400" t="s">
        <v>26</v>
      </c>
      <c r="M3400" t="s">
        <v>27</v>
      </c>
      <c r="N3400">
        <v>328.13693821304298</v>
      </c>
      <c r="O3400">
        <v>381.68025791585302</v>
      </c>
      <c r="P3400">
        <v>287.97944843593598</v>
      </c>
      <c r="Q3400">
        <v>456.01309517868901</v>
      </c>
      <c r="R3400">
        <v>359.91291542003398</v>
      </c>
      <c r="S3400">
        <v>329.11476314883498</v>
      </c>
      <c r="T3400">
        <v>256.64546407255102</v>
      </c>
      <c r="U3400">
        <v>289.069660694547</v>
      </c>
      <c r="V3400">
        <v>300.88233216865001</v>
      </c>
      <c r="W3400">
        <v>305.32033680799702</v>
      </c>
    </row>
    <row r="3401" spans="1:23" x14ac:dyDescent="0.2">
      <c r="A3401" t="s">
        <v>6804</v>
      </c>
      <c r="B3401" s="3" t="str">
        <f>HYPERLINK("http://www.ncbi.nlm.nih.gov/gene/22375","Wars")</f>
        <v>Wars</v>
      </c>
      <c r="C3401">
        <v>22375</v>
      </c>
      <c r="D3401" t="s">
        <v>6805</v>
      </c>
      <c r="E3401" s="3" t="str">
        <f>HYPERLINK("http://genome.ucsc.edu/cgi-bin/hgTracks?db=mm10&amp;lastVirtModeType=default&amp;lastVirtModeExtraState=&amp;virtModeType=default&amp;virtMode=0&amp;nonVirtPosition=&amp;position=chr12:108860029-108893198","chr12:108860029-108893198")</f>
        <v>chr12:108860029-108893198</v>
      </c>
      <c r="F3401" t="s">
        <v>25</v>
      </c>
      <c r="G3401">
        <v>-0.33925005539990399</v>
      </c>
      <c r="H3401">
        <v>0.13372226240346199</v>
      </c>
      <c r="I3401">
        <v>-2.5369751401328502</v>
      </c>
      <c r="J3401">
        <v>1.11814894003643E-2</v>
      </c>
      <c r="K3401">
        <v>4.3922359800609601E-2</v>
      </c>
      <c r="L3401" t="s">
        <v>26</v>
      </c>
      <c r="M3401" t="s">
        <v>27</v>
      </c>
      <c r="N3401">
        <v>368.30231722110602</v>
      </c>
      <c r="O3401">
        <v>423.967410829914</v>
      </c>
      <c r="P3401">
        <v>326.55349701449899</v>
      </c>
      <c r="Q3401">
        <v>383.63006419794499</v>
      </c>
      <c r="R3401">
        <v>447.90005596528999</v>
      </c>
      <c r="S3401">
        <v>440.37211232650702</v>
      </c>
      <c r="T3401">
        <v>252.062509356969</v>
      </c>
      <c r="U3401">
        <v>370.43741703819802</v>
      </c>
      <c r="V3401">
        <v>335.458052491209</v>
      </c>
      <c r="W3401">
        <v>348.256009171622</v>
      </c>
    </row>
    <row r="3402" spans="1:23" x14ac:dyDescent="0.2">
      <c r="A3402" t="s">
        <v>6806</v>
      </c>
      <c r="B3402" s="3" t="str">
        <f>HYPERLINK("http://www.ncbi.nlm.nih.gov/gene/60595","Actn4")</f>
        <v>Actn4</v>
      </c>
      <c r="C3402">
        <v>60595</v>
      </c>
      <c r="D3402" t="s">
        <v>6807</v>
      </c>
      <c r="E3402" s="3" t="str">
        <f>HYPERLINK("http://genome.ucsc.edu/cgi-bin/hgTracks?db=mm10&amp;lastVirtModeType=default&amp;lastVirtModeExtraState=&amp;virtModeType=default&amp;virtMode=0&amp;nonVirtPosition=&amp;position=chr7:28893253-28962280","chr7:28893253-28962280")</f>
        <v>chr7:28893253-28962280</v>
      </c>
      <c r="F3402" t="s">
        <v>25</v>
      </c>
      <c r="G3402">
        <v>0.39668759293449901</v>
      </c>
      <c r="H3402">
        <v>0.156461476890107</v>
      </c>
      <c r="I3402">
        <v>2.5353690941644298</v>
      </c>
      <c r="J3402">
        <v>1.1232890277864199E-2</v>
      </c>
      <c r="K3402">
        <v>4.4111329533982099E-2</v>
      </c>
      <c r="L3402" t="s">
        <v>26</v>
      </c>
      <c r="M3402" t="s">
        <v>27</v>
      </c>
      <c r="N3402">
        <v>714.44299668512701</v>
      </c>
      <c r="O3402">
        <v>602.78652794646598</v>
      </c>
      <c r="P3402">
        <v>798.18534823912296</v>
      </c>
      <c r="Q3402">
        <v>551.78141309167302</v>
      </c>
      <c r="R3402">
        <v>503.650528638362</v>
      </c>
      <c r="S3402">
        <v>752.92764210936298</v>
      </c>
      <c r="T3402">
        <v>737.85570920858299</v>
      </c>
      <c r="U3402">
        <v>740.87483407639502</v>
      </c>
      <c r="V3402">
        <v>898.23307476264495</v>
      </c>
      <c r="W3402">
        <v>815.77777490886797</v>
      </c>
    </row>
    <row r="3403" spans="1:23" x14ac:dyDescent="0.2">
      <c r="A3403" t="s">
        <v>6808</v>
      </c>
      <c r="B3403" s="3" t="str">
        <f>HYPERLINK("http://www.ncbi.nlm.nih.gov/gene/13714","Elk4")</f>
        <v>Elk4</v>
      </c>
      <c r="C3403">
        <v>13714</v>
      </c>
      <c r="D3403" t="s">
        <v>6809</v>
      </c>
      <c r="E3403" s="3" t="str">
        <f>HYPERLINK("http://genome.ucsc.edu/cgi-bin/hgTracks?db=mm10&amp;lastVirtModeType=default&amp;lastVirtModeExtraState=&amp;virtModeType=default&amp;virtMode=0&amp;nonVirtPosition=&amp;position=chr1:132007604-132025684","chr1:132007604-132025684")</f>
        <v>chr1:132007604-132025684</v>
      </c>
      <c r="F3403" t="s">
        <v>30</v>
      </c>
      <c r="G3403">
        <v>0.43561692433055299</v>
      </c>
      <c r="H3403">
        <v>0.171864361157161</v>
      </c>
      <c r="I3403">
        <v>2.5346553607597802</v>
      </c>
      <c r="J3403">
        <v>1.12558003071695E-2</v>
      </c>
      <c r="K3403">
        <v>4.4188338291793403E-2</v>
      </c>
      <c r="L3403" t="s">
        <v>26</v>
      </c>
      <c r="M3403" t="s">
        <v>27</v>
      </c>
      <c r="N3403">
        <v>614.09135483172895</v>
      </c>
      <c r="O3403">
        <v>505.30677242297497</v>
      </c>
      <c r="P3403">
        <v>695.67979163829398</v>
      </c>
      <c r="Q3403">
        <v>419.821579688317</v>
      </c>
      <c r="R3403">
        <v>434.24687898412998</v>
      </c>
      <c r="S3403">
        <v>661.851858596478</v>
      </c>
      <c r="T3403">
        <v>756.187528070908</v>
      </c>
      <c r="U3403">
        <v>676.63713169982896</v>
      </c>
      <c r="V3403">
        <v>745.21712099472495</v>
      </c>
      <c r="W3403">
        <v>604.677385787714</v>
      </c>
    </row>
    <row r="3404" spans="1:23" x14ac:dyDescent="0.2">
      <c r="A3404" t="s">
        <v>6810</v>
      </c>
      <c r="B3404" s="3" t="str">
        <f>HYPERLINK("http://www.ncbi.nlm.nih.gov/gene/104015","Synj1")</f>
        <v>Synj1</v>
      </c>
      <c r="C3404">
        <v>104015</v>
      </c>
      <c r="D3404" t="s">
        <v>6811</v>
      </c>
      <c r="E3404" s="3" t="str">
        <f>HYPERLINK("http://genome.ucsc.edu/cgi-bin/hgTracks?db=mm10&amp;lastVirtModeType=default&amp;lastVirtModeExtraState=&amp;virtModeType=default&amp;virtMode=0&amp;nonVirtPosition=&amp;position=chr16:90936096-91011308","chr16:90936096-91011308")</f>
        <v>chr16:90936096-91011308</v>
      </c>
      <c r="F3404" t="s">
        <v>25</v>
      </c>
      <c r="G3404">
        <v>0.28968579610952</v>
      </c>
      <c r="H3404">
        <v>0.11431162421782901</v>
      </c>
      <c r="I3404">
        <v>2.5341761880445701</v>
      </c>
      <c r="J3404">
        <v>1.1271204475559E-2</v>
      </c>
      <c r="K3404">
        <v>4.4235843825384202E-2</v>
      </c>
      <c r="L3404" t="s">
        <v>26</v>
      </c>
      <c r="M3404" t="s">
        <v>27</v>
      </c>
      <c r="N3404">
        <v>468.55186442253199</v>
      </c>
      <c r="O3404">
        <v>411.20062977050702</v>
      </c>
      <c r="P3404">
        <v>511.56529041155</v>
      </c>
      <c r="Q3404">
        <v>384.74364928995601</v>
      </c>
      <c r="R3404">
        <v>418.31817250610902</v>
      </c>
      <c r="S3404">
        <v>430.540067515457</v>
      </c>
      <c r="T3404">
        <v>577.452294163239</v>
      </c>
      <c r="U3404">
        <v>479.64151107836</v>
      </c>
      <c r="V3404">
        <v>471.55397290979198</v>
      </c>
      <c r="W3404">
        <v>517.61338349480798</v>
      </c>
    </row>
    <row r="3405" spans="1:23" x14ac:dyDescent="0.2">
      <c r="A3405" t="s">
        <v>6812</v>
      </c>
      <c r="B3405" s="3" t="str">
        <f>HYPERLINK("http://www.ncbi.nlm.nih.gov/gene/70918","Nsun7")</f>
        <v>Nsun7</v>
      </c>
      <c r="C3405">
        <v>70918</v>
      </c>
      <c r="D3405" t="s">
        <v>6813</v>
      </c>
      <c r="E3405" s="3" t="str">
        <f>HYPERLINK("http://genome.ucsc.edu/cgi-bin/hgTracks?db=mm10&amp;lastVirtModeType=default&amp;lastVirtModeExtraState=&amp;virtModeType=default&amp;virtMode=0&amp;nonVirtPosition=&amp;position=chr5:66259897-66297062","chr5:66259897-66297062")</f>
        <v>chr5:66259897-66297062</v>
      </c>
      <c r="F3405" t="s">
        <v>30</v>
      </c>
      <c r="G3405">
        <v>-0.66324164279181197</v>
      </c>
      <c r="H3405">
        <v>0.26177261067499802</v>
      </c>
      <c r="I3405">
        <v>-2.5336556069850098</v>
      </c>
      <c r="J3405">
        <v>1.12879610289786E-2</v>
      </c>
      <c r="K3405">
        <v>4.4288627641093599E-2</v>
      </c>
      <c r="L3405" t="s">
        <v>26</v>
      </c>
      <c r="M3405" t="s">
        <v>27</v>
      </c>
      <c r="N3405">
        <v>45.978272404512502</v>
      </c>
      <c r="O3405">
        <v>60.836498441459199</v>
      </c>
      <c r="P3405">
        <v>34.834602876802499</v>
      </c>
      <c r="Q3405">
        <v>76.280578802784305</v>
      </c>
      <c r="R3405">
        <v>43.614315356484603</v>
      </c>
      <c r="S3405">
        <v>62.614601165108603</v>
      </c>
      <c r="T3405">
        <v>27.497728293487601</v>
      </c>
      <c r="U3405">
        <v>38.5426214259396</v>
      </c>
      <c r="V3405">
        <v>37.518334818095703</v>
      </c>
      <c r="W3405">
        <v>35.779726969687196</v>
      </c>
    </row>
    <row r="3406" spans="1:23" x14ac:dyDescent="0.2">
      <c r="A3406" t="s">
        <v>6814</v>
      </c>
      <c r="B3406" s="3" t="str">
        <f>HYPERLINK("http://www.ncbi.nlm.nih.gov/gene/107734","Mrpl30")</f>
        <v>Mrpl30</v>
      </c>
      <c r="C3406">
        <v>107734</v>
      </c>
      <c r="D3406" t="s">
        <v>6815</v>
      </c>
      <c r="E3406" s="3" t="str">
        <f>HYPERLINK("http://genome.ucsc.edu/cgi-bin/hgTracks?db=mm10&amp;lastVirtModeType=default&amp;lastVirtModeExtraState=&amp;virtModeType=default&amp;virtMode=0&amp;nonVirtPosition=&amp;position=chr1:37890552-37898333","chr1:37890552-37898333")</f>
        <v>chr1:37890552-37898333</v>
      </c>
      <c r="F3406" t="s">
        <v>30</v>
      </c>
      <c r="G3406">
        <v>-0.49075807961120399</v>
      </c>
      <c r="H3406">
        <v>0.19371413884960101</v>
      </c>
      <c r="I3406">
        <v>-2.5334138361073699</v>
      </c>
      <c r="J3406">
        <v>1.1295750711146E-2</v>
      </c>
      <c r="K3406">
        <v>4.4306209072336303E-2</v>
      </c>
      <c r="L3406" t="s">
        <v>26</v>
      </c>
      <c r="M3406" t="s">
        <v>27</v>
      </c>
      <c r="N3406">
        <v>127.37286567885199</v>
      </c>
      <c r="O3406">
        <v>155.360685258068</v>
      </c>
      <c r="P3406">
        <v>106.38200099444001</v>
      </c>
      <c r="Q3406">
        <v>117.483227207208</v>
      </c>
      <c r="R3406">
        <v>185.076399077952</v>
      </c>
      <c r="S3406">
        <v>163.52242948904399</v>
      </c>
      <c r="T3406">
        <v>91.659094311625296</v>
      </c>
      <c r="U3406">
        <v>109.204094040162</v>
      </c>
      <c r="V3406">
        <v>112.555004454287</v>
      </c>
      <c r="W3406">
        <v>112.109811171687</v>
      </c>
    </row>
    <row r="3407" spans="1:23" x14ac:dyDescent="0.2">
      <c r="A3407" t="s">
        <v>6816</v>
      </c>
      <c r="B3407" s="3" t="str">
        <f>HYPERLINK("http://www.ncbi.nlm.nih.gov/gene/66251","Arfgap3")</f>
        <v>Arfgap3</v>
      </c>
      <c r="C3407">
        <v>66251</v>
      </c>
      <c r="D3407" t="s">
        <v>6817</v>
      </c>
      <c r="E3407" s="3" t="str">
        <f>HYPERLINK("http://genome.ucsc.edu/cgi-bin/hgTracks?db=mm10&amp;lastVirtModeType=default&amp;lastVirtModeExtraState=&amp;virtModeType=default&amp;virtMode=0&amp;nonVirtPosition=&amp;position=chr15:83299739-83350247","chr15:83299739-83350247")</f>
        <v>chr15:83299739-83350247</v>
      </c>
      <c r="F3407" t="s">
        <v>25</v>
      </c>
      <c r="G3407">
        <v>-0.51682070375306</v>
      </c>
      <c r="H3407">
        <v>0.20402407671491901</v>
      </c>
      <c r="I3407">
        <v>-2.5331358537414599</v>
      </c>
      <c r="J3407">
        <v>1.13047129998003E-2</v>
      </c>
      <c r="K3407">
        <v>4.4328378266566999E-2</v>
      </c>
      <c r="L3407" t="s">
        <v>26</v>
      </c>
      <c r="M3407" t="s">
        <v>27</v>
      </c>
      <c r="N3407">
        <v>306.93808869721698</v>
      </c>
      <c r="O3407">
        <v>377.75579460421699</v>
      </c>
      <c r="P3407">
        <v>253.82480926696601</v>
      </c>
      <c r="Q3407">
        <v>270.04438481277703</v>
      </c>
      <c r="R3407">
        <v>395.94213245365199</v>
      </c>
      <c r="S3407">
        <v>467.28086654622302</v>
      </c>
      <c r="T3407">
        <v>183.31818862325099</v>
      </c>
      <c r="U3407">
        <v>325.47102537460103</v>
      </c>
      <c r="V3407">
        <v>275.13445533270198</v>
      </c>
      <c r="W3407">
        <v>231.375567737311</v>
      </c>
    </row>
    <row r="3408" spans="1:23" x14ac:dyDescent="0.2">
      <c r="A3408" t="s">
        <v>6818</v>
      </c>
      <c r="B3408" s="3" t="str">
        <f>HYPERLINK("http://www.ncbi.nlm.nih.gov/gene/223697","Sun2")</f>
        <v>Sun2</v>
      </c>
      <c r="C3408">
        <v>223697</v>
      </c>
      <c r="D3408" t="s">
        <v>6819</v>
      </c>
      <c r="E3408" s="3" t="str">
        <f>HYPERLINK("http://genome.ucsc.edu/cgi-bin/hgTracks?db=mm10&amp;lastVirtModeType=default&amp;lastVirtModeExtraState=&amp;virtModeType=default&amp;virtMode=0&amp;nonVirtPosition=&amp;position=chr15:79724067-79742536","chr15:79724067-79742536")</f>
        <v>chr15:79724067-79742536</v>
      </c>
      <c r="F3408" t="s">
        <v>25</v>
      </c>
      <c r="G3408">
        <v>0.35028671829226399</v>
      </c>
      <c r="H3408">
        <v>0.13829952816216901</v>
      </c>
      <c r="I3408">
        <v>2.5328120995577099</v>
      </c>
      <c r="J3408">
        <v>1.13151589527255E-2</v>
      </c>
      <c r="K3408">
        <v>4.4356350566729298E-2</v>
      </c>
      <c r="L3408" t="s">
        <v>26</v>
      </c>
      <c r="M3408" t="s">
        <v>27</v>
      </c>
      <c r="N3408">
        <v>363.06284953608002</v>
      </c>
      <c r="O3408">
        <v>310.81973526581203</v>
      </c>
      <c r="P3408">
        <v>402.24518523877998</v>
      </c>
      <c r="Q3408">
        <v>275.61231027283401</v>
      </c>
      <c r="R3408">
        <v>292.02628543037503</v>
      </c>
      <c r="S3408">
        <v>364.82061009422802</v>
      </c>
      <c r="T3408">
        <v>421.63183383347598</v>
      </c>
      <c r="U3408">
        <v>430.39260592299303</v>
      </c>
      <c r="V3408">
        <v>388.42511341087402</v>
      </c>
      <c r="W3408">
        <v>368.53118778777798</v>
      </c>
    </row>
    <row r="3409" spans="1:23" x14ac:dyDescent="0.2">
      <c r="A3409" t="s">
        <v>6820</v>
      </c>
      <c r="B3409" s="3" t="str">
        <f>HYPERLINK("http://www.ncbi.nlm.nih.gov/gene/245670","Rragb")</f>
        <v>Rragb</v>
      </c>
      <c r="C3409">
        <v>245670</v>
      </c>
      <c r="D3409" t="s">
        <v>6821</v>
      </c>
      <c r="E3409" s="3" t="str">
        <f>HYPERLINK("http://genome.ucsc.edu/cgi-bin/hgTracks?db=mm10&amp;lastVirtModeType=default&amp;lastVirtModeExtraState=&amp;virtModeType=default&amp;virtMode=0&amp;nonVirtPosition=&amp;position=chrX:153139957-153171943","chrX:153139957-153171943")</f>
        <v>chrX:153139957-153171943</v>
      </c>
      <c r="F3409" t="s">
        <v>30</v>
      </c>
      <c r="G3409">
        <v>-0.41779067893559801</v>
      </c>
      <c r="H3409">
        <v>0.16499395733390301</v>
      </c>
      <c r="I3409">
        <v>-2.5321574540460499</v>
      </c>
      <c r="J3409">
        <v>1.1336307327446799E-2</v>
      </c>
      <c r="K3409">
        <v>4.4421724134410999E-2</v>
      </c>
      <c r="L3409" t="s">
        <v>26</v>
      </c>
      <c r="M3409" t="s">
        <v>27</v>
      </c>
      <c r="N3409">
        <v>156.84960834712899</v>
      </c>
      <c r="O3409">
        <v>184.45182267736101</v>
      </c>
      <c r="P3409">
        <v>136.14794759945499</v>
      </c>
      <c r="Q3409">
        <v>165.92417870970601</v>
      </c>
      <c r="R3409">
        <v>206.31467438197899</v>
      </c>
      <c r="S3409">
        <v>181.116614940397</v>
      </c>
      <c r="T3409">
        <v>119.15682260511301</v>
      </c>
      <c r="U3409">
        <v>169.15928292495701</v>
      </c>
      <c r="V3409">
        <v>134.624613170814</v>
      </c>
      <c r="W3409">
        <v>121.651071696936</v>
      </c>
    </row>
    <row r="3410" spans="1:23" x14ac:dyDescent="0.2">
      <c r="A3410" t="s">
        <v>6822</v>
      </c>
      <c r="B3410" s="3" t="str">
        <f>HYPERLINK("http://www.ncbi.nlm.nih.gov/gene/21408","Zfp354a")</f>
        <v>Zfp354a</v>
      </c>
      <c r="C3410">
        <v>21408</v>
      </c>
      <c r="D3410" t="s">
        <v>6823</v>
      </c>
      <c r="E3410" s="3" t="str">
        <f>HYPERLINK("http://genome.ucsc.edu/cgi-bin/hgTracks?db=mm10&amp;lastVirtModeType=default&amp;lastVirtModeExtraState=&amp;virtModeType=default&amp;virtMode=0&amp;nonVirtPosition=&amp;position=chr11:51059224-51072799","chr11:51059224-51072799")</f>
        <v>chr11:51059224-51072799</v>
      </c>
      <c r="F3410" t="s">
        <v>30</v>
      </c>
      <c r="G3410">
        <v>-0.66598248614963995</v>
      </c>
      <c r="H3410">
        <v>0.26301685053120499</v>
      </c>
      <c r="I3410">
        <v>-2.5320905668385101</v>
      </c>
      <c r="J3410">
        <v>1.13384700986795E-2</v>
      </c>
      <c r="K3410">
        <v>4.4421724134410999E-2</v>
      </c>
      <c r="L3410" t="s">
        <v>26</v>
      </c>
      <c r="M3410" t="s">
        <v>27</v>
      </c>
      <c r="N3410">
        <v>39.659761354890101</v>
      </c>
      <c r="O3410">
        <v>54.152138723693199</v>
      </c>
      <c r="P3410">
        <v>28.790478328287801</v>
      </c>
      <c r="Q3410">
        <v>59.576802422612602</v>
      </c>
      <c r="R3410">
        <v>48.544629266348103</v>
      </c>
      <c r="S3410">
        <v>54.334984482118998</v>
      </c>
      <c r="T3410">
        <v>13.7488641467438</v>
      </c>
      <c r="U3410">
        <v>27.836337696512</v>
      </c>
      <c r="V3410">
        <v>38.989642065864203</v>
      </c>
      <c r="W3410">
        <v>34.587069404030998</v>
      </c>
    </row>
    <row r="3411" spans="1:23" x14ac:dyDescent="0.2">
      <c r="A3411" t="s">
        <v>6824</v>
      </c>
      <c r="B3411" s="3" t="str">
        <f>HYPERLINK("http://www.ncbi.nlm.nih.gov/gene/29819","Stau2")</f>
        <v>Stau2</v>
      </c>
      <c r="C3411">
        <v>29819</v>
      </c>
      <c r="D3411" t="s">
        <v>6825</v>
      </c>
      <c r="E3411" s="3" t="str">
        <f>HYPERLINK("http://genome.ucsc.edu/cgi-bin/hgTracks?db=mm10&amp;lastVirtModeType=default&amp;lastVirtModeExtraState=&amp;virtModeType=default&amp;virtMode=0&amp;nonVirtPosition=&amp;position=chr1:16228809-16519302","chr1:16228809-16519302")</f>
        <v>chr1:16228809-16519302</v>
      </c>
      <c r="F3411" t="s">
        <v>25</v>
      </c>
      <c r="G3411">
        <v>-0.401070242930197</v>
      </c>
      <c r="H3411">
        <v>0.158432076770019</v>
      </c>
      <c r="I3411">
        <v>-2.5314964690666302</v>
      </c>
      <c r="J3411">
        <v>1.13576960966307E-2</v>
      </c>
      <c r="K3411">
        <v>4.4484032883878998E-2</v>
      </c>
      <c r="L3411" t="s">
        <v>26</v>
      </c>
      <c r="M3411" t="s">
        <v>27</v>
      </c>
      <c r="N3411">
        <v>209.01320267238501</v>
      </c>
      <c r="O3411">
        <v>247.159519521547</v>
      </c>
      <c r="P3411">
        <v>180.40346503551299</v>
      </c>
      <c r="Q3411">
        <v>258.35174134665601</v>
      </c>
      <c r="R3411">
        <v>268.89173554563098</v>
      </c>
      <c r="S3411">
        <v>214.23508167235499</v>
      </c>
      <c r="T3411">
        <v>132.90568675185699</v>
      </c>
      <c r="U3411">
        <v>214.12567458855401</v>
      </c>
      <c r="V3411">
        <v>195.68386395320499</v>
      </c>
      <c r="W3411">
        <v>178.89863484843599</v>
      </c>
    </row>
    <row r="3412" spans="1:23" x14ac:dyDescent="0.2">
      <c r="A3412" t="s">
        <v>6826</v>
      </c>
      <c r="B3412" s="3" t="str">
        <f>HYPERLINK("http://www.ncbi.nlm.nih.gov/gene/229841","Cenpe")</f>
        <v>Cenpe</v>
      </c>
      <c r="C3412">
        <v>229841</v>
      </c>
      <c r="D3412" t="s">
        <v>6827</v>
      </c>
      <c r="E3412" s="3" t="str">
        <f>HYPERLINK("http://genome.ucsc.edu/cgi-bin/hgTracks?db=mm10&amp;lastVirtModeType=default&amp;lastVirtModeExtraState=&amp;virtModeType=default&amp;virtMode=0&amp;nonVirtPosition=&amp;position=chr3:135212562-135273540","chr3:135212562-135273540")</f>
        <v>chr3:135212562-135273540</v>
      </c>
      <c r="F3412" t="s">
        <v>30</v>
      </c>
      <c r="G3412">
        <v>0.59131776019957105</v>
      </c>
      <c r="H3412">
        <v>0.23363405037461701</v>
      </c>
      <c r="I3412">
        <v>2.5309571068576302</v>
      </c>
      <c r="J3412">
        <v>1.1375175819814299E-2</v>
      </c>
      <c r="K3412">
        <v>4.4539467661734798E-2</v>
      </c>
      <c r="L3412" t="s">
        <v>26</v>
      </c>
      <c r="M3412" t="s">
        <v>27</v>
      </c>
      <c r="N3412">
        <v>540.86804614411403</v>
      </c>
      <c r="O3412">
        <v>406.994023122812</v>
      </c>
      <c r="P3412">
        <v>641.27356341008999</v>
      </c>
      <c r="Q3412">
        <v>222.71701840228999</v>
      </c>
      <c r="R3412">
        <v>485.44629266348102</v>
      </c>
      <c r="S3412">
        <v>512.81875830266597</v>
      </c>
      <c r="T3412">
        <v>733.27275449300203</v>
      </c>
      <c r="U3412">
        <v>479.64151107836</v>
      </c>
      <c r="V3412">
        <v>662.82391511969104</v>
      </c>
      <c r="W3412">
        <v>689.35607294930696</v>
      </c>
    </row>
    <row r="3413" spans="1:23" x14ac:dyDescent="0.2">
      <c r="A3413" t="s">
        <v>6828</v>
      </c>
      <c r="B3413" s="3" t="str">
        <f>HYPERLINK("http://www.ncbi.nlm.nih.gov/gene/319675","Cep295")</f>
        <v>Cep295</v>
      </c>
      <c r="C3413">
        <v>319675</v>
      </c>
      <c r="D3413" t="s">
        <v>6829</v>
      </c>
      <c r="E3413" s="3" t="str">
        <f>HYPERLINK("http://genome.ucsc.edu/cgi-bin/hgTracks?db=mm10&amp;lastVirtModeType=default&amp;lastVirtModeExtraState=&amp;virtModeType=default&amp;virtMode=0&amp;nonVirtPosition=&amp;position=chr9:15316913-15357788","chr9:15316913-15357788")</f>
        <v>chr9:15316913-15357788</v>
      </c>
      <c r="F3413" t="s">
        <v>25</v>
      </c>
      <c r="G3413">
        <v>0.47835688281134697</v>
      </c>
      <c r="H3413">
        <v>0.18908982091281901</v>
      </c>
      <c r="I3413">
        <v>2.5297865347912998</v>
      </c>
      <c r="J3413">
        <v>1.14131940594084E-2</v>
      </c>
      <c r="K3413">
        <v>4.4675265024711398E-2</v>
      </c>
      <c r="L3413" t="s">
        <v>26</v>
      </c>
      <c r="M3413" t="s">
        <v>27</v>
      </c>
      <c r="N3413">
        <v>374.273240406372</v>
      </c>
      <c r="O3413">
        <v>299.077055005695</v>
      </c>
      <c r="P3413">
        <v>430.67037945688003</v>
      </c>
      <c r="Q3413">
        <v>213.25154512019299</v>
      </c>
      <c r="R3413">
        <v>321.228913973413</v>
      </c>
      <c r="S3413">
        <v>362.75070592347998</v>
      </c>
      <c r="T3413">
        <v>545.37161115416995</v>
      </c>
      <c r="U3413">
        <v>355.44861981699898</v>
      </c>
      <c r="V3413">
        <v>406.81645400797902</v>
      </c>
      <c r="W3413">
        <v>415.04483284837102</v>
      </c>
    </row>
    <row r="3414" spans="1:23" x14ac:dyDescent="0.2">
      <c r="A3414" t="s">
        <v>6830</v>
      </c>
      <c r="B3414" s="3" t="str">
        <f>HYPERLINK("http://www.ncbi.nlm.nih.gov/gene/104522","AU040972")</f>
        <v>AU040972</v>
      </c>
      <c r="C3414">
        <v>104522</v>
      </c>
      <c r="D3414" t="s">
        <v>6831</v>
      </c>
      <c r="E3414" s="3" t="str">
        <f>HYPERLINK("http://genome.ucsc.edu/cgi-bin/hgTracks?db=mm10&amp;lastVirtModeType=default&amp;lastVirtModeExtraState=&amp;virtModeType=default&amp;virtMode=0&amp;nonVirtPosition=&amp;position=chr11:79481722-79484031","chr11:79481722-79484031")</f>
        <v>chr11:79481722-79484031</v>
      </c>
      <c r="F3414" t="s">
        <v>25</v>
      </c>
      <c r="G3414">
        <v>0.80911839359902904</v>
      </c>
      <c r="H3414">
        <v>0.31997131178107202</v>
      </c>
      <c r="I3414">
        <v>2.5287216816257501</v>
      </c>
      <c r="J3414">
        <v>1.1447876652681901E-2</v>
      </c>
      <c r="K3414">
        <v>4.4797929940404303E-2</v>
      </c>
      <c r="L3414" t="s">
        <v>26</v>
      </c>
      <c r="M3414" t="s">
        <v>27</v>
      </c>
      <c r="N3414">
        <v>22.9904321098747</v>
      </c>
      <c r="O3414">
        <v>14.3335177620782</v>
      </c>
      <c r="P3414">
        <v>29.483117870722101</v>
      </c>
      <c r="Q3414">
        <v>18.3741540181889</v>
      </c>
      <c r="R3414">
        <v>9.1021179874402698</v>
      </c>
      <c r="S3414">
        <v>15.5242812806054</v>
      </c>
      <c r="T3414">
        <v>41.246592440231403</v>
      </c>
      <c r="U3414">
        <v>19.2713107129698</v>
      </c>
      <c r="V3414">
        <v>32.368759450906097</v>
      </c>
      <c r="W3414">
        <v>25.045808878780999</v>
      </c>
    </row>
    <row r="3415" spans="1:23" x14ac:dyDescent="0.2">
      <c r="A3415" t="s">
        <v>6832</v>
      </c>
      <c r="B3415" s="3" t="str">
        <f>HYPERLINK("http://www.ncbi.nlm.nih.gov/gene/94352","Loxl2")</f>
        <v>Loxl2</v>
      </c>
      <c r="C3415">
        <v>94352</v>
      </c>
      <c r="D3415" t="s">
        <v>6833</v>
      </c>
      <c r="E3415" s="3" t="str">
        <f>HYPERLINK("http://genome.ucsc.edu/cgi-bin/hgTracks?db=mm10&amp;lastVirtModeType=default&amp;lastVirtModeExtraState=&amp;virtModeType=default&amp;virtMode=0&amp;nonVirtPosition=&amp;position=chr14:69609475-69695834","chr14:69609475-69695834")</f>
        <v>chr14:69609475-69695834</v>
      </c>
      <c r="F3415" t="s">
        <v>30</v>
      </c>
      <c r="G3415">
        <v>-0.69517526224479498</v>
      </c>
      <c r="H3415">
        <v>0.27500694238075801</v>
      </c>
      <c r="I3415">
        <v>-2.5278462289955499</v>
      </c>
      <c r="J3415">
        <v>1.1476460448700199E-2</v>
      </c>
      <c r="K3415">
        <v>4.48966642911321E-2</v>
      </c>
      <c r="L3415" t="s">
        <v>26</v>
      </c>
      <c r="M3415" t="s">
        <v>27</v>
      </c>
      <c r="N3415">
        <v>154.446955106117</v>
      </c>
      <c r="O3415">
        <v>207.76501369084201</v>
      </c>
      <c r="P3415">
        <v>114.458411167573</v>
      </c>
      <c r="Q3415">
        <v>281.18023573289099</v>
      </c>
      <c r="R3415">
        <v>124.77486741116</v>
      </c>
      <c r="S3415">
        <v>217.33993792847599</v>
      </c>
      <c r="T3415">
        <v>68.744320733718993</v>
      </c>
      <c r="U3415">
        <v>92.074040073077995</v>
      </c>
      <c r="V3415">
        <v>176.55686973221501</v>
      </c>
      <c r="W3415">
        <v>120.45841413127999</v>
      </c>
    </row>
    <row r="3416" spans="1:23" x14ac:dyDescent="0.2">
      <c r="A3416" t="s">
        <v>6834</v>
      </c>
      <c r="B3416" s="3" t="str">
        <f>HYPERLINK("http://www.ncbi.nlm.nih.gov/gene/13038","Ctsk")</f>
        <v>Ctsk</v>
      </c>
      <c r="C3416">
        <v>13038</v>
      </c>
      <c r="D3416" t="s">
        <v>6835</v>
      </c>
      <c r="E3416" s="3" t="str">
        <f>HYPERLINK("http://genome.ucsc.edu/cgi-bin/hgTracks?db=mm10&amp;lastVirtModeType=default&amp;lastVirtModeExtraState=&amp;virtModeType=default&amp;virtMode=0&amp;nonVirtPosition=&amp;position=chr3:95499209-95509387","chr3:95499209-95509387")</f>
        <v>chr3:95499209-95509387</v>
      </c>
      <c r="F3416" t="s">
        <v>30</v>
      </c>
      <c r="G3416">
        <v>-0.91401617256159196</v>
      </c>
      <c r="H3416">
        <v>0.361603466106934</v>
      </c>
      <c r="I3416">
        <v>-2.52767536329781</v>
      </c>
      <c r="J3416">
        <v>1.1482046648234E-2</v>
      </c>
      <c r="K3416">
        <v>4.49053991432539E-2</v>
      </c>
      <c r="L3416" t="s">
        <v>26</v>
      </c>
      <c r="M3416" t="s">
        <v>27</v>
      </c>
      <c r="N3416">
        <v>31.103101089381799</v>
      </c>
      <c r="O3416">
        <v>45.992248638258999</v>
      </c>
      <c r="P3416">
        <v>19.936240427724002</v>
      </c>
      <c r="Q3416">
        <v>80.178126624824401</v>
      </c>
      <c r="R3416">
        <v>34.512197369044401</v>
      </c>
      <c r="S3416">
        <v>23.286421920908101</v>
      </c>
      <c r="T3416">
        <v>22.914773577906299</v>
      </c>
      <c r="U3416">
        <v>32.118851188283003</v>
      </c>
      <c r="V3416">
        <v>13.977418853800399</v>
      </c>
      <c r="W3416">
        <v>10.733918090906201</v>
      </c>
    </row>
    <row r="3417" spans="1:23" x14ac:dyDescent="0.2">
      <c r="A3417" t="s">
        <v>6836</v>
      </c>
      <c r="B3417" s="3" t="str">
        <f>HYPERLINK("http://www.ncbi.nlm.nih.gov/gene/209225","Zfp710")</f>
        <v>Zfp710</v>
      </c>
      <c r="C3417">
        <v>209225</v>
      </c>
      <c r="D3417" t="s">
        <v>6837</v>
      </c>
      <c r="E3417" s="3" t="str">
        <f>HYPERLINK("http://genome.ucsc.edu/cgi-bin/hgTracks?db=mm10&amp;lastVirtModeType=default&amp;lastVirtModeExtraState=&amp;virtModeType=default&amp;virtMode=0&amp;nonVirtPosition=&amp;position=chr7:80024813-80092751","chr7:80024813-80092751")</f>
        <v>chr7:80024813-80092751</v>
      </c>
      <c r="F3417" t="s">
        <v>30</v>
      </c>
      <c r="G3417">
        <v>0.44525199051256398</v>
      </c>
      <c r="H3417">
        <v>0.176185048229349</v>
      </c>
      <c r="I3417">
        <v>2.52718374792483</v>
      </c>
      <c r="J3417">
        <v>1.14981327438231E-2</v>
      </c>
      <c r="K3417">
        <v>4.4946735677514803E-2</v>
      </c>
      <c r="L3417" t="s">
        <v>26</v>
      </c>
      <c r="M3417" t="s">
        <v>27</v>
      </c>
      <c r="N3417">
        <v>156.22013478347799</v>
      </c>
      <c r="O3417">
        <v>128.68477397888199</v>
      </c>
      <c r="P3417">
        <v>176.871655386924</v>
      </c>
      <c r="Q3417">
        <v>157.015497973614</v>
      </c>
      <c r="R3417">
        <v>108.466906016997</v>
      </c>
      <c r="S3417">
        <v>120.571917946035</v>
      </c>
      <c r="T3417">
        <v>160.40341504534399</v>
      </c>
      <c r="U3417">
        <v>205.56064760501101</v>
      </c>
      <c r="V3417">
        <v>181.70644509940499</v>
      </c>
      <c r="W3417">
        <v>159.816113797936</v>
      </c>
    </row>
    <row r="3418" spans="1:23" x14ac:dyDescent="0.2">
      <c r="A3418" t="s">
        <v>6838</v>
      </c>
      <c r="B3418" s="3" t="str">
        <f>HYPERLINK("http://www.ncbi.nlm.nih.gov/gene/50790","Acsl4")</f>
        <v>Acsl4</v>
      </c>
      <c r="C3418">
        <v>50790</v>
      </c>
      <c r="D3418" t="s">
        <v>6839</v>
      </c>
      <c r="E3418" s="3" t="str">
        <f>HYPERLINK("http://genome.ucsc.edu/cgi-bin/hgTracks?db=mm10&amp;lastVirtModeType=default&amp;lastVirtModeExtraState=&amp;virtModeType=default&amp;virtMode=0&amp;nonVirtPosition=&amp;position=chrX:142317992-142390535","chrX:142317992-142390535")</f>
        <v>chrX:142317992-142390535</v>
      </c>
      <c r="F3418" t="s">
        <v>25</v>
      </c>
      <c r="G3418">
        <v>-0.53644923351366902</v>
      </c>
      <c r="H3418">
        <v>0.212274627943672</v>
      </c>
      <c r="I3418">
        <v>-2.5271472088318498</v>
      </c>
      <c r="J3418">
        <v>1.14993291338336E-2</v>
      </c>
      <c r="K3418">
        <v>4.4946735677514803E-2</v>
      </c>
      <c r="L3418" t="s">
        <v>26</v>
      </c>
      <c r="M3418" t="s">
        <v>27</v>
      </c>
      <c r="N3418">
        <v>395.69729934648802</v>
      </c>
      <c r="O3418">
        <v>490.628136853645</v>
      </c>
      <c r="P3418">
        <v>324.49917121611998</v>
      </c>
      <c r="Q3418">
        <v>304.56552266513199</v>
      </c>
      <c r="R3418">
        <v>581.01853153160403</v>
      </c>
      <c r="S3418">
        <v>586.30035636419802</v>
      </c>
      <c r="T3418">
        <v>247.47955464138801</v>
      </c>
      <c r="U3418">
        <v>349.024849579342</v>
      </c>
      <c r="V3418">
        <v>366.35550469434702</v>
      </c>
      <c r="W3418">
        <v>335.13677594940299</v>
      </c>
    </row>
    <row r="3419" spans="1:23" x14ac:dyDescent="0.2">
      <c r="A3419" t="s">
        <v>6840</v>
      </c>
      <c r="B3419" s="3" t="str">
        <f>HYPERLINK("http://www.ncbi.nlm.nih.gov/gene/228368","Slc35c1")</f>
        <v>Slc35c1</v>
      </c>
      <c r="C3419">
        <v>228368</v>
      </c>
      <c r="D3419" t="s">
        <v>6841</v>
      </c>
      <c r="E3419" s="3" t="str">
        <f>HYPERLINK("http://genome.ucsc.edu/cgi-bin/hgTracks?db=mm10&amp;lastVirtModeType=default&amp;lastVirtModeExtraState=&amp;virtModeType=default&amp;virtMode=0&amp;nonVirtPosition=&amp;position=chr2:92452764-92460518","chr2:92452764-92460518")</f>
        <v>chr2:92452764-92460518</v>
      </c>
      <c r="F3419" t="s">
        <v>25</v>
      </c>
      <c r="G3419">
        <v>0.60420147362063303</v>
      </c>
      <c r="H3419">
        <v>0.23920080186888401</v>
      </c>
      <c r="I3419">
        <v>2.5259174254433399</v>
      </c>
      <c r="J3419">
        <v>1.15396600988972E-2</v>
      </c>
      <c r="K3419">
        <v>4.5082579216792998E-2</v>
      </c>
      <c r="L3419" t="s">
        <v>26</v>
      </c>
      <c r="M3419" t="s">
        <v>27</v>
      </c>
      <c r="N3419">
        <v>63.440964704627</v>
      </c>
      <c r="O3419">
        <v>46.863853876939203</v>
      </c>
      <c r="P3419">
        <v>75.873797825392799</v>
      </c>
      <c r="Q3419">
        <v>36.191515490372097</v>
      </c>
      <c r="R3419">
        <v>44.372825188771301</v>
      </c>
      <c r="S3419">
        <v>60.027220951674302</v>
      </c>
      <c r="T3419">
        <v>73.327275449300203</v>
      </c>
      <c r="U3419">
        <v>96.356553564849094</v>
      </c>
      <c r="V3419">
        <v>61.059250782391103</v>
      </c>
      <c r="W3419">
        <v>72.752111505030598</v>
      </c>
    </row>
    <row r="3420" spans="1:23" x14ac:dyDescent="0.2">
      <c r="A3420" t="s">
        <v>6842</v>
      </c>
      <c r="B3420" s="3" t="str">
        <f>HYPERLINK("http://www.ncbi.nlm.nih.gov/gene/380928","Lmo7")</f>
        <v>Lmo7</v>
      </c>
      <c r="C3420">
        <v>380928</v>
      </c>
      <c r="D3420" t="s">
        <v>6843</v>
      </c>
      <c r="E3420" s="3" t="str">
        <f>HYPERLINK("http://genome.ucsc.edu/cgi-bin/hgTracks?db=mm10&amp;lastVirtModeType=default&amp;lastVirtModeExtraState=&amp;virtModeType=default&amp;virtMode=0&amp;nonVirtPosition=&amp;position=chr14:101729927-101934693","chr14:101729927-101934693")</f>
        <v>chr14:101729927-101934693</v>
      </c>
      <c r="F3420" t="s">
        <v>30</v>
      </c>
      <c r="G3420">
        <v>0.71946557657886401</v>
      </c>
      <c r="H3420">
        <v>0.284837343490425</v>
      </c>
      <c r="I3420">
        <v>2.5258822026721002</v>
      </c>
      <c r="J3420">
        <v>1.15408170827546E-2</v>
      </c>
      <c r="K3420">
        <v>4.5082579216792998E-2</v>
      </c>
      <c r="L3420" t="s">
        <v>26</v>
      </c>
      <c r="M3420" t="s">
        <v>27</v>
      </c>
      <c r="N3420">
        <v>55.846698383839502</v>
      </c>
      <c r="O3420">
        <v>38.762348837905897</v>
      </c>
      <c r="P3420">
        <v>68.659960543289898</v>
      </c>
      <c r="Q3420">
        <v>34.521137852354897</v>
      </c>
      <c r="R3420">
        <v>49.682394014778097</v>
      </c>
      <c r="S3420">
        <v>32.083514646584597</v>
      </c>
      <c r="T3420">
        <v>59.578411302556397</v>
      </c>
      <c r="U3420">
        <v>49.248905155367297</v>
      </c>
      <c r="V3420">
        <v>53.702714543548801</v>
      </c>
      <c r="W3420">
        <v>112.109811171687</v>
      </c>
    </row>
    <row r="3421" spans="1:23" x14ac:dyDescent="0.2">
      <c r="A3421" t="s">
        <v>6844</v>
      </c>
      <c r="B3421" s="3" t="str">
        <f>HYPERLINK("http://www.ncbi.nlm.nih.gov/gene/17222","Anapc1")</f>
        <v>Anapc1</v>
      </c>
      <c r="C3421">
        <v>17222</v>
      </c>
      <c r="D3421" t="s">
        <v>6845</v>
      </c>
      <c r="E3421" s="3" t="str">
        <f>HYPERLINK("http://genome.ucsc.edu/cgi-bin/hgTracks?db=mm10&amp;lastVirtModeType=default&amp;lastVirtModeExtraState=&amp;virtModeType=default&amp;virtMode=0&amp;nonVirtPosition=&amp;position=chr2:128610082-128687395","chr2:128610082-128687395")</f>
        <v>chr2:128610082-128687395</v>
      </c>
      <c r="F3421" t="s">
        <v>25</v>
      </c>
      <c r="G3421">
        <v>-0.29752881535591802</v>
      </c>
      <c r="H3421">
        <v>0.117804704563246</v>
      </c>
      <c r="I3421">
        <v>-2.5256106405851</v>
      </c>
      <c r="J3421">
        <v>1.15497407051771E-2</v>
      </c>
      <c r="K3421">
        <v>4.5104280484988699E-2</v>
      </c>
      <c r="L3421" t="s">
        <v>26</v>
      </c>
      <c r="M3421" t="s">
        <v>27</v>
      </c>
      <c r="N3421">
        <v>1456.9925606486499</v>
      </c>
      <c r="O3421">
        <v>1638.36988759054</v>
      </c>
      <c r="P3421">
        <v>1320.9595654422301</v>
      </c>
      <c r="Q3421">
        <v>1533.40667169977</v>
      </c>
      <c r="R3421">
        <v>1557.5999406007199</v>
      </c>
      <c r="S3421">
        <v>1824.10305047114</v>
      </c>
      <c r="T3421">
        <v>1209.9000449134501</v>
      </c>
      <c r="U3421">
        <v>1348.9917499078899</v>
      </c>
      <c r="V3421">
        <v>1459.53678978631</v>
      </c>
      <c r="W3421">
        <v>1265.4096771612701</v>
      </c>
    </row>
    <row r="3422" spans="1:23" x14ac:dyDescent="0.2">
      <c r="A3422" t="s">
        <v>6846</v>
      </c>
      <c r="B3422" s="3" t="str">
        <f>HYPERLINK("http://www.ncbi.nlm.nih.gov/gene/22027","Hsp90b1")</f>
        <v>Hsp90b1</v>
      </c>
      <c r="C3422">
        <v>22027</v>
      </c>
      <c r="D3422" t="s">
        <v>6847</v>
      </c>
      <c r="E3422" s="3" t="str">
        <f>HYPERLINK("http://genome.ucsc.edu/cgi-bin/hgTracks?db=mm10&amp;lastVirtModeType=default&amp;lastVirtModeExtraState=&amp;virtModeType=default&amp;virtMode=0&amp;nonVirtPosition=&amp;position=chr10:86690840-86705444","chr10:86690840-86705444")</f>
        <v>chr10:86690840-86705444</v>
      </c>
      <c r="F3422" t="s">
        <v>25</v>
      </c>
      <c r="G3422">
        <v>-0.55552812123682704</v>
      </c>
      <c r="H3422">
        <v>0.220042176332468</v>
      </c>
      <c r="I3422">
        <v>-2.5246438228163299</v>
      </c>
      <c r="J3422">
        <v>1.15815603899479E-2</v>
      </c>
      <c r="K3422">
        <v>4.5213481284055897E-2</v>
      </c>
      <c r="L3422" t="s">
        <v>26</v>
      </c>
      <c r="M3422" t="s">
        <v>27</v>
      </c>
      <c r="N3422">
        <v>2268.6926188351999</v>
      </c>
      <c r="O3422">
        <v>2823.5551501230698</v>
      </c>
      <c r="P3422">
        <v>1852.5457203692999</v>
      </c>
      <c r="Q3422">
        <v>3918.70593878829</v>
      </c>
      <c r="R3422">
        <v>2417.3708354976802</v>
      </c>
      <c r="S3422">
        <v>2134.58867608325</v>
      </c>
      <c r="T3422">
        <v>1640.6977881780899</v>
      </c>
      <c r="U3422">
        <v>1396.0993983173701</v>
      </c>
      <c r="V3422">
        <v>1973.7586728813901</v>
      </c>
      <c r="W3422">
        <v>2399.6270221003501</v>
      </c>
    </row>
    <row r="3423" spans="1:23" x14ac:dyDescent="0.2">
      <c r="A3423" t="s">
        <v>6848</v>
      </c>
      <c r="B3423" s="3" t="str">
        <f>HYPERLINK("http://www.ncbi.nlm.nih.gov/gene/18005","Nek2")</f>
        <v>Nek2</v>
      </c>
      <c r="C3423">
        <v>18005</v>
      </c>
      <c r="D3423" t="s">
        <v>6849</v>
      </c>
      <c r="E3423" s="3" t="str">
        <f>HYPERLINK("http://genome.ucsc.edu/cgi-bin/hgTracks?db=mm10&amp;lastVirtModeType=default&amp;lastVirtModeExtraState=&amp;virtModeType=default&amp;virtMode=0&amp;nonVirtPosition=&amp;position=chr1:191821472-191833049","chr1:191821472-191833049")</f>
        <v>chr1:191821472-191833049</v>
      </c>
      <c r="F3423" t="s">
        <v>30</v>
      </c>
      <c r="G3423">
        <v>0.67445390481780398</v>
      </c>
      <c r="H3423">
        <v>0.26716093410879499</v>
      </c>
      <c r="I3423">
        <v>2.5245229324701599</v>
      </c>
      <c r="J3423">
        <v>1.1585544571623399E-2</v>
      </c>
      <c r="K3423">
        <v>4.5213481284055897E-2</v>
      </c>
      <c r="L3423" t="s">
        <v>26</v>
      </c>
      <c r="M3423" t="s">
        <v>27</v>
      </c>
      <c r="N3423">
        <v>159.64479373868599</v>
      </c>
      <c r="O3423">
        <v>113.261337283781</v>
      </c>
      <c r="P3423">
        <v>194.43238607986399</v>
      </c>
      <c r="Q3423">
        <v>50.111329140515302</v>
      </c>
      <c r="R3423">
        <v>132.35996573402701</v>
      </c>
      <c r="S3423">
        <v>157.31271697680199</v>
      </c>
      <c r="T3423">
        <v>206.23296220115699</v>
      </c>
      <c r="U3423">
        <v>190.571850383813</v>
      </c>
      <c r="V3423">
        <v>200.833439320395</v>
      </c>
      <c r="W3423">
        <v>180.09129241409201</v>
      </c>
    </row>
    <row r="3424" spans="1:23" x14ac:dyDescent="0.2">
      <c r="A3424" t="s">
        <v>6850</v>
      </c>
      <c r="B3424" s="3" t="str">
        <f>HYPERLINK("http://www.ncbi.nlm.nih.gov/gene/244962","Snx14")</f>
        <v>Snx14</v>
      </c>
      <c r="C3424">
        <v>244962</v>
      </c>
      <c r="D3424" t="s">
        <v>6851</v>
      </c>
      <c r="E3424" s="3" t="str">
        <f>HYPERLINK("http://genome.ucsc.edu/cgi-bin/hgTracks?db=mm10&amp;lastVirtModeType=default&amp;lastVirtModeExtraState=&amp;virtModeType=default&amp;virtMode=0&amp;nonVirtPosition=&amp;position=chr9:88376746-88438951","chr9:88376746-88438951")</f>
        <v>chr9:88376746-88438951</v>
      </c>
      <c r="F3424" t="s">
        <v>25</v>
      </c>
      <c r="G3424">
        <v>-0.40802951615511601</v>
      </c>
      <c r="H3424">
        <v>0.16163082929477701</v>
      </c>
      <c r="I3424">
        <v>-2.5244535212460399</v>
      </c>
      <c r="J3424">
        <v>1.15878327060623E-2</v>
      </c>
      <c r="K3424">
        <v>4.5213481284055897E-2</v>
      </c>
      <c r="L3424" t="s">
        <v>26</v>
      </c>
      <c r="M3424" t="s">
        <v>27</v>
      </c>
      <c r="N3424">
        <v>231.97817186776101</v>
      </c>
      <c r="O3424">
        <v>272.47924180882802</v>
      </c>
      <c r="P3424">
        <v>201.60236941196001</v>
      </c>
      <c r="Q3424">
        <v>326.28043195935498</v>
      </c>
      <c r="R3424">
        <v>224.13965544071701</v>
      </c>
      <c r="S3424">
        <v>267.01763802641301</v>
      </c>
      <c r="T3424">
        <v>192.48409805441301</v>
      </c>
      <c r="U3424">
        <v>201.27813411323999</v>
      </c>
      <c r="V3424">
        <v>192.00559583378401</v>
      </c>
      <c r="W3424">
        <v>220.64164964640401</v>
      </c>
    </row>
    <row r="3425" spans="1:23" x14ac:dyDescent="0.2">
      <c r="A3425" t="s">
        <v>6852</v>
      </c>
      <c r="B3425" s="3" t="str">
        <f>HYPERLINK("http://www.ncbi.nlm.nih.gov/gene/234311","Ddx60")</f>
        <v>Ddx60</v>
      </c>
      <c r="C3425">
        <v>234311</v>
      </c>
      <c r="D3425" t="s">
        <v>6853</v>
      </c>
      <c r="E3425" s="3" t="str">
        <f>HYPERLINK("http://genome.ucsc.edu/cgi-bin/hgTracks?db=mm10&amp;lastVirtModeType=default&amp;lastVirtModeExtraState=&amp;virtModeType=default&amp;virtMode=0&amp;nonVirtPosition=&amp;position=chr8:61928086-62037701","chr8:61928086-62037701")</f>
        <v>chr8:61928086-62037701</v>
      </c>
      <c r="F3425" t="s">
        <v>30</v>
      </c>
      <c r="G3425">
        <v>0.81074299418762696</v>
      </c>
      <c r="H3425">
        <v>0.321258800197608</v>
      </c>
      <c r="I3425">
        <v>2.5236444688485902</v>
      </c>
      <c r="J3425">
        <v>1.1614532632553499E-2</v>
      </c>
      <c r="K3425">
        <v>4.5304458631670298E-2</v>
      </c>
      <c r="L3425" t="s">
        <v>26</v>
      </c>
      <c r="M3425" t="s">
        <v>27</v>
      </c>
      <c r="N3425">
        <v>92.406085107821596</v>
      </c>
      <c r="O3425">
        <v>57.033614242949398</v>
      </c>
      <c r="P3425">
        <v>118.935438256476</v>
      </c>
      <c r="Q3425">
        <v>77.394163894795795</v>
      </c>
      <c r="R3425">
        <v>42.476550608054602</v>
      </c>
      <c r="S3425">
        <v>51.230128225997902</v>
      </c>
      <c r="T3425">
        <v>215.39887163231899</v>
      </c>
      <c r="U3425">
        <v>38.5426214259396</v>
      </c>
      <c r="V3425">
        <v>103.727160967676</v>
      </c>
      <c r="W3425">
        <v>118.073098999968</v>
      </c>
    </row>
    <row r="3426" spans="1:23" x14ac:dyDescent="0.2">
      <c r="A3426" t="s">
        <v>6854</v>
      </c>
      <c r="B3426" s="3" t="str">
        <f>HYPERLINK("http://www.ncbi.nlm.nih.gov/gene/67997","Ddx59")</f>
        <v>Ddx59</v>
      </c>
      <c r="C3426">
        <v>67997</v>
      </c>
      <c r="D3426" t="s">
        <v>6855</v>
      </c>
      <c r="E3426" s="3" t="str">
        <f>HYPERLINK("http://genome.ucsc.edu/cgi-bin/hgTracks?db=mm10&amp;lastVirtModeType=default&amp;lastVirtModeExtraState=&amp;virtModeType=default&amp;virtMode=0&amp;nonVirtPosition=&amp;position=chr1:136415270-136440220","chr1:136415270-136440220")</f>
        <v>chr1:136415270-136440220</v>
      </c>
      <c r="F3426" t="s">
        <v>30</v>
      </c>
      <c r="G3426">
        <v>-0.55661685856004595</v>
      </c>
      <c r="H3426">
        <v>0.220577042875093</v>
      </c>
      <c r="I3426">
        <v>-2.5234577964454998</v>
      </c>
      <c r="J3426">
        <v>1.1620700842792001E-2</v>
      </c>
      <c r="K3426">
        <v>4.5315318865995401E-2</v>
      </c>
      <c r="L3426" t="s">
        <v>26</v>
      </c>
      <c r="M3426" t="s">
        <v>27</v>
      </c>
      <c r="N3426">
        <v>72.848066789579704</v>
      </c>
      <c r="O3426">
        <v>93.105041538514797</v>
      </c>
      <c r="P3426">
        <v>57.655335727878501</v>
      </c>
      <c r="Q3426">
        <v>108.01775392511099</v>
      </c>
      <c r="R3426">
        <v>93.675964287406103</v>
      </c>
      <c r="S3426">
        <v>77.621406403027194</v>
      </c>
      <c r="T3426">
        <v>32.0806830090688</v>
      </c>
      <c r="U3426">
        <v>66.378959122451604</v>
      </c>
      <c r="V3426">
        <v>61.7949044062753</v>
      </c>
      <c r="W3426">
        <v>70.366796373718103</v>
      </c>
    </row>
    <row r="3427" spans="1:23" x14ac:dyDescent="0.2">
      <c r="A3427" t="s">
        <v>6856</v>
      </c>
      <c r="B3427" s="3" t="str">
        <f>HYPERLINK("http://www.ncbi.nlm.nih.gov/gene/329154","Ankrd44")</f>
        <v>Ankrd44</v>
      </c>
      <c r="C3427">
        <v>329154</v>
      </c>
      <c r="D3427" t="s">
        <v>6857</v>
      </c>
      <c r="E3427" s="3" t="str">
        <f>HYPERLINK("http://genome.ucsc.edu/cgi-bin/hgTracks?db=mm10&amp;lastVirtModeType=default&amp;lastVirtModeExtraState=&amp;virtModeType=default&amp;virtMode=0&amp;nonVirtPosition=&amp;position=chr1:54645339-54926387","chr1:54645339-54926387")</f>
        <v>chr1:54645339-54926387</v>
      </c>
      <c r="F3427" t="s">
        <v>25</v>
      </c>
      <c r="G3427">
        <v>0.36300403258352998</v>
      </c>
      <c r="H3427">
        <v>0.143866576511817</v>
      </c>
      <c r="I3427">
        <v>2.5231992126657201</v>
      </c>
      <c r="J3427">
        <v>1.16292500198905E-2</v>
      </c>
      <c r="K3427">
        <v>4.5329339618716699E-2</v>
      </c>
      <c r="L3427" t="s">
        <v>26</v>
      </c>
      <c r="M3427" t="s">
        <v>27</v>
      </c>
      <c r="N3427">
        <v>202.67875150366899</v>
      </c>
      <c r="O3427">
        <v>172.87399118856899</v>
      </c>
      <c r="P3427">
        <v>225.03232173999399</v>
      </c>
      <c r="Q3427">
        <v>187.639088003929</v>
      </c>
      <c r="R3427">
        <v>163.83812377392499</v>
      </c>
      <c r="S3427">
        <v>167.14476178785199</v>
      </c>
      <c r="T3427">
        <v>247.47955464138801</v>
      </c>
      <c r="U3427">
        <v>205.56064760501101</v>
      </c>
      <c r="V3427">
        <v>247.91527124898599</v>
      </c>
      <c r="W3427">
        <v>199.173813464592</v>
      </c>
    </row>
    <row r="3428" spans="1:23" x14ac:dyDescent="0.2">
      <c r="A3428" t="s">
        <v>6858</v>
      </c>
      <c r="B3428" s="3" t="str">
        <f>HYPERLINK("http://www.ncbi.nlm.nih.gov/gene/67684","Luc7l3")</f>
        <v>Luc7l3</v>
      </c>
      <c r="C3428">
        <v>67684</v>
      </c>
      <c r="D3428" t="s">
        <v>6859</v>
      </c>
      <c r="E3428" s="3" t="str">
        <f>HYPERLINK("http://genome.ucsc.edu/cgi-bin/hgTracks?db=mm10&amp;lastVirtModeType=default&amp;lastVirtModeExtraState=&amp;virtModeType=default&amp;virtMode=0&amp;nonVirtPosition=&amp;position=chr11:94291138-94321911","chr11:94291138-94321911")</f>
        <v>chr11:94291138-94321911</v>
      </c>
      <c r="F3428" t="s">
        <v>25</v>
      </c>
      <c r="G3428">
        <v>0.36759607141412598</v>
      </c>
      <c r="H3428">
        <v>0.145689674741386</v>
      </c>
      <c r="I3428">
        <v>2.52314429328398</v>
      </c>
      <c r="J3428">
        <v>1.16310664573154E-2</v>
      </c>
      <c r="K3428">
        <v>4.5329339618716699E-2</v>
      </c>
      <c r="L3428" t="s">
        <v>26</v>
      </c>
      <c r="M3428" t="s">
        <v>27</v>
      </c>
      <c r="N3428">
        <v>601.48250379126398</v>
      </c>
      <c r="O3428">
        <v>512.91164099291905</v>
      </c>
      <c r="P3428">
        <v>667.910650890022</v>
      </c>
      <c r="Q3428">
        <v>510.02197214124402</v>
      </c>
      <c r="R3428">
        <v>566.60684471815705</v>
      </c>
      <c r="S3428">
        <v>462.10610611935499</v>
      </c>
      <c r="T3428">
        <v>696.60911676835201</v>
      </c>
      <c r="U3428">
        <v>548.16172694669694</v>
      </c>
      <c r="V3428">
        <v>628.983848421017</v>
      </c>
      <c r="W3428">
        <v>797.88791142402397</v>
      </c>
    </row>
    <row r="3429" spans="1:23" x14ac:dyDescent="0.2">
      <c r="A3429" t="s">
        <v>6860</v>
      </c>
      <c r="B3429" s="3" t="str">
        <f>HYPERLINK("http://www.ncbi.nlm.nih.gov/gene/14155","Fem1b")</f>
        <v>Fem1b</v>
      </c>
      <c r="C3429">
        <v>14155</v>
      </c>
      <c r="D3429" t="s">
        <v>6861</v>
      </c>
      <c r="E3429" s="3" t="str">
        <f>HYPERLINK("http://genome.ucsc.edu/cgi-bin/hgTracks?db=mm10&amp;lastVirtModeType=default&amp;lastVirtModeExtraState=&amp;virtModeType=default&amp;virtMode=0&amp;nonVirtPosition=&amp;position=chr9:62791829-62811648","chr9:62791829-62811648")</f>
        <v>chr9:62791829-62811648</v>
      </c>
      <c r="F3429" t="s">
        <v>25</v>
      </c>
      <c r="G3429">
        <v>-0.32220807688203801</v>
      </c>
      <c r="H3429">
        <v>0.12772208605037799</v>
      </c>
      <c r="I3429">
        <v>-2.5227279544662902</v>
      </c>
      <c r="J3429">
        <v>1.16448448929923E-2</v>
      </c>
      <c r="K3429">
        <v>4.5369833564754297E-2</v>
      </c>
      <c r="L3429" t="s">
        <v>26</v>
      </c>
      <c r="M3429" t="s">
        <v>27</v>
      </c>
      <c r="N3429">
        <v>975.17590734123303</v>
      </c>
      <c r="O3429">
        <v>1107.2057690695401</v>
      </c>
      <c r="P3429">
        <v>876.15351104500496</v>
      </c>
      <c r="Q3429">
        <v>1015.58960391444</v>
      </c>
      <c r="R3429">
        <v>1007.68031219287</v>
      </c>
      <c r="S3429">
        <v>1298.3473911013</v>
      </c>
      <c r="T3429">
        <v>820.34889408904598</v>
      </c>
      <c r="U3429">
        <v>862.92646859187096</v>
      </c>
      <c r="V3429">
        <v>932.808795085204</v>
      </c>
      <c r="W3429">
        <v>888.52988641389902</v>
      </c>
    </row>
    <row r="3430" spans="1:23" x14ac:dyDescent="0.2">
      <c r="A3430" t="s">
        <v>6862</v>
      </c>
      <c r="B3430" s="3" t="str">
        <f>HYPERLINK("http://www.ncbi.nlm.nih.gov/gene/70753","6330415B21Rik")</f>
        <v>6330415B21Rik</v>
      </c>
      <c r="C3430">
        <v>70753</v>
      </c>
      <c r="D3430" t="s">
        <v>6863</v>
      </c>
      <c r="E3430" s="3" t="str">
        <f>HYPERLINK("http://genome.ucsc.edu/cgi-bin/hgTracks?db=mm10&amp;lastVirtModeType=default&amp;lastVirtModeExtraState=&amp;virtModeType=default&amp;virtMode=0&amp;nonVirtPosition=&amp;position=chr6:77380256-77382475","chr6:77380256-77382475")</f>
        <v>chr6:77380256-77382475</v>
      </c>
      <c r="F3430" t="s">
        <v>25</v>
      </c>
      <c r="G3430">
        <v>0.81609916290582996</v>
      </c>
      <c r="H3430">
        <v>0.323534256454727</v>
      </c>
      <c r="I3430">
        <v>2.52245054928219</v>
      </c>
      <c r="J3430">
        <v>1.16540334563148E-2</v>
      </c>
      <c r="K3430">
        <v>4.5392426414633903E-2</v>
      </c>
      <c r="L3430" t="s">
        <v>26</v>
      </c>
      <c r="M3430" t="s">
        <v>27</v>
      </c>
      <c r="N3430">
        <v>28.689531980144501</v>
      </c>
      <c r="O3430">
        <v>18.896534228717101</v>
      </c>
      <c r="P3430">
        <v>36.034280293715199</v>
      </c>
      <c r="Q3430">
        <v>25.6124571162634</v>
      </c>
      <c r="R3430">
        <v>9.8606278197269592</v>
      </c>
      <c r="S3430">
        <v>21.216517750160801</v>
      </c>
      <c r="T3430">
        <v>22.914773577906299</v>
      </c>
      <c r="U3430">
        <v>32.118851188283003</v>
      </c>
      <c r="V3430">
        <v>48.553139176359203</v>
      </c>
      <c r="W3430">
        <v>40.550357232312201</v>
      </c>
    </row>
    <row r="3431" spans="1:23" x14ac:dyDescent="0.2">
      <c r="A3431" t="s">
        <v>6864</v>
      </c>
      <c r="B3431" s="3" t="str">
        <f>HYPERLINK("http://www.ncbi.nlm.nih.gov/gene/67448","Plxdc2")</f>
        <v>Plxdc2</v>
      </c>
      <c r="C3431">
        <v>67448</v>
      </c>
      <c r="D3431" t="s">
        <v>6865</v>
      </c>
      <c r="E3431" s="3" t="str">
        <f>HYPERLINK("http://genome.ucsc.edu/cgi-bin/hgTracks?db=mm10&amp;lastVirtModeType=default&amp;lastVirtModeExtraState=&amp;virtModeType=default&amp;virtMode=0&amp;nonVirtPosition=&amp;position=chr2:16356303-16755839","chr2:16356303-16755839")</f>
        <v>chr2:16356303-16755839</v>
      </c>
      <c r="F3431" t="s">
        <v>30</v>
      </c>
      <c r="G3431">
        <v>-0.69479167645751205</v>
      </c>
      <c r="H3431">
        <v>0.27550231698359001</v>
      </c>
      <c r="I3431">
        <v>-2.5219086505864001</v>
      </c>
      <c r="J3431">
        <v>1.1672001463926499E-2</v>
      </c>
      <c r="K3431">
        <v>4.5449192091724197E-2</v>
      </c>
      <c r="L3431" t="s">
        <v>26</v>
      </c>
      <c r="M3431" t="s">
        <v>27</v>
      </c>
      <c r="N3431">
        <v>247.041167895538</v>
      </c>
      <c r="O3431">
        <v>328.09196727270302</v>
      </c>
      <c r="P3431">
        <v>186.25306836266401</v>
      </c>
      <c r="Q3431">
        <v>556.23575345971904</v>
      </c>
      <c r="R3431">
        <v>256.75557822904398</v>
      </c>
      <c r="S3431">
        <v>171.284570129347</v>
      </c>
      <c r="T3431">
        <v>160.40341504534399</v>
      </c>
      <c r="U3431">
        <v>177.72430990849901</v>
      </c>
      <c r="V3431">
        <v>199.362132072626</v>
      </c>
      <c r="W3431">
        <v>207.52241642418599</v>
      </c>
    </row>
    <row r="3432" spans="1:23" x14ac:dyDescent="0.2">
      <c r="A3432" t="s">
        <v>6866</v>
      </c>
      <c r="B3432" s="3" t="str">
        <f>HYPERLINK("http://www.ncbi.nlm.nih.gov/gene/72615","Anks3")</f>
        <v>Anks3</v>
      </c>
      <c r="C3432">
        <v>72615</v>
      </c>
      <c r="D3432" t="s">
        <v>6867</v>
      </c>
      <c r="E3432" s="3" t="str">
        <f>HYPERLINK("http://genome.ucsc.edu/cgi-bin/hgTracks?db=mm10&amp;lastVirtModeType=default&amp;lastVirtModeExtraState=&amp;virtModeType=default&amp;virtMode=0&amp;nonVirtPosition=&amp;position=chr16:4941414-4964237","chr16:4941414-4964237")</f>
        <v>chr16:4941414-4964237</v>
      </c>
      <c r="F3432" t="s">
        <v>25</v>
      </c>
      <c r="G3432">
        <v>0.43407047235615198</v>
      </c>
      <c r="H3432">
        <v>0.172129028605537</v>
      </c>
      <c r="I3432">
        <v>2.52177378721457</v>
      </c>
      <c r="J3432">
        <v>1.1676477014109799E-2</v>
      </c>
      <c r="K3432">
        <v>4.5453402237193297E-2</v>
      </c>
      <c r="L3432" t="s">
        <v>26</v>
      </c>
      <c r="M3432" t="s">
        <v>27</v>
      </c>
      <c r="N3432">
        <v>136.98387815031899</v>
      </c>
      <c r="O3432">
        <v>113.927972141571</v>
      </c>
      <c r="P3432">
        <v>154.27580765688</v>
      </c>
      <c r="Q3432">
        <v>119.153604845225</v>
      </c>
      <c r="R3432">
        <v>94.813729035836204</v>
      </c>
      <c r="S3432">
        <v>127.81658254365099</v>
      </c>
      <c r="T3432">
        <v>155.82046032976299</v>
      </c>
      <c r="U3432">
        <v>130.61666149901799</v>
      </c>
      <c r="V3432">
        <v>168.464679869489</v>
      </c>
      <c r="W3432">
        <v>162.201428929249</v>
      </c>
    </row>
    <row r="3433" spans="1:23" x14ac:dyDescent="0.2">
      <c r="A3433" t="s">
        <v>6868</v>
      </c>
      <c r="B3433" s="3" t="str">
        <f>HYPERLINK("http://www.ncbi.nlm.nih.gov/gene/20717","Serpina3m")</f>
        <v>Serpina3m</v>
      </c>
      <c r="C3433">
        <v>20717</v>
      </c>
      <c r="D3433" t="s">
        <v>6869</v>
      </c>
      <c r="E3433" s="3" t="str">
        <f>HYPERLINK("http://genome.ucsc.edu/cgi-bin/hgTracks?db=mm10&amp;lastVirtModeType=default&amp;lastVirtModeExtraState=&amp;virtModeType=default&amp;virtMode=0&amp;nonVirtPosition=&amp;position=chr12:104387163-104394257","chr12:104387163-104394257")</f>
        <v>chr12:104387163-104394257</v>
      </c>
      <c r="F3433" t="s">
        <v>30</v>
      </c>
      <c r="G3433">
        <v>0.93087489338292495</v>
      </c>
      <c r="H3433">
        <v>0.36926617510495602</v>
      </c>
      <c r="I3433">
        <v>2.5208777736502501</v>
      </c>
      <c r="J3433">
        <v>1.17062506271452E-2</v>
      </c>
      <c r="K3433">
        <v>4.5556059909358002E-2</v>
      </c>
      <c r="L3433" t="s">
        <v>26</v>
      </c>
      <c r="M3433" t="s">
        <v>27</v>
      </c>
      <c r="N3433">
        <v>18.014787020525201</v>
      </c>
      <c r="O3433">
        <v>1.8775494498831899</v>
      </c>
      <c r="P3433">
        <v>30.117715198506701</v>
      </c>
      <c r="Q3433">
        <v>1.1135850920114501</v>
      </c>
      <c r="R3433">
        <v>0.379254916143345</v>
      </c>
      <c r="S3433">
        <v>4.1398083414947804</v>
      </c>
      <c r="T3433">
        <v>0</v>
      </c>
      <c r="U3433">
        <v>23.553824204740899</v>
      </c>
      <c r="V3433">
        <v>55.174021791317301</v>
      </c>
      <c r="W3433">
        <v>41.743014797968399</v>
      </c>
    </row>
    <row r="3434" spans="1:23" x14ac:dyDescent="0.2">
      <c r="A3434" t="s">
        <v>6870</v>
      </c>
      <c r="B3434" s="3" t="str">
        <f>HYPERLINK("http://www.ncbi.nlm.nih.gov/gene/233064","Wdr62")</f>
        <v>Wdr62</v>
      </c>
      <c r="C3434">
        <v>233064</v>
      </c>
      <c r="D3434" t="s">
        <v>6871</v>
      </c>
      <c r="E3434" s="3" t="str">
        <f>HYPERLINK("http://genome.ucsc.edu/cgi-bin/hgTracks?db=mm10&amp;lastVirtModeType=default&amp;lastVirtModeExtraState=&amp;virtModeType=default&amp;virtMode=0&amp;nonVirtPosition=&amp;position=chr7:30240137-30280421","chr7:30240137-30280421")</f>
        <v>chr7:30240137-30280421</v>
      </c>
      <c r="F3434" t="s">
        <v>25</v>
      </c>
      <c r="G3434">
        <v>0.73603529183401095</v>
      </c>
      <c r="H3434">
        <v>0.29198786590728298</v>
      </c>
      <c r="I3434">
        <v>2.5207735586783899</v>
      </c>
      <c r="J3434">
        <v>1.17097179522484E-2</v>
      </c>
      <c r="K3434">
        <v>4.5556314090226001E-2</v>
      </c>
      <c r="L3434" t="s">
        <v>26</v>
      </c>
      <c r="M3434" t="s">
        <v>27</v>
      </c>
      <c r="N3434">
        <v>107.03380966432</v>
      </c>
      <c r="O3434">
        <v>71.385409136134498</v>
      </c>
      <c r="P3434">
        <v>133.77011006045899</v>
      </c>
      <c r="Q3434">
        <v>31.737175122326299</v>
      </c>
      <c r="R3434">
        <v>71.6791791510921</v>
      </c>
      <c r="S3434">
        <v>110.739873134985</v>
      </c>
      <c r="T3434">
        <v>183.31818862325099</v>
      </c>
      <c r="U3434">
        <v>115.627864277819</v>
      </c>
      <c r="V3434">
        <v>113.29065807817101</v>
      </c>
      <c r="W3434">
        <v>122.843729262593</v>
      </c>
    </row>
    <row r="3435" spans="1:23" x14ac:dyDescent="0.2">
      <c r="A3435" t="s">
        <v>6872</v>
      </c>
      <c r="B3435" s="3" t="str">
        <f>HYPERLINK("http://www.ncbi.nlm.nih.gov/gene/67967","Pold3")</f>
        <v>Pold3</v>
      </c>
      <c r="C3435">
        <v>67967</v>
      </c>
      <c r="D3435" t="s">
        <v>6873</v>
      </c>
      <c r="E3435" s="3" t="str">
        <f>HYPERLINK("http://genome.ucsc.edu/cgi-bin/hgTracks?db=mm10&amp;lastVirtModeType=default&amp;lastVirtModeExtraState=&amp;virtModeType=default&amp;virtMode=0&amp;nonVirtPosition=&amp;position=chr7:100082112-100121500","chr7:100082112-100121500")</f>
        <v>chr7:100082112-100121500</v>
      </c>
      <c r="F3435" t="s">
        <v>25</v>
      </c>
      <c r="G3435">
        <v>0.43848504927154203</v>
      </c>
      <c r="H3435">
        <v>0.17400094728922599</v>
      </c>
      <c r="I3435">
        <v>2.52001529935746</v>
      </c>
      <c r="J3435">
        <v>1.1734973356834599E-2</v>
      </c>
      <c r="K3435">
        <v>4.5641309387561002E-2</v>
      </c>
      <c r="L3435" t="s">
        <v>26</v>
      </c>
      <c r="M3435" t="s">
        <v>27</v>
      </c>
      <c r="N3435">
        <v>184.864015843083</v>
      </c>
      <c r="O3435">
        <v>150.06037939103899</v>
      </c>
      <c r="P3435">
        <v>210.96674318211601</v>
      </c>
      <c r="Q3435">
        <v>135.30058867939101</v>
      </c>
      <c r="R3435">
        <v>149.80569187662101</v>
      </c>
      <c r="S3435">
        <v>165.07485761710399</v>
      </c>
      <c r="T3435">
        <v>265.81137350371301</v>
      </c>
      <c r="U3435">
        <v>158.45299919553</v>
      </c>
      <c r="V3435">
        <v>184.649059594942</v>
      </c>
      <c r="W3435">
        <v>234.95354043427901</v>
      </c>
    </row>
    <row r="3436" spans="1:23" x14ac:dyDescent="0.2">
      <c r="A3436" t="s">
        <v>6874</v>
      </c>
      <c r="B3436" s="3" t="str">
        <f>HYPERLINK("http://www.ncbi.nlm.nih.gov/gene/75786","Ckap5")</f>
        <v>Ckap5</v>
      </c>
      <c r="C3436">
        <v>75786</v>
      </c>
      <c r="D3436" t="s">
        <v>6875</v>
      </c>
      <c r="E3436" s="3" t="str">
        <f>HYPERLINK("http://genome.ucsc.edu/cgi-bin/hgTracks?db=mm10&amp;lastVirtModeType=default&amp;lastVirtModeExtraState=&amp;virtModeType=default&amp;virtMode=0&amp;nonVirtPosition=&amp;position=chr2:91546321-91620665","chr2:91546321-91620665")</f>
        <v>chr2:91546321-91620665</v>
      </c>
      <c r="F3436" t="s">
        <v>30</v>
      </c>
      <c r="G3436">
        <v>-0.32619815130838398</v>
      </c>
      <c r="H3436">
        <v>0.12945009486546799</v>
      </c>
      <c r="I3436">
        <v>-2.51987572235763</v>
      </c>
      <c r="J3436">
        <v>1.1739627521203199E-2</v>
      </c>
      <c r="K3436">
        <v>4.5646153349718999E-2</v>
      </c>
      <c r="L3436" t="s">
        <v>26</v>
      </c>
      <c r="M3436" t="s">
        <v>27</v>
      </c>
      <c r="N3436">
        <v>1543.6434380067899</v>
      </c>
      <c r="O3436">
        <v>1754.83118718693</v>
      </c>
      <c r="P3436">
        <v>1385.2526261216999</v>
      </c>
      <c r="Q3436">
        <v>1541.20176734385</v>
      </c>
      <c r="R3436">
        <v>1926.6149740081901</v>
      </c>
      <c r="S3436">
        <v>1796.6768202087401</v>
      </c>
      <c r="T3436">
        <v>1292.39322979392</v>
      </c>
      <c r="U3436">
        <v>1235.5051423759501</v>
      </c>
      <c r="V3436">
        <v>1538.9873811658099</v>
      </c>
      <c r="W3436">
        <v>1474.1247511511101</v>
      </c>
    </row>
    <row r="3437" spans="1:23" x14ac:dyDescent="0.2">
      <c r="A3437" t="s">
        <v>6876</v>
      </c>
      <c r="B3437" s="3" t="str">
        <f>HYPERLINK("http://www.ncbi.nlm.nih.gov/gene/26440","Psma1")</f>
        <v>Psma1</v>
      </c>
      <c r="C3437">
        <v>26440</v>
      </c>
      <c r="D3437" t="s">
        <v>6877</v>
      </c>
      <c r="E3437" s="3" t="str">
        <f>HYPERLINK("http://genome.ucsc.edu/cgi-bin/hgTracks?db=mm10&amp;lastVirtModeType=default&amp;lastVirtModeExtraState=&amp;virtModeType=default&amp;virtMode=0&amp;nonVirtPosition=&amp;position=chr7:114264549-114276116","chr7:114264549-114276116")</f>
        <v>chr7:114264549-114276116</v>
      </c>
      <c r="F3437" t="s">
        <v>25</v>
      </c>
      <c r="G3437">
        <v>-0.32397261183117998</v>
      </c>
      <c r="H3437">
        <v>0.12859267239845401</v>
      </c>
      <c r="I3437">
        <v>-2.51937070587761</v>
      </c>
      <c r="J3437">
        <v>1.17564808669222E-2</v>
      </c>
      <c r="K3437">
        <v>4.5698413726837597E-2</v>
      </c>
      <c r="L3437" t="s">
        <v>26</v>
      </c>
      <c r="M3437" t="s">
        <v>27</v>
      </c>
      <c r="N3437">
        <v>346.09881305617898</v>
      </c>
      <c r="O3437">
        <v>390.04754543395899</v>
      </c>
      <c r="P3437">
        <v>313.13726377284399</v>
      </c>
      <c r="Q3437">
        <v>346.88175616156701</v>
      </c>
      <c r="R3437">
        <v>417.559662673822</v>
      </c>
      <c r="S3437">
        <v>405.70121746648903</v>
      </c>
      <c r="T3437">
        <v>352.88751309975697</v>
      </c>
      <c r="U3437">
        <v>284.787147202776</v>
      </c>
      <c r="V3437">
        <v>321.48063363740903</v>
      </c>
      <c r="W3437">
        <v>293.393761151435</v>
      </c>
    </row>
    <row r="3438" spans="1:23" x14ac:dyDescent="0.2">
      <c r="A3438" t="s">
        <v>6878</v>
      </c>
      <c r="B3438" s="3" t="str">
        <f>HYPERLINK("http://www.ncbi.nlm.nih.gov/gene/108958","Miga2")</f>
        <v>Miga2</v>
      </c>
      <c r="C3438">
        <v>108958</v>
      </c>
      <c r="D3438" t="s">
        <v>6879</v>
      </c>
      <c r="E3438" s="3" t="str">
        <f>HYPERLINK("http://genome.ucsc.edu/cgi-bin/hgTracks?db=mm10&amp;lastVirtModeType=default&amp;lastVirtModeExtraState=&amp;virtModeType=default&amp;virtMode=0&amp;nonVirtPosition=&amp;position=chr2:30364232-30385519","chr2:30364232-30385519")</f>
        <v>chr2:30364232-30385519</v>
      </c>
      <c r="F3438" t="s">
        <v>30</v>
      </c>
      <c r="G3438">
        <v>0.40201278473163699</v>
      </c>
      <c r="H3438">
        <v>0.159583808607204</v>
      </c>
      <c r="I3438">
        <v>2.5191326628952901</v>
      </c>
      <c r="J3438">
        <v>1.1764432246065101E-2</v>
      </c>
      <c r="K3438">
        <v>4.57044299579328E-2</v>
      </c>
      <c r="L3438" t="s">
        <v>26</v>
      </c>
      <c r="M3438" t="s">
        <v>27</v>
      </c>
      <c r="N3438">
        <v>203.25295429104801</v>
      </c>
      <c r="O3438">
        <v>171.69173332578001</v>
      </c>
      <c r="P3438">
        <v>226.92387001499901</v>
      </c>
      <c r="Q3438">
        <v>146.436439599506</v>
      </c>
      <c r="R3438">
        <v>191.14447773624599</v>
      </c>
      <c r="S3438">
        <v>177.494282641589</v>
      </c>
      <c r="T3438">
        <v>178.735233907669</v>
      </c>
      <c r="U3438">
        <v>271.939606727463</v>
      </c>
      <c r="V3438">
        <v>218.48912629361601</v>
      </c>
      <c r="W3438">
        <v>238.531513131248</v>
      </c>
    </row>
    <row r="3439" spans="1:23" x14ac:dyDescent="0.2">
      <c r="A3439" t="s">
        <v>6880</v>
      </c>
      <c r="B3439" s="3" t="str">
        <f>HYPERLINK("http://www.ncbi.nlm.nih.gov/gene/19769","Rit1")</f>
        <v>Rit1</v>
      </c>
      <c r="C3439">
        <v>19769</v>
      </c>
      <c r="D3439" t="s">
        <v>6881</v>
      </c>
      <c r="E3439" s="3" t="str">
        <f>HYPERLINK("http://genome.ucsc.edu/cgi-bin/hgTracks?db=mm10&amp;lastVirtModeType=default&amp;lastVirtModeExtraState=&amp;virtModeType=default&amp;virtMode=0&amp;nonVirtPosition=&amp;position=chr3:88716853-88731048","chr3:88716853-88731048")</f>
        <v>chr3:88716853-88731048</v>
      </c>
      <c r="F3439" t="s">
        <v>30</v>
      </c>
      <c r="G3439">
        <v>-0.48301266351326899</v>
      </c>
      <c r="H3439">
        <v>0.19173864685272701</v>
      </c>
      <c r="I3439">
        <v>-2.51912001801217</v>
      </c>
      <c r="J3439">
        <v>1.1764854758045999E-2</v>
      </c>
      <c r="K3439">
        <v>4.57044299579328E-2</v>
      </c>
      <c r="L3439" t="s">
        <v>26</v>
      </c>
      <c r="M3439" t="s">
        <v>27</v>
      </c>
      <c r="N3439">
        <v>138.24561659943799</v>
      </c>
      <c r="O3439">
        <v>166.55388053545201</v>
      </c>
      <c r="P3439">
        <v>117.014418647428</v>
      </c>
      <c r="Q3439">
        <v>203.78607183809501</v>
      </c>
      <c r="R3439">
        <v>143.73761321832799</v>
      </c>
      <c r="S3439">
        <v>152.13795654993299</v>
      </c>
      <c r="T3439">
        <v>137.48864146743799</v>
      </c>
      <c r="U3439">
        <v>87.791526581306996</v>
      </c>
      <c r="V3439">
        <v>129.47503780362501</v>
      </c>
      <c r="W3439">
        <v>113.30246873734301</v>
      </c>
    </row>
    <row r="3440" spans="1:23" x14ac:dyDescent="0.2">
      <c r="A3440" t="s">
        <v>6882</v>
      </c>
      <c r="B3440" s="3" t="str">
        <f>HYPERLINK("http://www.ncbi.nlm.nih.gov/gene/14011","Etv6")</f>
        <v>Etv6</v>
      </c>
      <c r="C3440">
        <v>14011</v>
      </c>
      <c r="D3440" t="s">
        <v>6883</v>
      </c>
      <c r="E3440" s="3" t="str">
        <f>HYPERLINK("http://genome.ucsc.edu/cgi-bin/hgTracks?db=mm10&amp;lastVirtModeType=default&amp;lastVirtModeExtraState=&amp;virtModeType=default&amp;virtMode=0&amp;nonVirtPosition=&amp;position=chr6:134035699-134270147","chr6:134035699-134270147")</f>
        <v>chr6:134035699-134270147</v>
      </c>
      <c r="F3440" t="s">
        <v>30</v>
      </c>
      <c r="G3440">
        <v>0.47111422771894601</v>
      </c>
      <c r="H3440">
        <v>0.18703063754215801</v>
      </c>
      <c r="I3440">
        <v>2.5189147292124998</v>
      </c>
      <c r="J3440">
        <v>1.1771716093937E-2</v>
      </c>
      <c r="K3440">
        <v>4.5717821987792999E-2</v>
      </c>
      <c r="L3440" t="s">
        <v>26</v>
      </c>
      <c r="M3440" t="s">
        <v>27</v>
      </c>
      <c r="N3440">
        <v>327.07219637223801</v>
      </c>
      <c r="O3440">
        <v>265.26826140295702</v>
      </c>
      <c r="P3440">
        <v>373.42514759919902</v>
      </c>
      <c r="Q3440">
        <v>214.92192275821</v>
      </c>
      <c r="R3440">
        <v>232.104008679727</v>
      </c>
      <c r="S3440">
        <v>348.77885277093498</v>
      </c>
      <c r="T3440">
        <v>380.385241393245</v>
      </c>
      <c r="U3440">
        <v>308.34097140751697</v>
      </c>
      <c r="V3440">
        <v>443.59913520219101</v>
      </c>
      <c r="W3440">
        <v>361.37524239384101</v>
      </c>
    </row>
    <row r="3441" spans="1:23" x14ac:dyDescent="0.2">
      <c r="A3441" t="s">
        <v>6884</v>
      </c>
      <c r="B3441" s="3" t="str">
        <f>HYPERLINK("http://www.ncbi.nlm.nih.gov/gene/231834","Snx8")</f>
        <v>Snx8</v>
      </c>
      <c r="C3441">
        <v>231834</v>
      </c>
      <c r="D3441" t="s">
        <v>6885</v>
      </c>
      <c r="E3441" s="3" t="str">
        <f>HYPERLINK("http://genome.ucsc.edu/cgi-bin/hgTracks?db=mm10&amp;lastVirtModeType=default&amp;lastVirtModeExtraState=&amp;virtModeType=default&amp;virtMode=0&amp;nonVirtPosition=&amp;position=chr5:140340292-140389308","chr5:140340292-140389308")</f>
        <v>chr5:140340292-140389308</v>
      </c>
      <c r="F3441" t="s">
        <v>25</v>
      </c>
      <c r="G3441">
        <v>0.47058327519538501</v>
      </c>
      <c r="H3441">
        <v>0.186881557019759</v>
      </c>
      <c r="I3441">
        <v>2.5180830184630199</v>
      </c>
      <c r="J3441">
        <v>1.1799550565479299E-2</v>
      </c>
      <c r="K3441">
        <v>4.5812636016913003E-2</v>
      </c>
      <c r="L3441" t="s">
        <v>26</v>
      </c>
      <c r="M3441" t="s">
        <v>27</v>
      </c>
      <c r="N3441">
        <v>184.069496958738</v>
      </c>
      <c r="O3441">
        <v>148.776103028747</v>
      </c>
      <c r="P3441">
        <v>210.53954240623099</v>
      </c>
      <c r="Q3441">
        <v>116.92643466120199</v>
      </c>
      <c r="R3441">
        <v>153.97749595419799</v>
      </c>
      <c r="S3441">
        <v>175.42437847084099</v>
      </c>
      <c r="T3441">
        <v>183.31818862325099</v>
      </c>
      <c r="U3441">
        <v>274.08086347334898</v>
      </c>
      <c r="V3441">
        <v>192.741249457668</v>
      </c>
      <c r="W3441">
        <v>192.017868070655</v>
      </c>
    </row>
    <row r="3442" spans="1:23" x14ac:dyDescent="0.2">
      <c r="A3442" t="s">
        <v>6886</v>
      </c>
      <c r="B3442" s="3" t="str">
        <f>HYPERLINK("http://www.ncbi.nlm.nih.gov/gene/330503","Gm5113")</f>
        <v>Gm5113</v>
      </c>
      <c r="C3442">
        <v>330503</v>
      </c>
      <c r="D3442" t="s">
        <v>6887</v>
      </c>
      <c r="E3442" s="3" t="str">
        <f>HYPERLINK("http://genome.ucsc.edu/cgi-bin/hgTracks?db=mm10&amp;lastVirtModeType=default&amp;lastVirtModeExtraState=&amp;virtModeType=default&amp;virtMode=0&amp;nonVirtPosition=&amp;position=chr7:30169921-30180209","chr7:30169921-30180209")</f>
        <v>chr7:30169921-30180209</v>
      </c>
      <c r="F3442" t="s">
        <v>30</v>
      </c>
      <c r="G3442">
        <v>-0.61000416852332295</v>
      </c>
      <c r="H3442">
        <v>0.24230079678188299</v>
      </c>
      <c r="I3442">
        <v>-2.5175491646131198</v>
      </c>
      <c r="J3442">
        <v>1.1817447543761199E-2</v>
      </c>
      <c r="K3442">
        <v>4.5868823205364298E-2</v>
      </c>
      <c r="L3442" t="s">
        <v>26</v>
      </c>
      <c r="M3442" t="s">
        <v>27</v>
      </c>
      <c r="N3442">
        <v>53.881270417765897</v>
      </c>
      <c r="O3442">
        <v>70.829088246205401</v>
      </c>
      <c r="P3442">
        <v>41.170407046436303</v>
      </c>
      <c r="Q3442">
        <v>62.3607651526412</v>
      </c>
      <c r="R3442">
        <v>75.092473396382204</v>
      </c>
      <c r="S3442">
        <v>75.034026189592893</v>
      </c>
      <c r="T3442">
        <v>27.497728293487601</v>
      </c>
      <c r="U3442">
        <v>32.118851188283003</v>
      </c>
      <c r="V3442">
        <v>47.817485552474999</v>
      </c>
      <c r="W3442">
        <v>57.247563151499499</v>
      </c>
    </row>
    <row r="3443" spans="1:23" x14ac:dyDescent="0.2">
      <c r="A3443" t="s">
        <v>6888</v>
      </c>
      <c r="B3443" s="3" t="str">
        <f>HYPERLINK("http://www.ncbi.nlm.nih.gov/gene/70717","Medag")</f>
        <v>Medag</v>
      </c>
      <c r="C3443">
        <v>70717</v>
      </c>
      <c r="D3443" t="s">
        <v>6889</v>
      </c>
      <c r="E3443" s="3" t="str">
        <f>HYPERLINK("http://genome.ucsc.edu/cgi-bin/hgTracks?db=mm10&amp;lastVirtModeType=default&amp;lastVirtModeExtraState=&amp;virtModeType=default&amp;virtMode=0&amp;nonVirtPosition=&amp;position=chr5:149411805-149431703","chr5:149411805-149431703")</f>
        <v>chr5:149411805-149431703</v>
      </c>
      <c r="F3443" t="s">
        <v>30</v>
      </c>
      <c r="G3443">
        <v>-0.91403482249123402</v>
      </c>
      <c r="H3443">
        <v>0.36310913688532298</v>
      </c>
      <c r="I3443">
        <v>-2.51724544948563</v>
      </c>
      <c r="J3443">
        <v>1.1827640065092401E-2</v>
      </c>
      <c r="K3443">
        <v>4.58950820375695E-2</v>
      </c>
      <c r="L3443" t="s">
        <v>26</v>
      </c>
      <c r="M3443" t="s">
        <v>27</v>
      </c>
      <c r="N3443">
        <v>13.7274833720345</v>
      </c>
      <c r="O3443">
        <v>21.056564923751999</v>
      </c>
      <c r="P3443">
        <v>8.2306722082463502</v>
      </c>
      <c r="Q3443">
        <v>14.4766061961489</v>
      </c>
      <c r="R3443">
        <v>31.098903123754301</v>
      </c>
      <c r="S3443">
        <v>17.5941854513528</v>
      </c>
      <c r="T3443">
        <v>4.58295471558126</v>
      </c>
      <c r="U3443">
        <v>10.7062837294277</v>
      </c>
      <c r="V3443">
        <v>8.0921898627265296</v>
      </c>
      <c r="W3443">
        <v>9.5412605252499194</v>
      </c>
    </row>
    <row r="3444" spans="1:23" x14ac:dyDescent="0.2">
      <c r="A3444" t="s">
        <v>6890</v>
      </c>
      <c r="B3444" s="3" t="str">
        <f>HYPERLINK("http://www.ncbi.nlm.nih.gov/gene/20411","Sorbs1")</f>
        <v>Sorbs1</v>
      </c>
      <c r="C3444">
        <v>20411</v>
      </c>
      <c r="D3444" t="s">
        <v>6891</v>
      </c>
      <c r="E3444" s="3" t="str">
        <f>HYPERLINK("http://genome.ucsc.edu/cgi-bin/hgTracks?db=mm10&amp;lastVirtModeType=default&amp;lastVirtModeExtraState=&amp;virtModeType=default&amp;virtMode=0&amp;nonVirtPosition=&amp;position=chr19:40292039-40513812","chr19:40292039-40513812")</f>
        <v>chr19:40292039-40513812</v>
      </c>
      <c r="F3444" t="s">
        <v>25</v>
      </c>
      <c r="G3444">
        <v>0.38921888063890497</v>
      </c>
      <c r="H3444">
        <v>0.15464552850992699</v>
      </c>
      <c r="I3444">
        <v>2.5168453584735899</v>
      </c>
      <c r="J3444">
        <v>1.18410788100745E-2</v>
      </c>
      <c r="K3444">
        <v>4.5933918408374103E-2</v>
      </c>
      <c r="L3444" t="s">
        <v>26</v>
      </c>
      <c r="M3444" t="s">
        <v>27</v>
      </c>
      <c r="N3444">
        <v>454.34283131080798</v>
      </c>
      <c r="O3444">
        <v>387.35218643062501</v>
      </c>
      <c r="P3444">
        <v>504.58581497094502</v>
      </c>
      <c r="Q3444">
        <v>376.94855364587602</v>
      </c>
      <c r="R3444">
        <v>356.120366258601</v>
      </c>
      <c r="S3444">
        <v>428.987639387397</v>
      </c>
      <c r="T3444">
        <v>403.30001497115097</v>
      </c>
      <c r="U3444">
        <v>449.66391663596198</v>
      </c>
      <c r="V3444">
        <v>539.23410630714102</v>
      </c>
      <c r="W3444">
        <v>626.14522196952601</v>
      </c>
    </row>
    <row r="3445" spans="1:23" x14ac:dyDescent="0.2">
      <c r="A3445" t="s">
        <v>6892</v>
      </c>
      <c r="B3445" s="3" t="str">
        <f>HYPERLINK("http://www.ncbi.nlm.nih.gov/gene/66925","Sdhd")</f>
        <v>Sdhd</v>
      </c>
      <c r="C3445">
        <v>66925</v>
      </c>
      <c r="D3445" t="s">
        <v>6893</v>
      </c>
      <c r="E3445" s="3" t="str">
        <f>HYPERLINK("http://genome.ucsc.edu/cgi-bin/hgTracks?db=mm10&amp;lastVirtModeType=default&amp;lastVirtModeExtraState=&amp;virtModeType=default&amp;virtMode=0&amp;nonVirtPosition=&amp;position=chr9:50596339-50603849","chr9:50596339-50603849")</f>
        <v>chr9:50596339-50603849</v>
      </c>
      <c r="F3445" t="s">
        <v>25</v>
      </c>
      <c r="G3445">
        <v>-0.396565948949333</v>
      </c>
      <c r="H3445">
        <v>0.157578649496082</v>
      </c>
      <c r="I3445">
        <v>-2.5166223356876301</v>
      </c>
      <c r="J3445">
        <v>1.18485758478205E-2</v>
      </c>
      <c r="K3445">
        <v>4.5949689886523301E-2</v>
      </c>
      <c r="L3445" t="s">
        <v>26</v>
      </c>
      <c r="M3445" t="s">
        <v>27</v>
      </c>
      <c r="N3445">
        <v>297.26278737578099</v>
      </c>
      <c r="O3445">
        <v>348.88734559413598</v>
      </c>
      <c r="P3445">
        <v>258.54436871201398</v>
      </c>
      <c r="Q3445">
        <v>283.96419846292002</v>
      </c>
      <c r="R3445">
        <v>390.63256362764503</v>
      </c>
      <c r="S3445">
        <v>372.065274691843</v>
      </c>
      <c r="T3445">
        <v>206.23296220115699</v>
      </c>
      <c r="U3445">
        <v>301.91720116986102</v>
      </c>
      <c r="V3445">
        <v>264.83530459832298</v>
      </c>
      <c r="W3445">
        <v>261.192006878717</v>
      </c>
    </row>
    <row r="3446" spans="1:23" x14ac:dyDescent="0.2">
      <c r="A3446" t="s">
        <v>6894</v>
      </c>
      <c r="B3446" s="3" t="str">
        <f>HYPERLINK("http://www.ncbi.nlm.nih.gov/gene/170829","Tram2")</f>
        <v>Tram2</v>
      </c>
      <c r="C3446">
        <v>170829</v>
      </c>
      <c r="D3446" t="s">
        <v>6895</v>
      </c>
      <c r="E3446" s="3" t="str">
        <f>HYPERLINK("http://genome.ucsc.edu/cgi-bin/hgTracks?db=mm10&amp;lastVirtModeType=default&amp;lastVirtModeExtraState=&amp;virtModeType=default&amp;virtMode=0&amp;nonVirtPosition=&amp;position=chr1:21001396-21079225","chr1:21001396-21079225")</f>
        <v>chr1:21001396-21079225</v>
      </c>
      <c r="F3446" t="s">
        <v>25</v>
      </c>
      <c r="G3446">
        <v>0.73204209626665795</v>
      </c>
      <c r="H3446">
        <v>0.29091048607237902</v>
      </c>
      <c r="I3446">
        <v>2.51638263766307</v>
      </c>
      <c r="J3446">
        <v>1.1856638126067499E-2</v>
      </c>
      <c r="K3446">
        <v>4.5967643643940202E-2</v>
      </c>
      <c r="L3446" t="s">
        <v>26</v>
      </c>
      <c r="M3446" t="s">
        <v>27</v>
      </c>
      <c r="N3446">
        <v>97.346685408458399</v>
      </c>
      <c r="O3446">
        <v>67.906385420856793</v>
      </c>
      <c r="P3446">
        <v>119.42691039915999</v>
      </c>
      <c r="Q3446">
        <v>82.962089354853006</v>
      </c>
      <c r="R3446">
        <v>36.4084719497611</v>
      </c>
      <c r="S3446">
        <v>84.348594957956195</v>
      </c>
      <c r="T3446">
        <v>68.744320733718993</v>
      </c>
      <c r="U3446">
        <v>92.074040073077995</v>
      </c>
      <c r="V3446">
        <v>161.84379725453101</v>
      </c>
      <c r="W3446">
        <v>155.04548353531101</v>
      </c>
    </row>
    <row r="3447" spans="1:23" x14ac:dyDescent="0.2">
      <c r="A3447" t="s">
        <v>6896</v>
      </c>
      <c r="B3447" s="3" t="str">
        <f>HYPERLINK("http://www.ncbi.nlm.nih.gov/gene/17858","Mx2")</f>
        <v>Mx2</v>
      </c>
      <c r="C3447">
        <v>17858</v>
      </c>
      <c r="D3447" t="s">
        <v>6897</v>
      </c>
      <c r="E3447" s="3" t="str">
        <f>HYPERLINK("http://genome.ucsc.edu/cgi-bin/hgTracks?db=mm10&amp;lastVirtModeType=default&amp;lastVirtModeExtraState=&amp;virtModeType=default&amp;virtMode=0&amp;nonVirtPosition=&amp;position=chr16:97536082-97560899","chr16:97536082-97560899")</f>
        <v>chr16:97536082-97560899</v>
      </c>
      <c r="F3447" t="s">
        <v>30</v>
      </c>
      <c r="G3447">
        <v>0.74892890296318304</v>
      </c>
      <c r="H3447">
        <v>0.297683235775554</v>
      </c>
      <c r="I3447">
        <v>2.51585851320112</v>
      </c>
      <c r="J3447">
        <v>1.1874284079895801E-2</v>
      </c>
      <c r="K3447">
        <v>4.6022731726160497E-2</v>
      </c>
      <c r="L3447" t="s">
        <v>26</v>
      </c>
      <c r="M3447" t="s">
        <v>27</v>
      </c>
      <c r="N3447">
        <v>34.375066820582603</v>
      </c>
      <c r="O3447">
        <v>22.275966496273298</v>
      </c>
      <c r="P3447">
        <v>43.449392063814599</v>
      </c>
      <c r="Q3447">
        <v>21.7149092942233</v>
      </c>
      <c r="R3447">
        <v>18.2042359748805</v>
      </c>
      <c r="S3447">
        <v>26.908754219716101</v>
      </c>
      <c r="T3447">
        <v>68.744320733718993</v>
      </c>
      <c r="U3447">
        <v>19.2713107129698</v>
      </c>
      <c r="V3447">
        <v>40.460949313632703</v>
      </c>
      <c r="W3447">
        <v>45.3209874949371</v>
      </c>
    </row>
    <row r="3448" spans="1:23" x14ac:dyDescent="0.2">
      <c r="A3448" t="s">
        <v>6898</v>
      </c>
      <c r="B3448" s="3" t="str">
        <f>HYPERLINK("http://www.ncbi.nlm.nih.gov/gene/27366","Txnl4a")</f>
        <v>Txnl4a</v>
      </c>
      <c r="C3448">
        <v>27366</v>
      </c>
      <c r="D3448" t="s">
        <v>6899</v>
      </c>
      <c r="E3448" s="3" t="str">
        <f>HYPERLINK("http://genome.ucsc.edu/cgi-bin/hgTracks?db=mm10&amp;lastVirtModeType=default&amp;lastVirtModeExtraState=&amp;virtModeType=default&amp;virtMode=0&amp;nonVirtPosition=&amp;position=chr18:80206866-80212732","chr18:80206866-80212732")</f>
        <v>chr18:80206866-80212732</v>
      </c>
      <c r="F3448" t="s">
        <v>30</v>
      </c>
      <c r="G3448">
        <v>-0.66920896106181904</v>
      </c>
      <c r="H3448">
        <v>0.26605785987213099</v>
      </c>
      <c r="I3448">
        <v>-2.5152760432766201</v>
      </c>
      <c r="J3448">
        <v>1.18939216958707E-2</v>
      </c>
      <c r="K3448">
        <v>4.6085505043230397E-2</v>
      </c>
      <c r="L3448" t="s">
        <v>26</v>
      </c>
      <c r="M3448" t="s">
        <v>27</v>
      </c>
      <c r="N3448">
        <v>62.9590269622026</v>
      </c>
      <c r="O3448">
        <v>85.620404777011601</v>
      </c>
      <c r="P3448">
        <v>45.962993601095903</v>
      </c>
      <c r="Q3448">
        <v>95.768317912984699</v>
      </c>
      <c r="R3448">
        <v>81.919061886962396</v>
      </c>
      <c r="S3448">
        <v>79.173834531087707</v>
      </c>
      <c r="T3448">
        <v>18.3318188623251</v>
      </c>
      <c r="U3448">
        <v>36.401364680054101</v>
      </c>
      <c r="V3448">
        <v>55.174021791317301</v>
      </c>
      <c r="W3448">
        <v>73.944769070686903</v>
      </c>
    </row>
    <row r="3449" spans="1:23" x14ac:dyDescent="0.2">
      <c r="A3449" t="s">
        <v>6900</v>
      </c>
      <c r="B3449" s="3" t="str">
        <f>HYPERLINK("http://www.ncbi.nlm.nih.gov/gene/234729","Vac14")</f>
        <v>Vac14</v>
      </c>
      <c r="C3449">
        <v>234729</v>
      </c>
      <c r="D3449" t="s">
        <v>6901</v>
      </c>
      <c r="E3449" s="3" t="str">
        <f>HYPERLINK("http://genome.ucsc.edu/cgi-bin/hgTracks?db=mm10&amp;lastVirtModeType=default&amp;lastVirtModeExtraState=&amp;virtModeType=default&amp;virtMode=0&amp;nonVirtPosition=&amp;position=chr8:110618637-110720398","chr8:110618637-110720398")</f>
        <v>chr8:110618637-110720398</v>
      </c>
      <c r="F3449" t="s">
        <v>30</v>
      </c>
      <c r="G3449">
        <v>0.50679324595938002</v>
      </c>
      <c r="H3449">
        <v>0.20151423201715901</v>
      </c>
      <c r="I3449">
        <v>2.5149253275382901</v>
      </c>
      <c r="J3449">
        <v>1.1905759746567501E-2</v>
      </c>
      <c r="K3449">
        <v>4.6118029727013302E-2</v>
      </c>
      <c r="L3449" t="s">
        <v>26</v>
      </c>
      <c r="M3449" t="s">
        <v>27</v>
      </c>
      <c r="N3449">
        <v>222.78215364402601</v>
      </c>
      <c r="O3449">
        <v>176.262248867762</v>
      </c>
      <c r="P3449">
        <v>257.67208222622401</v>
      </c>
      <c r="Q3449">
        <v>131.95983340335701</v>
      </c>
      <c r="R3449">
        <v>186.21416382638199</v>
      </c>
      <c r="S3449">
        <v>210.61274937354699</v>
      </c>
      <c r="T3449">
        <v>224.564781063482</v>
      </c>
      <c r="U3449">
        <v>349.024849579342</v>
      </c>
      <c r="V3449">
        <v>212.603897302543</v>
      </c>
      <c r="W3449">
        <v>244.49480095952899</v>
      </c>
    </row>
    <row r="3450" spans="1:23" x14ac:dyDescent="0.2">
      <c r="A3450" t="s">
        <v>6902</v>
      </c>
      <c r="B3450" s="3" t="str">
        <f>HYPERLINK("http://www.ncbi.nlm.nih.gov/gene/14084","Faf1")</f>
        <v>Faf1</v>
      </c>
      <c r="C3450">
        <v>14084</v>
      </c>
      <c r="D3450" t="s">
        <v>6903</v>
      </c>
      <c r="E3450" s="3" t="str">
        <f>HYPERLINK("http://genome.ucsc.edu/cgi-bin/hgTracks?db=mm10&amp;lastVirtModeType=default&amp;lastVirtModeExtraState=&amp;virtModeType=default&amp;virtMode=0&amp;nonVirtPosition=&amp;position=chr4:109676626-109963960","chr4:109676626-109963960")</f>
        <v>chr4:109676626-109963960</v>
      </c>
      <c r="F3450" t="s">
        <v>30</v>
      </c>
      <c r="G3450">
        <v>-0.34135988987680599</v>
      </c>
      <c r="H3450">
        <v>0.13575558383948999</v>
      </c>
      <c r="I3450">
        <v>-2.5145182262293599</v>
      </c>
      <c r="J3450">
        <v>1.19195141352117E-2</v>
      </c>
      <c r="K3450">
        <v>4.61579565600405E-2</v>
      </c>
      <c r="L3450" t="s">
        <v>26</v>
      </c>
      <c r="M3450" t="s">
        <v>27</v>
      </c>
      <c r="N3450">
        <v>290.75804380890702</v>
      </c>
      <c r="O3450">
        <v>333.26764836780001</v>
      </c>
      <c r="P3450">
        <v>258.87584038973802</v>
      </c>
      <c r="Q3450">
        <v>297.88401211306302</v>
      </c>
      <c r="R3450">
        <v>378.49640631105802</v>
      </c>
      <c r="S3450">
        <v>323.42252667928</v>
      </c>
      <c r="T3450">
        <v>238.31364521022601</v>
      </c>
      <c r="U3450">
        <v>256.95080950626402</v>
      </c>
      <c r="V3450">
        <v>261.157036478902</v>
      </c>
      <c r="W3450">
        <v>279.08187036355997</v>
      </c>
    </row>
    <row r="3451" spans="1:23" x14ac:dyDescent="0.2">
      <c r="A3451" t="s">
        <v>6904</v>
      </c>
      <c r="B3451" s="3" t="str">
        <f>HYPERLINK("http://www.ncbi.nlm.nih.gov/gene/320616","B130006D01Rik")</f>
        <v>B130006D01Rik</v>
      </c>
      <c r="C3451">
        <v>320616</v>
      </c>
      <c r="D3451" t="s">
        <v>6905</v>
      </c>
      <c r="E3451" s="3" t="str">
        <f>HYPERLINK("http://genome.ucsc.edu/cgi-bin/hgTracks?db=mm10&amp;lastVirtModeType=default&amp;lastVirtModeExtraState=&amp;virtModeType=default&amp;virtMode=0&amp;nonVirtPosition=&amp;position=chr11:95723585-95726773","chr11:95723585-95726773")</f>
        <v>chr11:95723585-95726773</v>
      </c>
      <c r="F3451" t="s">
        <v>30</v>
      </c>
      <c r="G3451">
        <v>0.90796824556552203</v>
      </c>
      <c r="H3451">
        <v>0.36113481717954299</v>
      </c>
      <c r="I3451">
        <v>2.51420855141229</v>
      </c>
      <c r="J3451">
        <v>1.19299862900331E-2</v>
      </c>
      <c r="K3451">
        <v>4.6173529012266103E-2</v>
      </c>
      <c r="L3451" t="s">
        <v>26</v>
      </c>
      <c r="M3451" t="s">
        <v>27</v>
      </c>
      <c r="N3451">
        <v>13.9505780309181</v>
      </c>
      <c r="O3451">
        <v>8.4158824138280899</v>
      </c>
      <c r="P3451">
        <v>18.101599743735601</v>
      </c>
      <c r="Q3451">
        <v>7.79509564408015</v>
      </c>
      <c r="R3451">
        <v>6.0680786582935102</v>
      </c>
      <c r="S3451">
        <v>11.3844729391106</v>
      </c>
      <c r="T3451">
        <v>4.58295471558126</v>
      </c>
      <c r="U3451">
        <v>17.130053967084301</v>
      </c>
      <c r="V3451">
        <v>22.069608716526901</v>
      </c>
      <c r="W3451">
        <v>28.623781575749799</v>
      </c>
    </row>
    <row r="3452" spans="1:23" x14ac:dyDescent="0.2">
      <c r="A3452" t="s">
        <v>6906</v>
      </c>
      <c r="B3452" s="3" t="str">
        <f>HYPERLINK("http://www.ncbi.nlm.nih.gov/gene/66381","Rnf113a2")</f>
        <v>Rnf113a2</v>
      </c>
      <c r="C3452">
        <v>66381</v>
      </c>
      <c r="D3452" t="s">
        <v>6907</v>
      </c>
      <c r="E3452" s="3" t="str">
        <f>HYPERLINK("http://genome.ucsc.edu/cgi-bin/hgTracks?db=mm10&amp;lastVirtModeType=default&amp;lastVirtModeExtraState=&amp;virtModeType=default&amp;virtMode=0&amp;nonVirtPosition=&amp;position=chr12:84417199-84418578","chr12:84417199-84418578")</f>
        <v>chr12:84417199-84418578</v>
      </c>
      <c r="F3452" t="s">
        <v>30</v>
      </c>
      <c r="G3452">
        <v>-0.64457732223405395</v>
      </c>
      <c r="H3452">
        <v>0.25637999182569099</v>
      </c>
      <c r="I3452">
        <v>-2.5141483063635199</v>
      </c>
      <c r="J3452">
        <v>1.1932024521396399E-2</v>
      </c>
      <c r="K3452">
        <v>4.6173529012266103E-2</v>
      </c>
      <c r="L3452" t="s">
        <v>26</v>
      </c>
      <c r="M3452" t="s">
        <v>27</v>
      </c>
      <c r="N3452">
        <v>38.032469959542397</v>
      </c>
      <c r="O3452">
        <v>48.141947047795803</v>
      </c>
      <c r="P3452">
        <v>30.4503621433524</v>
      </c>
      <c r="Q3452">
        <v>52.8952918705439</v>
      </c>
      <c r="R3452">
        <v>47.027609601774699</v>
      </c>
      <c r="S3452">
        <v>44.502939671068901</v>
      </c>
      <c r="T3452">
        <v>41.246592440231403</v>
      </c>
      <c r="U3452">
        <v>21.412567458855399</v>
      </c>
      <c r="V3452">
        <v>25.747876835948102</v>
      </c>
      <c r="W3452">
        <v>33.394411838374701</v>
      </c>
    </row>
    <row r="3453" spans="1:23" x14ac:dyDescent="0.2">
      <c r="A3453" t="s">
        <v>6908</v>
      </c>
      <c r="B3453" s="3" t="str">
        <f>HYPERLINK("http://www.ncbi.nlm.nih.gov/gene/12041","Bckdk")</f>
        <v>Bckdk</v>
      </c>
      <c r="C3453">
        <v>12041</v>
      </c>
      <c r="D3453" t="s">
        <v>6909</v>
      </c>
      <c r="E3453" s="3" t="str">
        <f>HYPERLINK("http://genome.ucsc.edu/cgi-bin/hgTracks?db=mm10&amp;lastVirtModeType=default&amp;lastVirtModeExtraState=&amp;virtModeType=default&amp;virtMode=0&amp;nonVirtPosition=&amp;position=chr7:127904072-127909664","chr7:127904072-127909664")</f>
        <v>chr7:127904072-127909664</v>
      </c>
      <c r="F3453" t="s">
        <v>30</v>
      </c>
      <c r="G3453">
        <v>-0.34489889353319603</v>
      </c>
      <c r="H3453">
        <v>0.137191272926693</v>
      </c>
      <c r="I3453">
        <v>-2.5140002434228399</v>
      </c>
      <c r="J3453">
        <v>1.1937035150017801E-2</v>
      </c>
      <c r="K3453">
        <v>4.6173529012266103E-2</v>
      </c>
      <c r="L3453" t="s">
        <v>26</v>
      </c>
      <c r="M3453" t="s">
        <v>27</v>
      </c>
      <c r="N3453">
        <v>199.53307457522101</v>
      </c>
      <c r="O3453">
        <v>228.967044526476</v>
      </c>
      <c r="P3453">
        <v>177.45759711177899</v>
      </c>
      <c r="Q3453">
        <v>208.797204752147</v>
      </c>
      <c r="R3453">
        <v>245.75718566088699</v>
      </c>
      <c r="S3453">
        <v>232.34674316639499</v>
      </c>
      <c r="T3453">
        <v>160.40341504534399</v>
      </c>
      <c r="U3453">
        <v>190.571850383813</v>
      </c>
      <c r="V3453">
        <v>178.763830603868</v>
      </c>
      <c r="W3453">
        <v>180.09129241409201</v>
      </c>
    </row>
    <row r="3454" spans="1:23" x14ac:dyDescent="0.2">
      <c r="A3454" t="s">
        <v>6910</v>
      </c>
      <c r="B3454" s="3" t="str">
        <f>HYPERLINK("http://www.ncbi.nlm.nih.gov/gene/231630","Ficd")</f>
        <v>Ficd</v>
      </c>
      <c r="C3454">
        <v>231630</v>
      </c>
      <c r="D3454" t="s">
        <v>6911</v>
      </c>
      <c r="E3454" s="3" t="str">
        <f>HYPERLINK("http://genome.ucsc.edu/cgi-bin/hgTracks?db=mm10&amp;lastVirtModeType=default&amp;lastVirtModeExtraState=&amp;virtModeType=default&amp;virtMode=0&amp;nonVirtPosition=&amp;position=chr5:113735781-113740607","chr5:113735781-113740607")</f>
        <v>chr5:113735781-113740607</v>
      </c>
      <c r="F3454" t="s">
        <v>30</v>
      </c>
      <c r="G3454">
        <v>-0.67262480031338101</v>
      </c>
      <c r="H3454">
        <v>0.26755758192982898</v>
      </c>
      <c r="I3454">
        <v>-2.5139440843421399</v>
      </c>
      <c r="J3454">
        <v>1.19389361290203E-2</v>
      </c>
      <c r="K3454">
        <v>4.6173529012266103E-2</v>
      </c>
      <c r="L3454" t="s">
        <v>26</v>
      </c>
      <c r="M3454" t="s">
        <v>27</v>
      </c>
      <c r="N3454">
        <v>46.576576877653601</v>
      </c>
      <c r="O3454">
        <v>62.268292998008</v>
      </c>
      <c r="P3454">
        <v>34.807789787387698</v>
      </c>
      <c r="Q3454">
        <v>75.1669937107729</v>
      </c>
      <c r="R3454">
        <v>55.750472673071698</v>
      </c>
      <c r="S3454">
        <v>55.887412610179503</v>
      </c>
      <c r="T3454">
        <v>27.497728293487601</v>
      </c>
      <c r="U3454">
        <v>25.695080950626402</v>
      </c>
      <c r="V3454">
        <v>32.368759450906097</v>
      </c>
      <c r="W3454">
        <v>53.669590454530798</v>
      </c>
    </row>
    <row r="3455" spans="1:23" x14ac:dyDescent="0.2">
      <c r="A3455" t="s">
        <v>6912</v>
      </c>
      <c r="B3455" s="3" t="str">
        <f>HYPERLINK("http://www.ncbi.nlm.nih.gov/gene/71703","Armcx3")</f>
        <v>Armcx3</v>
      </c>
      <c r="C3455">
        <v>71703</v>
      </c>
      <c r="D3455" t="s">
        <v>6913</v>
      </c>
      <c r="E3455" s="3" t="str">
        <f>HYPERLINK("http://genome.ucsc.edu/cgi-bin/hgTracks?db=mm10&amp;lastVirtModeType=default&amp;lastVirtModeExtraState=&amp;virtModeType=default&amp;virtMode=0&amp;nonVirtPosition=&amp;position=chrX:134756567-134761456","chrX:134756567-134761456")</f>
        <v>chrX:134756567-134761456</v>
      </c>
      <c r="F3455" t="s">
        <v>30</v>
      </c>
      <c r="G3455">
        <v>-0.58433722469331095</v>
      </c>
      <c r="H3455">
        <v>0.23244345828457599</v>
      </c>
      <c r="I3455">
        <v>-2.51388973906041</v>
      </c>
      <c r="J3455">
        <v>1.1940775966655E-2</v>
      </c>
      <c r="K3455">
        <v>4.6173529012266103E-2</v>
      </c>
      <c r="L3455" t="s">
        <v>26</v>
      </c>
      <c r="M3455" t="s">
        <v>27</v>
      </c>
      <c r="N3455">
        <v>59.092594124028999</v>
      </c>
      <c r="O3455">
        <v>76.155990369048794</v>
      </c>
      <c r="P3455">
        <v>46.2950469402641</v>
      </c>
      <c r="Q3455">
        <v>72.383030980744294</v>
      </c>
      <c r="R3455">
        <v>91.4004347905461</v>
      </c>
      <c r="S3455">
        <v>64.684505335856002</v>
      </c>
      <c r="T3455">
        <v>27.497728293487601</v>
      </c>
      <c r="U3455">
        <v>53.531418647138402</v>
      </c>
      <c r="V3455">
        <v>49.288792800243399</v>
      </c>
      <c r="W3455">
        <v>54.862248020187003</v>
      </c>
    </row>
    <row r="3456" spans="1:23" x14ac:dyDescent="0.2">
      <c r="A3456" t="s">
        <v>6914</v>
      </c>
      <c r="B3456" s="3" t="str">
        <f>HYPERLINK("http://www.ncbi.nlm.nih.gov/gene/14456","Gas6")</f>
        <v>Gas6</v>
      </c>
      <c r="C3456">
        <v>14456</v>
      </c>
      <c r="D3456" t="s">
        <v>6915</v>
      </c>
      <c r="E3456" s="3" t="str">
        <f>HYPERLINK("http://genome.ucsc.edu/cgi-bin/hgTracks?db=mm10&amp;lastVirtModeType=default&amp;lastVirtModeExtraState=&amp;virtModeType=default&amp;virtMode=0&amp;nonVirtPosition=&amp;position=chr8:13465373-13494535","chr8:13465373-13494535")</f>
        <v>chr8:13465373-13494535</v>
      </c>
      <c r="F3456" t="s">
        <v>25</v>
      </c>
      <c r="G3456">
        <v>-0.36394002878970499</v>
      </c>
      <c r="H3456">
        <v>0.144854349551305</v>
      </c>
      <c r="I3456">
        <v>-2.51245495849474</v>
      </c>
      <c r="J3456">
        <v>1.1989440898072501E-2</v>
      </c>
      <c r="K3456">
        <v>4.6334950379823603E-2</v>
      </c>
      <c r="L3456" t="s">
        <v>26</v>
      </c>
      <c r="M3456" t="s">
        <v>27</v>
      </c>
      <c r="N3456">
        <v>318.905886406337</v>
      </c>
      <c r="O3456">
        <v>370.80819721879197</v>
      </c>
      <c r="P3456">
        <v>279.979153296996</v>
      </c>
      <c r="Q3456">
        <v>374.16459091584699</v>
      </c>
      <c r="R3456">
        <v>412.250093847816</v>
      </c>
      <c r="S3456">
        <v>326.00990689271401</v>
      </c>
      <c r="T3456">
        <v>215.39887163231899</v>
      </c>
      <c r="U3456">
        <v>319.04725513694501</v>
      </c>
      <c r="V3456">
        <v>301.617985792534</v>
      </c>
      <c r="W3456">
        <v>283.85250062618502</v>
      </c>
    </row>
    <row r="3457" spans="1:23" x14ac:dyDescent="0.2">
      <c r="A3457" t="s">
        <v>6916</v>
      </c>
      <c r="B3457" s="3" t="str">
        <f>HYPERLINK("http://www.ncbi.nlm.nih.gov/gene/68810","Nexn")</f>
        <v>Nexn</v>
      </c>
      <c r="C3457">
        <v>68810</v>
      </c>
      <c r="D3457" t="s">
        <v>6917</v>
      </c>
      <c r="E3457" s="3" t="str">
        <f>HYPERLINK("http://genome.ucsc.edu/cgi-bin/hgTracks?db=mm10&amp;lastVirtModeType=default&amp;lastVirtModeExtraState=&amp;virtModeType=default&amp;virtMode=0&amp;nonVirtPosition=&amp;position=chr3:152236983-152266320","chr3:152236983-152266320")</f>
        <v>chr3:152236983-152266320</v>
      </c>
      <c r="F3457" t="s">
        <v>25</v>
      </c>
      <c r="G3457">
        <v>0.80656990732016598</v>
      </c>
      <c r="H3457">
        <v>0.32118928638955002</v>
      </c>
      <c r="I3457">
        <v>2.5111980427078402</v>
      </c>
      <c r="J3457">
        <v>1.20322174039305E-2</v>
      </c>
      <c r="K3457">
        <v>4.6486850333535397E-2</v>
      </c>
      <c r="L3457" t="s">
        <v>26</v>
      </c>
      <c r="M3457" t="s">
        <v>27</v>
      </c>
      <c r="N3457">
        <v>24.454949052515801</v>
      </c>
      <c r="O3457">
        <v>16.013347119565299</v>
      </c>
      <c r="P3457">
        <v>30.7861505022288</v>
      </c>
      <c r="Q3457">
        <v>11.1358509201145</v>
      </c>
      <c r="R3457">
        <v>15.1701966457338</v>
      </c>
      <c r="S3457">
        <v>21.733993792847599</v>
      </c>
      <c r="T3457">
        <v>27.497728293487601</v>
      </c>
      <c r="U3457">
        <v>21.412567458855399</v>
      </c>
      <c r="V3457">
        <v>45.610524680822301</v>
      </c>
      <c r="W3457">
        <v>28.623781575749799</v>
      </c>
    </row>
    <row r="3458" spans="1:23" x14ac:dyDescent="0.2">
      <c r="A3458" t="s">
        <v>6918</v>
      </c>
      <c r="B3458" s="3" t="str">
        <f>HYPERLINK("http://www.ncbi.nlm.nih.gov/gene/244745","Dpy19l1")</f>
        <v>Dpy19l1</v>
      </c>
      <c r="C3458">
        <v>244745</v>
      </c>
      <c r="D3458" t="s">
        <v>6919</v>
      </c>
      <c r="E3458" s="3" t="str">
        <f>HYPERLINK("http://genome.ucsc.edu/cgi-bin/hgTracks?db=mm10&amp;lastVirtModeType=default&amp;lastVirtModeExtraState=&amp;virtModeType=default&amp;virtMode=0&amp;nonVirtPosition=&amp;position=chr9:24411778-24503140","chr9:24411778-24503140")</f>
        <v>chr9:24411778-24503140</v>
      </c>
      <c r="F3458" t="s">
        <v>25</v>
      </c>
      <c r="G3458">
        <v>-0.30687522033910503</v>
      </c>
      <c r="H3458">
        <v>0.12225267829142999</v>
      </c>
      <c r="I3458">
        <v>-2.5101717576081599</v>
      </c>
      <c r="J3458">
        <v>1.2067245147055899E-2</v>
      </c>
      <c r="K3458">
        <v>4.6608733707593303E-2</v>
      </c>
      <c r="L3458" t="s">
        <v>26</v>
      </c>
      <c r="M3458" t="s">
        <v>27</v>
      </c>
      <c r="N3458">
        <v>419.79283458309601</v>
      </c>
      <c r="O3458">
        <v>473.36328957715102</v>
      </c>
      <c r="P3458">
        <v>379.61499333755501</v>
      </c>
      <c r="Q3458">
        <v>536.74801434951905</v>
      </c>
      <c r="R3458">
        <v>442.96974205542699</v>
      </c>
      <c r="S3458">
        <v>440.37211232650702</v>
      </c>
      <c r="T3458">
        <v>375.80228667766397</v>
      </c>
      <c r="U3458">
        <v>379.00244402174002</v>
      </c>
      <c r="V3458">
        <v>389.16076703475801</v>
      </c>
      <c r="W3458">
        <v>374.49447561605899</v>
      </c>
    </row>
    <row r="3459" spans="1:23" x14ac:dyDescent="0.2">
      <c r="A3459" t="s">
        <v>6920</v>
      </c>
      <c r="B3459" s="3" t="str">
        <f>HYPERLINK("http://www.ncbi.nlm.nih.gov/gene/22698","Zfp39")</f>
        <v>Zfp39</v>
      </c>
      <c r="C3459">
        <v>22698</v>
      </c>
      <c r="D3459" t="s">
        <v>6921</v>
      </c>
      <c r="E3459" s="3" t="str">
        <f>HYPERLINK("http://genome.ucsc.edu/cgi-bin/hgTracks?db=mm10&amp;lastVirtModeType=default&amp;lastVirtModeExtraState=&amp;virtModeType=default&amp;virtMode=0&amp;nonVirtPosition=&amp;position=chr11:58888152-58904225","chr11:58888152-58904225")</f>
        <v>chr11:58888152-58904225</v>
      </c>
      <c r="F3459" t="s">
        <v>25</v>
      </c>
      <c r="G3459">
        <v>-0.62598794420829396</v>
      </c>
      <c r="H3459">
        <v>0.24942013542949101</v>
      </c>
      <c r="I3459">
        <v>-2.50977309081469</v>
      </c>
      <c r="J3459">
        <v>1.2080876245889501E-2</v>
      </c>
      <c r="K3459">
        <v>4.6647927857181803E-2</v>
      </c>
      <c r="L3459" t="s">
        <v>26</v>
      </c>
      <c r="M3459" t="s">
        <v>27</v>
      </c>
      <c r="N3459">
        <v>67.607010503012503</v>
      </c>
      <c r="O3459">
        <v>85.589069457498397</v>
      </c>
      <c r="P3459">
        <v>54.120466287148197</v>
      </c>
      <c r="Q3459">
        <v>97.995488097007595</v>
      </c>
      <c r="R3459">
        <v>98.227023281126307</v>
      </c>
      <c r="S3459">
        <v>60.544696994361203</v>
      </c>
      <c r="T3459">
        <v>68.744320733718993</v>
      </c>
      <c r="U3459">
        <v>49.248905155367297</v>
      </c>
      <c r="V3459">
        <v>60.3235971585069</v>
      </c>
      <c r="W3459">
        <v>38.165042100999699</v>
      </c>
    </row>
    <row r="3460" spans="1:23" x14ac:dyDescent="0.2">
      <c r="A3460" t="s">
        <v>6922</v>
      </c>
      <c r="B3460" s="3" t="str">
        <f>HYPERLINK("http://www.ncbi.nlm.nih.gov/gene/353235","Pcdha8")</f>
        <v>Pcdha8</v>
      </c>
      <c r="C3460">
        <v>353235</v>
      </c>
      <c r="D3460" t="s">
        <v>6923</v>
      </c>
      <c r="E3460" s="3" t="str">
        <f>HYPERLINK("http://genome.ucsc.edu/cgi-bin/hgTracks?db=mm10&amp;lastVirtModeType=default&amp;lastVirtModeExtraState=&amp;virtModeType=default&amp;virtMode=0&amp;nonVirtPosition=&amp;position=chr18:36992466-37187657","chr18:36992466-37187657")</f>
        <v>chr18:36992466-37187657</v>
      </c>
      <c r="F3460" t="s">
        <v>30</v>
      </c>
      <c r="G3460">
        <v>0.91266238501401398</v>
      </c>
      <c r="H3460">
        <v>0.36368056507928498</v>
      </c>
      <c r="I3460">
        <v>2.50951651709804</v>
      </c>
      <c r="J3460">
        <v>1.20896561559031E-2</v>
      </c>
      <c r="K3460">
        <v>4.6668372898154599E-2</v>
      </c>
      <c r="L3460" t="s">
        <v>26</v>
      </c>
      <c r="M3460" t="s">
        <v>27</v>
      </c>
      <c r="N3460">
        <v>37.679575148260497</v>
      </c>
      <c r="O3460">
        <v>20.741026316805499</v>
      </c>
      <c r="P3460">
        <v>50.3834867718517</v>
      </c>
      <c r="Q3460">
        <v>38.975478220400802</v>
      </c>
      <c r="R3460">
        <v>7.2058434067235497</v>
      </c>
      <c r="S3460">
        <v>16.041757323292298</v>
      </c>
      <c r="T3460">
        <v>59.578411302556397</v>
      </c>
      <c r="U3460">
        <v>34.260107934168602</v>
      </c>
      <c r="V3460">
        <v>74.301016012307201</v>
      </c>
      <c r="W3460">
        <v>33.394411838374701</v>
      </c>
    </row>
    <row r="3461" spans="1:23" x14ac:dyDescent="0.2">
      <c r="A3461" t="s">
        <v>6924</v>
      </c>
      <c r="B3461" s="3" t="str">
        <f>HYPERLINK("http://www.ncbi.nlm.nih.gov/gene/78912","Sp2")</f>
        <v>Sp2</v>
      </c>
      <c r="C3461">
        <v>78912</v>
      </c>
      <c r="D3461" t="s">
        <v>6925</v>
      </c>
      <c r="E3461" s="3" t="str">
        <f>HYPERLINK("http://genome.ucsc.edu/cgi-bin/hgTracks?db=mm10&amp;lastVirtModeType=default&amp;lastVirtModeExtraState=&amp;virtModeType=default&amp;virtMode=0&amp;nonVirtPosition=&amp;position=chr11:96953337-96977688","chr11:96953337-96977688")</f>
        <v>chr11:96953337-96977688</v>
      </c>
      <c r="F3461" t="s">
        <v>25</v>
      </c>
      <c r="G3461">
        <v>0.66045870372453197</v>
      </c>
      <c r="H3461">
        <v>0.263224147088918</v>
      </c>
      <c r="I3461">
        <v>2.50911138293641</v>
      </c>
      <c r="J3461">
        <v>1.2103531295341899E-2</v>
      </c>
      <c r="K3461">
        <v>4.6695776256980098E-2</v>
      </c>
      <c r="L3461" t="s">
        <v>26</v>
      </c>
      <c r="M3461" t="s">
        <v>27</v>
      </c>
      <c r="N3461">
        <v>67.070472059831005</v>
      </c>
      <c r="O3461">
        <v>47.963439697852102</v>
      </c>
      <c r="P3461">
        <v>81.400746331315105</v>
      </c>
      <c r="Q3461">
        <v>34.521137852354897</v>
      </c>
      <c r="R3461">
        <v>42.097295691911199</v>
      </c>
      <c r="S3461">
        <v>67.271885549290204</v>
      </c>
      <c r="T3461">
        <v>82.493184880462707</v>
      </c>
      <c r="U3461">
        <v>98.497810310734593</v>
      </c>
      <c r="V3461">
        <v>89.749742113876096</v>
      </c>
      <c r="W3461">
        <v>54.862248020187003</v>
      </c>
    </row>
    <row r="3462" spans="1:23" x14ac:dyDescent="0.2">
      <c r="A3462" t="s">
        <v>6926</v>
      </c>
      <c r="B3462" s="3" t="str">
        <f>HYPERLINK("http://www.ncbi.nlm.nih.gov/gene/11496","Adam22")</f>
        <v>Adam22</v>
      </c>
      <c r="C3462">
        <v>11496</v>
      </c>
      <c r="D3462" t="s">
        <v>6927</v>
      </c>
      <c r="E3462" s="3" t="str">
        <f>HYPERLINK("http://genome.ucsc.edu/cgi-bin/hgTracks?db=mm10&amp;lastVirtModeType=default&amp;lastVirtModeExtraState=&amp;virtModeType=default&amp;virtMode=0&amp;nonVirtPosition=&amp;position=chr5:8072346-8368160","chr5:8072346-8368160")</f>
        <v>chr5:8072346-8368160</v>
      </c>
      <c r="F3462" t="s">
        <v>25</v>
      </c>
      <c r="G3462">
        <v>-0.44631260404292</v>
      </c>
      <c r="H3462">
        <v>0.177877170007288</v>
      </c>
      <c r="I3462">
        <v>-2.50910560374124</v>
      </c>
      <c r="J3462">
        <v>1.21037293247687E-2</v>
      </c>
      <c r="K3462">
        <v>4.6695776256980098E-2</v>
      </c>
      <c r="L3462" t="s">
        <v>26</v>
      </c>
      <c r="M3462" t="s">
        <v>27</v>
      </c>
      <c r="N3462">
        <v>967.43571995073796</v>
      </c>
      <c r="O3462">
        <v>1152.03091331056</v>
      </c>
      <c r="P3462">
        <v>828.98932493087295</v>
      </c>
      <c r="Q3462">
        <v>1555.6783735399999</v>
      </c>
      <c r="R3462">
        <v>976.202154152969</v>
      </c>
      <c r="S3462">
        <v>924.21221223870998</v>
      </c>
      <c r="T3462">
        <v>765.35343750207096</v>
      </c>
      <c r="U3462">
        <v>830.80761740358798</v>
      </c>
      <c r="V3462">
        <v>821.72509787868501</v>
      </c>
      <c r="W3462">
        <v>898.071146939149</v>
      </c>
    </row>
    <row r="3463" spans="1:23" x14ac:dyDescent="0.2">
      <c r="A3463" t="s">
        <v>6928</v>
      </c>
      <c r="B3463" s="3" t="str">
        <f>HYPERLINK("http://www.ncbi.nlm.nih.gov/gene/229323","Gpr171")</f>
        <v>Gpr171</v>
      </c>
      <c r="C3463">
        <v>229323</v>
      </c>
      <c r="D3463" t="s">
        <v>6929</v>
      </c>
      <c r="E3463" s="3" t="str">
        <f>HYPERLINK("http://genome.ucsc.edu/cgi-bin/hgTracks?db=mm10&amp;lastVirtModeType=default&amp;lastVirtModeExtraState=&amp;virtModeType=default&amp;virtMode=0&amp;nonVirtPosition=&amp;position=chr3:59096447-59101821","chr3:59096447-59101821")</f>
        <v>chr3:59096447-59101821</v>
      </c>
      <c r="F3463" t="s">
        <v>25</v>
      </c>
      <c r="G3463">
        <v>0.710156066813455</v>
      </c>
      <c r="H3463">
        <v>0.28315838570485902</v>
      </c>
      <c r="I3463">
        <v>2.50798176096986</v>
      </c>
      <c r="J3463">
        <v>1.21422934466893E-2</v>
      </c>
      <c r="K3463">
        <v>4.6831063232896299E-2</v>
      </c>
      <c r="L3463" t="s">
        <v>26</v>
      </c>
      <c r="M3463" t="s">
        <v>27</v>
      </c>
      <c r="N3463">
        <v>24.4810014049031</v>
      </c>
      <c r="O3463">
        <v>16.8107645452192</v>
      </c>
      <c r="P3463">
        <v>30.233679049666101</v>
      </c>
      <c r="Q3463">
        <v>16.7037763801717</v>
      </c>
      <c r="R3463">
        <v>18.2042359748805</v>
      </c>
      <c r="S3463">
        <v>15.5242812806054</v>
      </c>
      <c r="T3463">
        <v>27.497728293487601</v>
      </c>
      <c r="U3463">
        <v>36.401364680054101</v>
      </c>
      <c r="V3463">
        <v>27.219184083716499</v>
      </c>
      <c r="W3463">
        <v>29.816439141406001</v>
      </c>
    </row>
    <row r="3464" spans="1:23" x14ac:dyDescent="0.2">
      <c r="A3464" t="s">
        <v>6930</v>
      </c>
      <c r="B3464" s="3" t="str">
        <f>HYPERLINK("http://www.ncbi.nlm.nih.gov/gene/432467","Hnrnph3")</f>
        <v>Hnrnph3</v>
      </c>
      <c r="C3464">
        <v>432467</v>
      </c>
      <c r="D3464" t="s">
        <v>6931</v>
      </c>
      <c r="E3464" s="3" t="str">
        <f>HYPERLINK("http://genome.ucsc.edu/cgi-bin/hgTracks?db=mm10&amp;lastVirtModeType=default&amp;lastVirtModeExtraState=&amp;virtModeType=default&amp;virtMode=0&amp;nonVirtPosition=&amp;position=chr10:63014663-63023849","chr10:63014663-63023849")</f>
        <v>chr10:63014663-63023849</v>
      </c>
      <c r="F3464" t="s">
        <v>25</v>
      </c>
      <c r="G3464">
        <v>0.47598351012889301</v>
      </c>
      <c r="H3464">
        <v>0.18981255660191901</v>
      </c>
      <c r="I3464">
        <v>2.5076502769368498</v>
      </c>
      <c r="J3464">
        <v>1.2153688937357099E-2</v>
      </c>
      <c r="K3464">
        <v>4.6861517005513498E-2</v>
      </c>
      <c r="L3464" t="s">
        <v>26</v>
      </c>
      <c r="M3464" t="s">
        <v>27</v>
      </c>
      <c r="N3464">
        <v>130.20481586179201</v>
      </c>
      <c r="O3464">
        <v>103.370396158362</v>
      </c>
      <c r="P3464">
        <v>150.33063063936399</v>
      </c>
      <c r="Q3464">
        <v>111.91530174715101</v>
      </c>
      <c r="R3464">
        <v>110.742435513857</v>
      </c>
      <c r="S3464">
        <v>87.453451214077205</v>
      </c>
      <c r="T3464">
        <v>197.06705276999401</v>
      </c>
      <c r="U3464">
        <v>104.92158054839101</v>
      </c>
      <c r="V3464">
        <v>147.86637840073001</v>
      </c>
      <c r="W3464">
        <v>151.46751083834201</v>
      </c>
    </row>
    <row r="3465" spans="1:23" x14ac:dyDescent="0.2">
      <c r="A3465" t="s">
        <v>6932</v>
      </c>
      <c r="B3465" s="3" t="str">
        <f>HYPERLINK("http://www.ncbi.nlm.nih.gov/gene/19188","Psme2")</f>
        <v>Psme2</v>
      </c>
      <c r="C3465">
        <v>19188</v>
      </c>
      <c r="D3465" t="s">
        <v>6933</v>
      </c>
      <c r="E3465" s="3" t="str">
        <f>HYPERLINK("http://genome.ucsc.edu/cgi-bin/hgTracks?db=mm10&amp;lastVirtModeType=default&amp;lastVirtModeExtraState=&amp;virtModeType=default&amp;virtMode=0&amp;nonVirtPosition=&amp;position=chr14:55587439-55591021","chr14:55587439-55591021")</f>
        <v>chr14:55587439-55591021</v>
      </c>
      <c r="F3465" t="s">
        <v>25</v>
      </c>
      <c r="G3465">
        <v>0.66410100599335797</v>
      </c>
      <c r="H3465">
        <v>0.26486509276967801</v>
      </c>
      <c r="I3465">
        <v>2.50731796722964</v>
      </c>
      <c r="J3465">
        <v>1.21651223242219E-2</v>
      </c>
      <c r="K3465">
        <v>4.6892099321719997E-2</v>
      </c>
      <c r="L3465" t="s">
        <v>26</v>
      </c>
      <c r="M3465" t="s">
        <v>27</v>
      </c>
      <c r="N3465">
        <v>53.573981241720098</v>
      </c>
      <c r="O3465">
        <v>38.469687207434099</v>
      </c>
      <c r="P3465">
        <v>64.902201767434605</v>
      </c>
      <c r="Q3465">
        <v>55.122462054566803</v>
      </c>
      <c r="R3465">
        <v>27.685608878464201</v>
      </c>
      <c r="S3465">
        <v>32.600990689271399</v>
      </c>
      <c r="T3465">
        <v>73.327275449300203</v>
      </c>
      <c r="U3465">
        <v>49.248905155367297</v>
      </c>
      <c r="V3465">
        <v>65.473172525696498</v>
      </c>
      <c r="W3465">
        <v>71.559453939374393</v>
      </c>
    </row>
    <row r="3466" spans="1:23" x14ac:dyDescent="0.2">
      <c r="A3466" t="s">
        <v>6934</v>
      </c>
      <c r="B3466" s="3" t="str">
        <f>HYPERLINK("http://www.ncbi.nlm.nih.gov/gene/24066","Spry4")</f>
        <v>Spry4</v>
      </c>
      <c r="C3466">
        <v>24066</v>
      </c>
      <c r="D3466" t="s">
        <v>6935</v>
      </c>
      <c r="E3466" s="3" t="str">
        <f>HYPERLINK("http://genome.ucsc.edu/cgi-bin/hgTracks?db=mm10&amp;lastVirtModeType=default&amp;lastVirtModeExtraState=&amp;virtModeType=default&amp;virtMode=0&amp;nonVirtPosition=&amp;position=chr18:38586264-38601268","chr18:38586264-38601268")</f>
        <v>chr18:38586264-38601268</v>
      </c>
      <c r="F3466" t="s">
        <v>25</v>
      </c>
      <c r="G3466">
        <v>0.48507594251896102</v>
      </c>
      <c r="H3466">
        <v>0.19354326774001801</v>
      </c>
      <c r="I3466">
        <v>2.50629199446271</v>
      </c>
      <c r="J3466">
        <v>1.22004819182125E-2</v>
      </c>
      <c r="K3466">
        <v>4.7014864278211201E-2</v>
      </c>
      <c r="L3466" t="s">
        <v>26</v>
      </c>
      <c r="M3466" t="s">
        <v>27</v>
      </c>
      <c r="N3466">
        <v>1252.6884639550401</v>
      </c>
      <c r="O3466">
        <v>1006.38674754461</v>
      </c>
      <c r="P3466">
        <v>1437.4147512628699</v>
      </c>
      <c r="Q3466">
        <v>875.27788232099999</v>
      </c>
      <c r="R3466">
        <v>782.40289200372001</v>
      </c>
      <c r="S3466">
        <v>1361.4794683091</v>
      </c>
      <c r="T3466">
        <v>1177.81936190438</v>
      </c>
      <c r="U3466">
        <v>1687.3103157578</v>
      </c>
      <c r="V3466">
        <v>1319.7626012483099</v>
      </c>
      <c r="W3466">
        <v>1564.7667261409899</v>
      </c>
    </row>
    <row r="3467" spans="1:23" x14ac:dyDescent="0.2">
      <c r="A3467" t="s">
        <v>6936</v>
      </c>
      <c r="B3467" s="3" t="str">
        <f>HYPERLINK("http://www.ncbi.nlm.nih.gov/gene/66549","Aggf1")</f>
        <v>Aggf1</v>
      </c>
      <c r="C3467">
        <v>66549</v>
      </c>
      <c r="D3467" t="s">
        <v>6937</v>
      </c>
      <c r="E3467" s="3" t="str">
        <f>HYPERLINK("http://genome.ucsc.edu/cgi-bin/hgTracks?db=mm10&amp;lastVirtModeType=default&amp;lastVirtModeExtraState=&amp;virtModeType=default&amp;virtMode=0&amp;nonVirtPosition=&amp;position=chr13:95350682-95375357","chr13:95350682-95375357")</f>
        <v>chr13:95350682-95375357</v>
      </c>
      <c r="F3467" t="s">
        <v>25</v>
      </c>
      <c r="G3467">
        <v>-0.32613531167314302</v>
      </c>
      <c r="H3467">
        <v>0.130142179936903</v>
      </c>
      <c r="I3467">
        <v>-2.5059923833400002</v>
      </c>
      <c r="J3467">
        <v>1.22108250190094E-2</v>
      </c>
      <c r="K3467">
        <v>4.7041184646016997E-2</v>
      </c>
      <c r="L3467" t="s">
        <v>26</v>
      </c>
      <c r="M3467" t="s">
        <v>27</v>
      </c>
      <c r="N3467">
        <v>325.025658299724</v>
      </c>
      <c r="O3467">
        <v>366.92198829445499</v>
      </c>
      <c r="P3467">
        <v>293.60341080367499</v>
      </c>
      <c r="Q3467">
        <v>417.03761695828803</v>
      </c>
      <c r="R3467">
        <v>337.53687536757701</v>
      </c>
      <c r="S3467">
        <v>346.19147255750102</v>
      </c>
      <c r="T3467">
        <v>316.22387537510701</v>
      </c>
      <c r="U3467">
        <v>291.21091744043298</v>
      </c>
      <c r="V3467">
        <v>279.548377076007</v>
      </c>
      <c r="W3467">
        <v>287.43047332315399</v>
      </c>
    </row>
    <row r="3468" spans="1:23" x14ac:dyDescent="0.2">
      <c r="A3468" t="s">
        <v>6938</v>
      </c>
      <c r="B3468" s="3" t="str">
        <f>HYPERLINK("http://www.ncbi.nlm.nih.gov/gene/217430","Pqlc3")</f>
        <v>Pqlc3</v>
      </c>
      <c r="C3468">
        <v>217430</v>
      </c>
      <c r="D3468" t="s">
        <v>6939</v>
      </c>
      <c r="E3468" s="3" t="str">
        <f>HYPERLINK("http://genome.ucsc.edu/cgi-bin/hgTracks?db=mm10&amp;lastVirtModeType=default&amp;lastVirtModeExtraState=&amp;virtModeType=default&amp;virtMode=0&amp;nonVirtPosition=&amp;position=chr12:16988647-17000118","chr12:16988647-17000118")</f>
        <v>chr12:16988647-17000118</v>
      </c>
      <c r="F3468" t="s">
        <v>25</v>
      </c>
      <c r="G3468">
        <v>0.65976436215241197</v>
      </c>
      <c r="H3468">
        <v>0.26335805955765301</v>
      </c>
      <c r="I3468">
        <v>2.5051990558427502</v>
      </c>
      <c r="J3468">
        <v>1.22382496061605E-2</v>
      </c>
      <c r="K3468">
        <v>4.7133275949409199E-2</v>
      </c>
      <c r="L3468" t="s">
        <v>26</v>
      </c>
      <c r="M3468" t="s">
        <v>27</v>
      </c>
      <c r="N3468">
        <v>35.7532480791442</v>
      </c>
      <c r="O3468">
        <v>25.256766001091599</v>
      </c>
      <c r="P3468">
        <v>43.625609637683603</v>
      </c>
      <c r="Q3468">
        <v>27.282834754280501</v>
      </c>
      <c r="R3468">
        <v>28.823373626894199</v>
      </c>
      <c r="S3468">
        <v>19.6640896221002</v>
      </c>
      <c r="T3468">
        <v>54.995456586975202</v>
      </c>
      <c r="U3468">
        <v>34.260107934168602</v>
      </c>
      <c r="V3468">
        <v>47.081831928590702</v>
      </c>
      <c r="W3468">
        <v>38.165042100999699</v>
      </c>
    </row>
    <row r="3469" spans="1:23" x14ac:dyDescent="0.2">
      <c r="A3469" t="s">
        <v>6940</v>
      </c>
      <c r="B3469" s="3" t="str">
        <f>HYPERLINK("http://www.ncbi.nlm.nih.gov/gene/70616","Sugp1")</f>
        <v>Sugp1</v>
      </c>
      <c r="C3469">
        <v>70616</v>
      </c>
      <c r="D3469" t="s">
        <v>6941</v>
      </c>
      <c r="E3469" s="3" t="str">
        <f>HYPERLINK("http://genome.ucsc.edu/cgi-bin/hgTracks?db=mm10&amp;lastVirtModeType=default&amp;lastVirtModeExtraState=&amp;virtModeType=default&amp;virtMode=0&amp;nonVirtPosition=&amp;position=chr8:70042812-70071953","chr8:70042812-70071953")</f>
        <v>chr8:70042812-70071953</v>
      </c>
      <c r="F3469" t="s">
        <v>30</v>
      </c>
      <c r="G3469">
        <v>0.34459363190458597</v>
      </c>
      <c r="H3469">
        <v>0.13756101997078199</v>
      </c>
      <c r="I3469">
        <v>2.50502382126693</v>
      </c>
      <c r="J3469">
        <v>1.22443146544474E-2</v>
      </c>
      <c r="K3469">
        <v>4.7143075772773303E-2</v>
      </c>
      <c r="L3469" t="s">
        <v>26</v>
      </c>
      <c r="M3469" t="s">
        <v>27</v>
      </c>
      <c r="N3469">
        <v>191.67027932355001</v>
      </c>
      <c r="O3469">
        <v>164.70045844824801</v>
      </c>
      <c r="P3469">
        <v>211.897644980026</v>
      </c>
      <c r="Q3469">
        <v>156.458705427609</v>
      </c>
      <c r="R3469">
        <v>161.183339360921</v>
      </c>
      <c r="S3469">
        <v>176.45933055621501</v>
      </c>
      <c r="T3469">
        <v>210.81591691673799</v>
      </c>
      <c r="U3469">
        <v>220.54944482620999</v>
      </c>
      <c r="V3469">
        <v>192.00559583378401</v>
      </c>
      <c r="W3469">
        <v>224.219622343373</v>
      </c>
    </row>
    <row r="3470" spans="1:23" x14ac:dyDescent="0.2">
      <c r="A3470" t="s">
        <v>6942</v>
      </c>
      <c r="B3470" s="3" t="str">
        <f>HYPERLINK("http://www.ncbi.nlm.nih.gov/gene/56530","Cnpy2")</f>
        <v>Cnpy2</v>
      </c>
      <c r="C3470">
        <v>56530</v>
      </c>
      <c r="D3470" t="s">
        <v>6943</v>
      </c>
      <c r="E3470" s="3" t="str">
        <f>HYPERLINK("http://genome.ucsc.edu/cgi-bin/hgTracks?db=mm10&amp;lastVirtModeType=default&amp;lastVirtModeExtraState=&amp;virtModeType=default&amp;virtMode=0&amp;nonVirtPosition=&amp;position=chr10:128322458-128327187","chr10:128322458-128327187")</f>
        <v>chr10:128322458-128327187</v>
      </c>
      <c r="F3470" t="s">
        <v>30</v>
      </c>
      <c r="G3470">
        <v>-0.37624361985433602</v>
      </c>
      <c r="H3470">
        <v>0.15023053036591599</v>
      </c>
      <c r="I3470">
        <v>-2.5044417997987498</v>
      </c>
      <c r="J3470">
        <v>1.2264478130058E-2</v>
      </c>
      <c r="K3470">
        <v>4.7186514952882397E-2</v>
      </c>
      <c r="L3470" t="s">
        <v>26</v>
      </c>
      <c r="M3470" t="s">
        <v>27</v>
      </c>
      <c r="N3470">
        <v>170.68921330419201</v>
      </c>
      <c r="O3470">
        <v>198.887390327909</v>
      </c>
      <c r="P3470">
        <v>149.54058053640401</v>
      </c>
      <c r="Q3470">
        <v>217.70588548823801</v>
      </c>
      <c r="R3470">
        <v>186.97267365866901</v>
      </c>
      <c r="S3470">
        <v>191.98361183681999</v>
      </c>
      <c r="T3470">
        <v>137.48864146743799</v>
      </c>
      <c r="U3470">
        <v>158.45299919553</v>
      </c>
      <c r="V3470">
        <v>166.25771899783601</v>
      </c>
      <c r="W3470">
        <v>135.96296248481099</v>
      </c>
    </row>
    <row r="3471" spans="1:23" x14ac:dyDescent="0.2">
      <c r="A3471" t="s">
        <v>6944</v>
      </c>
      <c r="B3471" s="3" t="str">
        <f>HYPERLINK("http://www.ncbi.nlm.nih.gov/gene/77116","Mtmr2")</f>
        <v>Mtmr2</v>
      </c>
      <c r="C3471">
        <v>77116</v>
      </c>
      <c r="D3471" t="s">
        <v>6945</v>
      </c>
      <c r="E3471" s="3" t="str">
        <f>HYPERLINK("http://genome.ucsc.edu/cgi-bin/hgTracks?db=mm10&amp;lastVirtModeType=default&amp;lastVirtModeExtraState=&amp;virtModeType=default&amp;virtMode=0&amp;nonVirtPosition=&amp;position=chr9:13749180-13806481","chr9:13749180-13806481")</f>
        <v>chr9:13749180-13806481</v>
      </c>
      <c r="F3471" t="s">
        <v>30</v>
      </c>
      <c r="G3471">
        <v>-0.42469961517356902</v>
      </c>
      <c r="H3471">
        <v>0.16958179233280701</v>
      </c>
      <c r="I3471">
        <v>-2.5043939525069301</v>
      </c>
      <c r="J3471">
        <v>1.2266137053258901E-2</v>
      </c>
      <c r="K3471">
        <v>4.7186514952882397E-2</v>
      </c>
      <c r="L3471" t="s">
        <v>26</v>
      </c>
      <c r="M3471" t="s">
        <v>27</v>
      </c>
      <c r="N3471">
        <v>411.07894259649498</v>
      </c>
      <c r="O3471">
        <v>485.57773147527899</v>
      </c>
      <c r="P3471">
        <v>355.20485093740598</v>
      </c>
      <c r="Q3471">
        <v>382.516479105933</v>
      </c>
      <c r="R3471">
        <v>623.49508213965896</v>
      </c>
      <c r="S3471">
        <v>450.721633180244</v>
      </c>
      <c r="T3471">
        <v>325.38978480626997</v>
      </c>
      <c r="U3471">
        <v>376.86118727585398</v>
      </c>
      <c r="V3471">
        <v>371.50508006153598</v>
      </c>
      <c r="W3471">
        <v>347.06335160596598</v>
      </c>
    </row>
    <row r="3472" spans="1:23" x14ac:dyDescent="0.2">
      <c r="A3472" t="s">
        <v>6946</v>
      </c>
      <c r="B3472" s="3" t="str">
        <f>HYPERLINK("http://www.ncbi.nlm.nih.gov/gene/625098","Slc38a6")</f>
        <v>Slc38a6</v>
      </c>
      <c r="C3472">
        <v>625098</v>
      </c>
      <c r="D3472" t="s">
        <v>6947</v>
      </c>
      <c r="E3472" s="3" t="str">
        <f>HYPERLINK("http://genome.ucsc.edu/cgi-bin/hgTracks?db=mm10&amp;lastVirtModeType=default&amp;lastVirtModeExtraState=&amp;virtModeType=default&amp;virtMode=0&amp;nonVirtPosition=&amp;position=chr12:73286847-73354045","chr12:73286847-73354045")</f>
        <v>chr12:73286847-73354045</v>
      </c>
      <c r="F3472" t="s">
        <v>30</v>
      </c>
      <c r="G3472">
        <v>0.65309066536452298</v>
      </c>
      <c r="H3472">
        <v>0.26077802139283102</v>
      </c>
      <c r="I3472">
        <v>2.50439305381768</v>
      </c>
      <c r="J3472">
        <v>1.2266168213799101E-2</v>
      </c>
      <c r="K3472">
        <v>4.7186514952882397E-2</v>
      </c>
      <c r="L3472" t="s">
        <v>26</v>
      </c>
      <c r="M3472" t="s">
        <v>27</v>
      </c>
      <c r="N3472">
        <v>49.822889061826103</v>
      </c>
      <c r="O3472">
        <v>36.559093599720299</v>
      </c>
      <c r="P3472">
        <v>59.7707356584054</v>
      </c>
      <c r="Q3472">
        <v>42.316233496435103</v>
      </c>
      <c r="R3472">
        <v>23.893059717030699</v>
      </c>
      <c r="S3472">
        <v>43.467987585695198</v>
      </c>
      <c r="T3472">
        <v>59.578411302556397</v>
      </c>
      <c r="U3472">
        <v>49.248905155367297</v>
      </c>
      <c r="V3472">
        <v>70.622747892886096</v>
      </c>
      <c r="W3472">
        <v>59.632878282812001</v>
      </c>
    </row>
    <row r="3473" spans="1:23" x14ac:dyDescent="0.2">
      <c r="A3473" t="s">
        <v>6948</v>
      </c>
      <c r="B3473" s="3" t="str">
        <f>HYPERLINK("http://www.ncbi.nlm.nih.gov/gene/229906","Gtf2b")</f>
        <v>Gtf2b</v>
      </c>
      <c r="C3473">
        <v>229906</v>
      </c>
      <c r="D3473" t="s">
        <v>6949</v>
      </c>
      <c r="E3473" s="3" t="str">
        <f>HYPERLINK("http://genome.ucsc.edu/cgi-bin/hgTracks?db=mm10&amp;lastVirtModeType=default&amp;lastVirtModeExtraState=&amp;virtModeType=default&amp;virtMode=0&amp;nonVirtPosition=&amp;position=chr3:142765246-142783605","chr3:142765246-142783605")</f>
        <v>chr3:142765246-142783605</v>
      </c>
      <c r="F3473" t="s">
        <v>30</v>
      </c>
      <c r="G3473">
        <v>-0.42005495528942999</v>
      </c>
      <c r="H3473">
        <v>0.167737930735401</v>
      </c>
      <c r="I3473">
        <v>-2.5042335591467801</v>
      </c>
      <c r="J3473">
        <v>1.22716995344061E-2</v>
      </c>
      <c r="K3473">
        <v>4.71942356304514E-2</v>
      </c>
      <c r="L3473" t="s">
        <v>26</v>
      </c>
      <c r="M3473" t="s">
        <v>27</v>
      </c>
      <c r="N3473">
        <v>125.15896430548</v>
      </c>
      <c r="O3473">
        <v>149.32800185929801</v>
      </c>
      <c r="P3473">
        <v>107.032186140118</v>
      </c>
      <c r="Q3473">
        <v>141.42530668545399</v>
      </c>
      <c r="R3473">
        <v>162.700359025495</v>
      </c>
      <c r="S3473">
        <v>143.85833986694399</v>
      </c>
      <c r="T3473">
        <v>96.242049027206505</v>
      </c>
      <c r="U3473">
        <v>92.074040073077995</v>
      </c>
      <c r="V3473">
        <v>116.96892619759301</v>
      </c>
      <c r="W3473">
        <v>122.843729262593</v>
      </c>
    </row>
    <row r="3474" spans="1:23" x14ac:dyDescent="0.2">
      <c r="A3474" t="s">
        <v>6950</v>
      </c>
      <c r="B3474" s="3" t="str">
        <f>HYPERLINK("http://www.ncbi.nlm.nih.gov/gene/102657","Cd276")</f>
        <v>Cd276</v>
      </c>
      <c r="C3474">
        <v>102657</v>
      </c>
      <c r="D3474" t="s">
        <v>6951</v>
      </c>
      <c r="E3474" s="3" t="str">
        <f>HYPERLINK("http://genome.ucsc.edu/cgi-bin/hgTracks?db=mm10&amp;lastVirtModeType=default&amp;lastVirtModeExtraState=&amp;virtModeType=default&amp;virtMode=0&amp;nonVirtPosition=&amp;position=chr9:58524299-58540940","chr9:58524299-58540940")</f>
        <v>chr9:58524299-58540940</v>
      </c>
      <c r="F3474" t="s">
        <v>25</v>
      </c>
      <c r="G3474">
        <v>-0.48618988134913399</v>
      </c>
      <c r="H3474">
        <v>0.19417002277883799</v>
      </c>
      <c r="I3474">
        <v>-2.50393894171249</v>
      </c>
      <c r="J3474">
        <v>1.2281922762275899E-2</v>
      </c>
      <c r="K3474">
        <v>4.7219990729151902E-2</v>
      </c>
      <c r="L3474" t="s">
        <v>26</v>
      </c>
      <c r="M3474" t="s">
        <v>27</v>
      </c>
      <c r="N3474">
        <v>519.62501143838699</v>
      </c>
      <c r="O3474">
        <v>631.45662505316204</v>
      </c>
      <c r="P3474">
        <v>435.75130122730502</v>
      </c>
      <c r="Q3474">
        <v>524.49857833739304</v>
      </c>
      <c r="R3474">
        <v>560.53876605986295</v>
      </c>
      <c r="S3474">
        <v>809.33253076223002</v>
      </c>
      <c r="T3474">
        <v>307.05796594394502</v>
      </c>
      <c r="U3474">
        <v>537.45544321726902</v>
      </c>
      <c r="V3474">
        <v>496.566196121855</v>
      </c>
      <c r="W3474">
        <v>401.92559962615297</v>
      </c>
    </row>
    <row r="3475" spans="1:23" x14ac:dyDescent="0.2">
      <c r="A3475" t="s">
        <v>6952</v>
      </c>
      <c r="B3475" s="3" t="str">
        <f>HYPERLINK("http://www.ncbi.nlm.nih.gov/gene/100043489","1300002E11Rik")</f>
        <v>1300002E11Rik</v>
      </c>
      <c r="C3475">
        <v>100043489</v>
      </c>
      <c r="D3475" t="s">
        <v>6953</v>
      </c>
      <c r="E3475" s="3" t="str">
        <f>HYPERLINK("http://genome.ucsc.edu/cgi-bin/hgTracks?db=mm10&amp;lastVirtModeType=default&amp;lastVirtModeExtraState=&amp;virtModeType=default&amp;virtMode=0&amp;nonVirtPosition=&amp;position=chr16:21794346-21809039","chr16:21794346-21809039")</f>
        <v>chr16:21794346-21809039</v>
      </c>
      <c r="F3475" t="s">
        <v>30</v>
      </c>
      <c r="G3475">
        <v>0.66663983021025097</v>
      </c>
      <c r="H3475">
        <v>0.26630810095369001</v>
      </c>
      <c r="I3475">
        <v>2.5032653074499498</v>
      </c>
      <c r="J3475">
        <v>1.2305326231628401E-2</v>
      </c>
      <c r="K3475">
        <v>4.72878229113914E-2</v>
      </c>
      <c r="L3475" t="s">
        <v>26</v>
      </c>
      <c r="M3475" t="s">
        <v>27</v>
      </c>
      <c r="N3475">
        <v>46.338226317988102</v>
      </c>
      <c r="O3475">
        <v>32.564274042683898</v>
      </c>
      <c r="P3475">
        <v>56.6686905244663</v>
      </c>
      <c r="Q3475">
        <v>33.964345306349202</v>
      </c>
      <c r="R3475">
        <v>40.959530943481198</v>
      </c>
      <c r="S3475">
        <v>22.768945878221299</v>
      </c>
      <c r="T3475">
        <v>64.161366018137699</v>
      </c>
      <c r="U3475">
        <v>62.096445630680499</v>
      </c>
      <c r="V3475">
        <v>61.059250782391103</v>
      </c>
      <c r="W3475">
        <v>39.357699666655897</v>
      </c>
    </row>
    <row r="3476" spans="1:23" x14ac:dyDescent="0.2">
      <c r="A3476" t="s">
        <v>6954</v>
      </c>
      <c r="B3476" s="3" t="str">
        <f>HYPERLINK("http://www.ncbi.nlm.nih.gov/gene/227298","Fam134a")</f>
        <v>Fam134a</v>
      </c>
      <c r="C3476">
        <v>227298</v>
      </c>
      <c r="D3476" t="s">
        <v>6955</v>
      </c>
      <c r="E3476" s="3" t="str">
        <f>HYPERLINK("http://genome.ucsc.edu/cgi-bin/hgTracks?db=mm10&amp;lastVirtModeType=default&amp;lastVirtModeExtraState=&amp;virtModeType=default&amp;virtMode=0&amp;nonVirtPosition=&amp;position=chr1:75142785-75147909","chr1:75142785-75147909")</f>
        <v>chr1:75142785-75147909</v>
      </c>
      <c r="F3476" t="s">
        <v>30</v>
      </c>
      <c r="G3476">
        <v>-0.39370713078596198</v>
      </c>
      <c r="H3476">
        <v>0.15727978174273599</v>
      </c>
      <c r="I3476">
        <v>-2.50322785563089</v>
      </c>
      <c r="J3476">
        <v>1.2306628545007799E-2</v>
      </c>
      <c r="K3476">
        <v>4.72878229113914E-2</v>
      </c>
      <c r="L3476" t="s">
        <v>26</v>
      </c>
      <c r="M3476" t="s">
        <v>27</v>
      </c>
      <c r="N3476">
        <v>441.05302059059898</v>
      </c>
      <c r="O3476">
        <v>515.86575511967897</v>
      </c>
      <c r="P3476">
        <v>384.94346969378898</v>
      </c>
      <c r="Q3476">
        <v>575.72349256992004</v>
      </c>
      <c r="R3476">
        <v>485.44629266348102</v>
      </c>
      <c r="S3476">
        <v>486.42748012563698</v>
      </c>
      <c r="T3476">
        <v>297.89205651278201</v>
      </c>
      <c r="U3476">
        <v>501.05407853721499</v>
      </c>
      <c r="V3476">
        <v>356.79200758385201</v>
      </c>
      <c r="W3476">
        <v>384.03573614130897</v>
      </c>
    </row>
    <row r="3477" spans="1:23" x14ac:dyDescent="0.2">
      <c r="A3477" t="s">
        <v>6956</v>
      </c>
      <c r="B3477" s="3" t="str">
        <f>HYPERLINK("http://www.ncbi.nlm.nih.gov/gene/23986","Eci2")</f>
        <v>Eci2</v>
      </c>
      <c r="C3477">
        <v>23986</v>
      </c>
      <c r="D3477" t="s">
        <v>6957</v>
      </c>
      <c r="E3477" s="3" t="str">
        <f>HYPERLINK("http://genome.ucsc.edu/cgi-bin/hgTracks?db=mm10&amp;lastVirtModeType=default&amp;lastVirtModeExtraState=&amp;virtModeType=default&amp;virtMode=0&amp;nonVirtPosition=&amp;position=chr13:34977747-34994144","chr13:34977747-34994144")</f>
        <v>chr13:34977747-34994144</v>
      </c>
      <c r="F3477" t="s">
        <v>25</v>
      </c>
      <c r="G3477">
        <v>-0.34756352827881798</v>
      </c>
      <c r="H3477">
        <v>0.13887455175667901</v>
      </c>
      <c r="I3477">
        <v>-2.5027157523271799</v>
      </c>
      <c r="J3477">
        <v>1.2324448183743401E-2</v>
      </c>
      <c r="K3477">
        <v>4.7342709589359599E-2</v>
      </c>
      <c r="L3477" t="s">
        <v>26</v>
      </c>
      <c r="M3477" t="s">
        <v>27</v>
      </c>
      <c r="N3477">
        <v>273.13862636396698</v>
      </c>
      <c r="O3477">
        <v>315.85877481643001</v>
      </c>
      <c r="P3477">
        <v>241.09851502462101</v>
      </c>
      <c r="Q3477">
        <v>329.62118723538902</v>
      </c>
      <c r="R3477">
        <v>312.12679598597299</v>
      </c>
      <c r="S3477">
        <v>305.82834122792701</v>
      </c>
      <c r="T3477">
        <v>210.81591691673799</v>
      </c>
      <c r="U3477">
        <v>244.103269030951</v>
      </c>
      <c r="V3477">
        <v>287.64056693873403</v>
      </c>
      <c r="W3477">
        <v>221.83430721206099</v>
      </c>
    </row>
    <row r="3478" spans="1:23" x14ac:dyDescent="0.2">
      <c r="A3478" t="s">
        <v>6958</v>
      </c>
      <c r="B3478" s="3" t="str">
        <f>HYPERLINK("http://www.ncbi.nlm.nih.gov/gene/18100","Mrpl40")</f>
        <v>Mrpl40</v>
      </c>
      <c r="C3478">
        <v>18100</v>
      </c>
      <c r="D3478" t="s">
        <v>6959</v>
      </c>
      <c r="E3478" s="3" t="str">
        <f>HYPERLINK("http://genome.ucsc.edu/cgi-bin/hgTracks?db=mm10&amp;lastVirtModeType=default&amp;lastVirtModeExtraState=&amp;virtModeType=default&amp;virtMode=0&amp;nonVirtPosition=&amp;position=chr16:18872017-18876637","chr16:18872017-18876637")</f>
        <v>chr16:18872017-18876637</v>
      </c>
      <c r="F3478" t="s">
        <v>25</v>
      </c>
      <c r="G3478">
        <v>-0.53203047598014097</v>
      </c>
      <c r="H3478">
        <v>0.212593151524542</v>
      </c>
      <c r="I3478">
        <v>-2.5025757987256898</v>
      </c>
      <c r="J3478">
        <v>1.2329322118955301E-2</v>
      </c>
      <c r="K3478">
        <v>4.7347849869495501E-2</v>
      </c>
      <c r="L3478" t="s">
        <v>26</v>
      </c>
      <c r="M3478" t="s">
        <v>27</v>
      </c>
      <c r="N3478">
        <v>81.704479267259799</v>
      </c>
      <c r="O3478">
        <v>99.883294372607693</v>
      </c>
      <c r="P3478">
        <v>68.070367938248793</v>
      </c>
      <c r="Q3478">
        <v>84.075674446864497</v>
      </c>
      <c r="R3478">
        <v>125.53337724344701</v>
      </c>
      <c r="S3478">
        <v>90.040831427511506</v>
      </c>
      <c r="T3478">
        <v>73.327275449300203</v>
      </c>
      <c r="U3478">
        <v>68.520215868337104</v>
      </c>
      <c r="V3478">
        <v>68.415787021233399</v>
      </c>
      <c r="W3478">
        <v>62.018193414124497</v>
      </c>
    </row>
    <row r="3479" spans="1:23" x14ac:dyDescent="0.2">
      <c r="A3479" t="s">
        <v>6960</v>
      </c>
      <c r="B3479" s="3" t="str">
        <f>HYPERLINK("http://www.ncbi.nlm.nih.gov/gene/100978","Nfxl1")</f>
        <v>Nfxl1</v>
      </c>
      <c r="C3479">
        <v>100978</v>
      </c>
      <c r="D3479" t="s">
        <v>6961</v>
      </c>
      <c r="E3479" s="3" t="str">
        <f>HYPERLINK("http://genome.ucsc.edu/cgi-bin/hgTracks?db=mm10&amp;lastVirtModeType=default&amp;lastVirtModeExtraState=&amp;virtModeType=default&amp;virtMode=0&amp;nonVirtPosition=&amp;position=chr5:72513303-72559645","chr5:72513303-72559645")</f>
        <v>chr5:72513303-72559645</v>
      </c>
      <c r="F3479" t="s">
        <v>25</v>
      </c>
      <c r="G3479">
        <v>0.36411567045508703</v>
      </c>
      <c r="H3479">
        <v>0.14556140582636901</v>
      </c>
      <c r="I3479">
        <v>2.5014575009629798</v>
      </c>
      <c r="J3479">
        <v>1.2368328615753099E-2</v>
      </c>
      <c r="K3479">
        <v>4.7484027664435102E-2</v>
      </c>
      <c r="L3479" t="s">
        <v>26</v>
      </c>
      <c r="M3479" t="s">
        <v>27</v>
      </c>
      <c r="N3479">
        <v>160.09432955737699</v>
      </c>
      <c r="O3479">
        <v>138.147345801543</v>
      </c>
      <c r="P3479">
        <v>176.554567374252</v>
      </c>
      <c r="Q3479">
        <v>145.87964705350001</v>
      </c>
      <c r="R3479">
        <v>127.80890674030699</v>
      </c>
      <c r="S3479">
        <v>140.753483610823</v>
      </c>
      <c r="T3479">
        <v>155.82046032976299</v>
      </c>
      <c r="U3479">
        <v>192.71310712969799</v>
      </c>
      <c r="V3479">
        <v>188.32732771436301</v>
      </c>
      <c r="W3479">
        <v>169.35737432318601</v>
      </c>
    </row>
    <row r="3480" spans="1:23" x14ac:dyDescent="0.2">
      <c r="A3480" t="s">
        <v>6962</v>
      </c>
      <c r="B3480" s="3" t="str">
        <f>HYPERLINK("http://www.ncbi.nlm.nih.gov/gene/99712","Cept1")</f>
        <v>Cept1</v>
      </c>
      <c r="C3480">
        <v>99712</v>
      </c>
      <c r="D3480" t="s">
        <v>6963</v>
      </c>
      <c r="E3480" s="3" t="str">
        <f>HYPERLINK("http://genome.ucsc.edu/cgi-bin/hgTracks?db=mm10&amp;lastVirtModeType=default&amp;lastVirtModeExtraState=&amp;virtModeType=default&amp;virtMode=0&amp;nonVirtPosition=&amp;position=chr3:106502259-106547802","chr3:106502259-106547802")</f>
        <v>chr3:106502259-106547802</v>
      </c>
      <c r="F3480" t="s">
        <v>25</v>
      </c>
      <c r="G3480">
        <v>-0.51301322479028</v>
      </c>
      <c r="H3480">
        <v>0.20510283725296299</v>
      </c>
      <c r="I3480">
        <v>-2.50124879626875</v>
      </c>
      <c r="J3480">
        <v>1.23756203774513E-2</v>
      </c>
      <c r="K3480">
        <v>4.7498404263241797E-2</v>
      </c>
      <c r="L3480" t="s">
        <v>26</v>
      </c>
      <c r="M3480" t="s">
        <v>27</v>
      </c>
      <c r="N3480">
        <v>113.877055707331</v>
      </c>
      <c r="O3480">
        <v>139.18130175890701</v>
      </c>
      <c r="P3480">
        <v>94.898871168648597</v>
      </c>
      <c r="Q3480">
        <v>177.060029629821</v>
      </c>
      <c r="R3480">
        <v>122.4993379143</v>
      </c>
      <c r="S3480">
        <v>117.984537732601</v>
      </c>
      <c r="T3480">
        <v>105.407958458369</v>
      </c>
      <c r="U3480">
        <v>81.367756343650299</v>
      </c>
      <c r="V3480">
        <v>108.141082710982</v>
      </c>
      <c r="W3480">
        <v>84.678687161593004</v>
      </c>
    </row>
    <row r="3481" spans="1:23" x14ac:dyDescent="0.2">
      <c r="A3481" t="s">
        <v>6964</v>
      </c>
      <c r="B3481" s="3" t="str">
        <f>HYPERLINK("http://www.ncbi.nlm.nih.gov/gene/67444","Ilkap")</f>
        <v>Ilkap</v>
      </c>
      <c r="C3481">
        <v>67444</v>
      </c>
      <c r="D3481" t="s">
        <v>6965</v>
      </c>
      <c r="E3481" s="3" t="str">
        <f>HYPERLINK("http://genome.ucsc.edu/cgi-bin/hgTracks?db=mm10&amp;lastVirtModeType=default&amp;lastVirtModeExtraState=&amp;virtModeType=default&amp;virtMode=0&amp;nonVirtPosition=&amp;position=chr1:91375830-91398783","chr1:91375830-91398783")</f>
        <v>chr1:91375830-91398783</v>
      </c>
      <c r="F3481" t="s">
        <v>25</v>
      </c>
      <c r="G3481">
        <v>0.34525156935297202</v>
      </c>
      <c r="H3481">
        <v>0.138078729800415</v>
      </c>
      <c r="I3481">
        <v>2.5003964756339601</v>
      </c>
      <c r="J3481">
        <v>1.2405438449852301E-2</v>
      </c>
      <c r="K3481">
        <v>4.7599205238387503E-2</v>
      </c>
      <c r="L3481" t="s">
        <v>26</v>
      </c>
      <c r="M3481" t="s">
        <v>27</v>
      </c>
      <c r="N3481">
        <v>230.115289840337</v>
      </c>
      <c r="O3481">
        <v>196.46008345209401</v>
      </c>
      <c r="P3481">
        <v>255.356694631518</v>
      </c>
      <c r="Q3481">
        <v>171.492104169763</v>
      </c>
      <c r="R3481">
        <v>215.037537453276</v>
      </c>
      <c r="S3481">
        <v>202.850608733244</v>
      </c>
      <c r="T3481">
        <v>284.14319236603802</v>
      </c>
      <c r="U3481">
        <v>246.24452577683701</v>
      </c>
      <c r="V3481">
        <v>250.12223212063799</v>
      </c>
      <c r="W3481">
        <v>240.91682826255999</v>
      </c>
    </row>
    <row r="3482" spans="1:23" x14ac:dyDescent="0.2">
      <c r="A3482" t="s">
        <v>6966</v>
      </c>
      <c r="B3482" s="3" t="str">
        <f>HYPERLINK("http://www.ncbi.nlm.nih.gov/gene/195727","Nhs")</f>
        <v>Nhs</v>
      </c>
      <c r="C3482">
        <v>195727</v>
      </c>
      <c r="D3482" t="s">
        <v>6967</v>
      </c>
      <c r="E3482" s="3" t="str">
        <f>HYPERLINK("http://genome.ucsc.edu/cgi-bin/hgTracks?db=mm10&amp;lastVirtModeType=default&amp;lastVirtModeExtraState=&amp;virtModeType=default&amp;virtMode=0&amp;nonVirtPosition=&amp;position=chrX:161836429-162159441","chrX:161836429-162159441")</f>
        <v>chrX:161836429-162159441</v>
      </c>
      <c r="F3482" t="s">
        <v>25</v>
      </c>
      <c r="G3482">
        <v>0.59013398464417499</v>
      </c>
      <c r="H3482">
        <v>0.23605177497216401</v>
      </c>
      <c r="I3482">
        <v>2.5000192636287801</v>
      </c>
      <c r="J3482">
        <v>1.2418655350465799E-2</v>
      </c>
      <c r="K3482">
        <v>4.7636268633081597E-2</v>
      </c>
      <c r="L3482" t="s">
        <v>26</v>
      </c>
      <c r="M3482" t="s">
        <v>27</v>
      </c>
      <c r="N3482">
        <v>47.319971935541602</v>
      </c>
      <c r="O3482">
        <v>36.002146401958299</v>
      </c>
      <c r="P3482">
        <v>55.808341085729097</v>
      </c>
      <c r="Q3482">
        <v>33.407552760343499</v>
      </c>
      <c r="R3482">
        <v>35.270707201331</v>
      </c>
      <c r="S3482">
        <v>39.328179244200399</v>
      </c>
      <c r="T3482">
        <v>45.829547155812598</v>
      </c>
      <c r="U3482">
        <v>59.955188884795</v>
      </c>
      <c r="V3482">
        <v>47.081831928590702</v>
      </c>
      <c r="W3482">
        <v>70.366796373718103</v>
      </c>
    </row>
    <row r="3483" spans="1:23" x14ac:dyDescent="0.2">
      <c r="A3483" t="s">
        <v>6968</v>
      </c>
      <c r="B3483" s="3" t="str">
        <f>HYPERLINK("http://www.ncbi.nlm.nih.gov/gene/21423","Tcf3")</f>
        <v>Tcf3</v>
      </c>
      <c r="C3483">
        <v>21423</v>
      </c>
      <c r="D3483" t="s">
        <v>6969</v>
      </c>
      <c r="E3483" s="3" t="str">
        <f>HYPERLINK("http://genome.ucsc.edu/cgi-bin/hgTracks?db=mm10&amp;lastVirtModeType=default&amp;lastVirtModeExtraState=&amp;virtModeType=default&amp;virtMode=0&amp;nonVirtPosition=&amp;position=chr10:80409164-80433653","chr10:80409164-80433653")</f>
        <v>chr10:80409164-80433653</v>
      </c>
      <c r="F3483" t="s">
        <v>25</v>
      </c>
      <c r="G3483">
        <v>0.42539623096465701</v>
      </c>
      <c r="H3483">
        <v>0.170257505224721</v>
      </c>
      <c r="I3483">
        <v>2.49854613106882</v>
      </c>
      <c r="J3483">
        <v>1.2470391074328799E-2</v>
      </c>
      <c r="K3483">
        <v>4.7821021442249999E-2</v>
      </c>
      <c r="L3483" t="s">
        <v>26</v>
      </c>
      <c r="M3483" t="s">
        <v>27</v>
      </c>
      <c r="N3483">
        <v>419.14498167083798</v>
      </c>
      <c r="O3483">
        <v>347.424506868393</v>
      </c>
      <c r="P3483">
        <v>472.93533777267203</v>
      </c>
      <c r="Q3483">
        <v>297.88401211306302</v>
      </c>
      <c r="R3483">
        <v>315.91934514740598</v>
      </c>
      <c r="S3483">
        <v>428.47016334470999</v>
      </c>
      <c r="T3483">
        <v>417.04887911789501</v>
      </c>
      <c r="U3483">
        <v>599.55188884794995</v>
      </c>
      <c r="V3483">
        <v>436.24259896334797</v>
      </c>
      <c r="W3483">
        <v>438.89798416149603</v>
      </c>
    </row>
    <row r="3484" spans="1:23" x14ac:dyDescent="0.2">
      <c r="A3484" t="s">
        <v>6970</v>
      </c>
      <c r="B3484" s="3" t="str">
        <f>HYPERLINK("http://www.ncbi.nlm.nih.gov/gene/207175","Cetn4")</f>
        <v>Cetn4</v>
      </c>
      <c r="C3484">
        <v>207175</v>
      </c>
      <c r="D3484" t="s">
        <v>6971</v>
      </c>
      <c r="E3484" s="3" t="str">
        <f>HYPERLINK("http://genome.ucsc.edu/cgi-bin/hgTracks?db=mm10&amp;lastVirtModeType=default&amp;lastVirtModeExtraState=&amp;virtModeType=default&amp;virtMode=0&amp;nonVirtPosition=&amp;position=chr3:37308626-37312446","chr3:37308626-37312446")</f>
        <v>chr3:37308626-37312446</v>
      </c>
      <c r="F3484" t="s">
        <v>25</v>
      </c>
      <c r="G3484">
        <v>-0.84227012097656395</v>
      </c>
      <c r="H3484">
        <v>0.33729186135184602</v>
      </c>
      <c r="I3484">
        <v>-2.4971551866113599</v>
      </c>
      <c r="J3484">
        <v>1.25194154861246E-2</v>
      </c>
      <c r="K3484">
        <v>4.7995274198309498E-2</v>
      </c>
      <c r="L3484" t="s">
        <v>26</v>
      </c>
      <c r="M3484" t="s">
        <v>27</v>
      </c>
      <c r="N3484">
        <v>15.207855580738199</v>
      </c>
      <c r="O3484">
        <v>21.778927174315498</v>
      </c>
      <c r="P3484">
        <v>10.2795518855552</v>
      </c>
      <c r="Q3484">
        <v>17.260568926177498</v>
      </c>
      <c r="R3484">
        <v>24.272314633174101</v>
      </c>
      <c r="S3484">
        <v>23.803897963594999</v>
      </c>
      <c r="T3484">
        <v>9.1659094311625307</v>
      </c>
      <c r="U3484">
        <v>12.847540475313201</v>
      </c>
      <c r="V3484">
        <v>9.5634971104949908</v>
      </c>
      <c r="W3484">
        <v>9.5412605252499194</v>
      </c>
    </row>
    <row r="3485" spans="1:23" x14ac:dyDescent="0.2">
      <c r="A3485" t="s">
        <v>6972</v>
      </c>
      <c r="B3485" s="3" t="str">
        <f>HYPERLINK("http://www.ncbi.nlm.nih.gov/gene/211499","Tmem87a")</f>
        <v>Tmem87a</v>
      </c>
      <c r="C3485">
        <v>211499</v>
      </c>
      <c r="D3485" t="s">
        <v>6973</v>
      </c>
      <c r="E3485" s="3" t="str">
        <f>HYPERLINK("http://genome.ucsc.edu/cgi-bin/hgTracks?db=mm10&amp;lastVirtModeType=default&amp;lastVirtModeExtraState=&amp;virtModeType=default&amp;virtMode=0&amp;nonVirtPosition=&amp;position=chr2:120355308-120404116","chr2:120355308-120404116")</f>
        <v>chr2:120355308-120404116</v>
      </c>
      <c r="F3485" t="s">
        <v>25</v>
      </c>
      <c r="G3485">
        <v>-0.32696806204773998</v>
      </c>
      <c r="H3485">
        <v>0.13094981269793701</v>
      </c>
      <c r="I3485">
        <v>-2.4968959887095101</v>
      </c>
      <c r="J3485">
        <v>1.25285698632481E-2</v>
      </c>
      <c r="K3485">
        <v>4.80103616247552E-2</v>
      </c>
      <c r="L3485" t="s">
        <v>26</v>
      </c>
      <c r="M3485" t="s">
        <v>27</v>
      </c>
      <c r="N3485">
        <v>289.72965965741599</v>
      </c>
      <c r="O3485">
        <v>332.10631211759102</v>
      </c>
      <c r="P3485">
        <v>257.94717031228498</v>
      </c>
      <c r="Q3485">
        <v>336.85949033346401</v>
      </c>
      <c r="R3485">
        <v>307.57573699225202</v>
      </c>
      <c r="S3485">
        <v>351.883709027056</v>
      </c>
      <c r="T3485">
        <v>206.23296220115699</v>
      </c>
      <c r="U3485">
        <v>295.49343093220398</v>
      </c>
      <c r="V3485">
        <v>264.09965097443899</v>
      </c>
      <c r="W3485">
        <v>265.96263714134102</v>
      </c>
    </row>
    <row r="3486" spans="1:23" x14ac:dyDescent="0.2">
      <c r="A3486" t="s">
        <v>6974</v>
      </c>
      <c r="B3486" s="3" t="str">
        <f>HYPERLINK("http://www.ncbi.nlm.nih.gov/gene/230157","Tmeff1")</f>
        <v>Tmeff1</v>
      </c>
      <c r="C3486">
        <v>230157</v>
      </c>
      <c r="D3486" t="s">
        <v>6975</v>
      </c>
      <c r="E3486" s="3" t="str">
        <f>HYPERLINK("http://genome.ucsc.edu/cgi-bin/hgTracks?db=mm10&amp;lastVirtModeType=default&amp;lastVirtModeExtraState=&amp;virtModeType=default&amp;virtMode=0&amp;nonVirtPosition=&amp;position=chr4:48585192-48663131","chr4:48585192-48663131")</f>
        <v>chr4:48585192-48663131</v>
      </c>
      <c r="F3486" t="s">
        <v>30</v>
      </c>
      <c r="G3486">
        <v>-0.50220728607768295</v>
      </c>
      <c r="H3486">
        <v>0.20113827975773901</v>
      </c>
      <c r="I3486">
        <v>-2.4968259979282301</v>
      </c>
      <c r="J3486">
        <v>1.25310428206814E-2</v>
      </c>
      <c r="K3486">
        <v>4.80103616247552E-2</v>
      </c>
      <c r="L3486" t="s">
        <v>26</v>
      </c>
      <c r="M3486" t="s">
        <v>27</v>
      </c>
      <c r="N3486">
        <v>371.01453409997202</v>
      </c>
      <c r="O3486">
        <v>449.67638683685601</v>
      </c>
      <c r="P3486">
        <v>312.01814454730902</v>
      </c>
      <c r="Q3486">
        <v>622.49406643440102</v>
      </c>
      <c r="R3486">
        <v>404.66499552494901</v>
      </c>
      <c r="S3486">
        <v>321.87009855121897</v>
      </c>
      <c r="T3486">
        <v>366.63637724650101</v>
      </c>
      <c r="U3486">
        <v>282.64589045689098</v>
      </c>
      <c r="V3486">
        <v>308.97452203137698</v>
      </c>
      <c r="W3486">
        <v>289.81578845446597</v>
      </c>
    </row>
    <row r="3487" spans="1:23" x14ac:dyDescent="0.2">
      <c r="A3487" t="s">
        <v>6976</v>
      </c>
      <c r="B3487" s="3" t="str">
        <f>HYPERLINK("http://www.ncbi.nlm.nih.gov/gene/14933","Gk")</f>
        <v>Gk</v>
      </c>
      <c r="C3487">
        <v>14933</v>
      </c>
      <c r="D3487" t="s">
        <v>6977</v>
      </c>
      <c r="E3487" s="3" t="str">
        <f>HYPERLINK("http://genome.ucsc.edu/cgi-bin/hgTracks?db=mm10&amp;lastVirtModeType=default&amp;lastVirtModeExtraState=&amp;virtModeType=default&amp;virtMode=0&amp;nonVirtPosition=&amp;position=chrX:85701936-85776819","chrX:85701936-85776819")</f>
        <v>chrX:85701936-85776819</v>
      </c>
      <c r="F3487" t="s">
        <v>25</v>
      </c>
      <c r="G3487">
        <v>-0.47683277825928899</v>
      </c>
      <c r="H3487">
        <v>0.19098220583770301</v>
      </c>
      <c r="I3487">
        <v>-2.4967392965630699</v>
      </c>
      <c r="J3487">
        <v>1.2534106806074599E-2</v>
      </c>
      <c r="K3487">
        <v>4.80103616247552E-2</v>
      </c>
      <c r="L3487" t="s">
        <v>26</v>
      </c>
      <c r="M3487" t="s">
        <v>27</v>
      </c>
      <c r="N3487">
        <v>105.773421588669</v>
      </c>
      <c r="O3487">
        <v>127.606707409183</v>
      </c>
      <c r="P3487">
        <v>89.398457223284495</v>
      </c>
      <c r="Q3487">
        <v>128.61907812732201</v>
      </c>
      <c r="R3487">
        <v>144.49612305061399</v>
      </c>
      <c r="S3487">
        <v>109.704921049612</v>
      </c>
      <c r="T3487">
        <v>91.659094311625296</v>
      </c>
      <c r="U3487">
        <v>72.802729360108202</v>
      </c>
      <c r="V3487">
        <v>84.600166746686497</v>
      </c>
      <c r="W3487">
        <v>108.531838474718</v>
      </c>
    </row>
    <row r="3488" spans="1:23" x14ac:dyDescent="0.2">
      <c r="A3488" t="s">
        <v>6978</v>
      </c>
      <c r="B3488" s="3" t="str">
        <f>HYPERLINK("http://www.ncbi.nlm.nih.gov/gene/193813","Mcfd2")</f>
        <v>Mcfd2</v>
      </c>
      <c r="C3488">
        <v>193813</v>
      </c>
      <c r="D3488" t="s">
        <v>6979</v>
      </c>
      <c r="E3488" s="3" t="str">
        <f>HYPERLINK("http://genome.ucsc.edu/cgi-bin/hgTracks?db=mm10&amp;lastVirtModeType=default&amp;lastVirtModeExtraState=&amp;virtModeType=default&amp;virtMode=0&amp;nonVirtPosition=&amp;position=chr17:87254442-87265947","chr17:87254442-87265947")</f>
        <v>chr17:87254442-87265947</v>
      </c>
      <c r="F3488" t="s">
        <v>25</v>
      </c>
      <c r="G3488">
        <v>-0.34871592644340399</v>
      </c>
      <c r="H3488">
        <v>0.13971922312556601</v>
      </c>
      <c r="I3488">
        <v>-2.49583356278765</v>
      </c>
      <c r="J3488">
        <v>1.25661546937306E-2</v>
      </c>
      <c r="K3488">
        <v>4.8119353017943102E-2</v>
      </c>
      <c r="L3488" t="s">
        <v>26</v>
      </c>
      <c r="M3488" t="s">
        <v>27</v>
      </c>
      <c r="N3488">
        <v>198.855490959728</v>
      </c>
      <c r="O3488">
        <v>229.665942582507</v>
      </c>
      <c r="P3488">
        <v>175.74765224264399</v>
      </c>
      <c r="Q3488">
        <v>242.761550058496</v>
      </c>
      <c r="R3488">
        <v>230.96624393129699</v>
      </c>
      <c r="S3488">
        <v>215.27003375772901</v>
      </c>
      <c r="T3488">
        <v>160.40341504534399</v>
      </c>
      <c r="U3488">
        <v>177.72430990849901</v>
      </c>
      <c r="V3488">
        <v>197.89082482485799</v>
      </c>
      <c r="W3488">
        <v>166.972059191874</v>
      </c>
    </row>
    <row r="3489" spans="1:23" x14ac:dyDescent="0.2">
      <c r="A3489" t="s">
        <v>6980</v>
      </c>
      <c r="B3489" s="3" t="str">
        <f>HYPERLINK("http://www.ncbi.nlm.nih.gov/gene/68117","Apool")</f>
        <v>Apool</v>
      </c>
      <c r="C3489">
        <v>68117</v>
      </c>
      <c r="D3489" t="s">
        <v>6981</v>
      </c>
      <c r="E3489" s="3" t="str">
        <f>HYPERLINK("http://genome.ucsc.edu/cgi-bin/hgTracks?db=mm10&amp;lastVirtModeType=default&amp;lastVirtModeExtraState=&amp;virtModeType=default&amp;virtMode=0&amp;nonVirtPosition=&amp;position=chrX:112311351-112372755","chrX:112311351-112372755")</f>
        <v>chrX:112311351-112372755</v>
      </c>
      <c r="F3489" t="s">
        <v>30</v>
      </c>
      <c r="G3489">
        <v>-0.70233169688475905</v>
      </c>
      <c r="H3489">
        <v>0.28143121335539201</v>
      </c>
      <c r="I3489">
        <v>-2.4955714347073998</v>
      </c>
      <c r="J3489">
        <v>1.25754431876522E-2</v>
      </c>
      <c r="K3489">
        <v>4.8140215818673698E-2</v>
      </c>
      <c r="L3489" t="s">
        <v>26</v>
      </c>
      <c r="M3489" t="s">
        <v>27</v>
      </c>
      <c r="N3489">
        <v>29.034950269483598</v>
      </c>
      <c r="O3489">
        <v>40.022049837791499</v>
      </c>
      <c r="P3489">
        <v>20.7946255932527</v>
      </c>
      <c r="Q3489">
        <v>36.191515490372097</v>
      </c>
      <c r="R3489">
        <v>42.476550608054602</v>
      </c>
      <c r="S3489">
        <v>41.398083414947799</v>
      </c>
      <c r="T3489">
        <v>13.7488641467438</v>
      </c>
      <c r="U3489">
        <v>19.2713107129698</v>
      </c>
      <c r="V3489">
        <v>28.690491331484999</v>
      </c>
      <c r="W3489">
        <v>21.467836181812299</v>
      </c>
    </row>
    <row r="3490" spans="1:23" x14ac:dyDescent="0.2">
      <c r="A3490" t="s">
        <v>6982</v>
      </c>
      <c r="B3490" s="3" t="str">
        <f>HYPERLINK("http://www.ncbi.nlm.nih.gov/gene/109658","Txlna")</f>
        <v>Txlna</v>
      </c>
      <c r="C3490">
        <v>109658</v>
      </c>
      <c r="D3490" t="s">
        <v>6983</v>
      </c>
      <c r="E3490" s="3" t="str">
        <f>HYPERLINK("http://genome.ucsc.edu/cgi-bin/hgTracks?db=mm10&amp;lastVirtModeType=default&amp;lastVirtModeExtraState=&amp;virtModeType=default&amp;virtMode=0&amp;nonVirtPosition=&amp;position=chr4:129626076-129641065","chr4:129626076-129641065")</f>
        <v>chr4:129626076-129641065</v>
      </c>
      <c r="F3490" t="s">
        <v>25</v>
      </c>
      <c r="G3490">
        <v>0.33670938782889698</v>
      </c>
      <c r="H3490">
        <v>0.13492786951277499</v>
      </c>
      <c r="I3490">
        <v>2.49547694664383</v>
      </c>
      <c r="J3490">
        <v>1.2578792857108501E-2</v>
      </c>
      <c r="K3490">
        <v>4.8140215818673698E-2</v>
      </c>
      <c r="L3490" t="s">
        <v>26</v>
      </c>
      <c r="M3490" t="s">
        <v>27</v>
      </c>
      <c r="N3490">
        <v>521.64484829724699</v>
      </c>
      <c r="O3490">
        <v>452.485222073074</v>
      </c>
      <c r="P3490">
        <v>573.51456796537605</v>
      </c>
      <c r="Q3490">
        <v>408.68572876820201</v>
      </c>
      <c r="R3490">
        <v>411.11232909938599</v>
      </c>
      <c r="S3490">
        <v>537.65760835163496</v>
      </c>
      <c r="T3490">
        <v>563.70343001649496</v>
      </c>
      <c r="U3490">
        <v>537.45544321726902</v>
      </c>
      <c r="V3490">
        <v>577.48809474912105</v>
      </c>
      <c r="W3490">
        <v>615.41130387861995</v>
      </c>
    </row>
    <row r="3491" spans="1:23" x14ac:dyDescent="0.2">
      <c r="A3491" t="s">
        <v>6984</v>
      </c>
      <c r="B3491" s="3" t="str">
        <f>HYPERLINK("http://www.ncbi.nlm.nih.gov/gene/235339","Dlat")</f>
        <v>Dlat</v>
      </c>
      <c r="C3491">
        <v>235339</v>
      </c>
      <c r="D3491" t="s">
        <v>6985</v>
      </c>
      <c r="E3491" s="3" t="str">
        <f>HYPERLINK("http://genome.ucsc.edu/cgi-bin/hgTracks?db=mm10&amp;lastVirtModeType=default&amp;lastVirtModeExtraState=&amp;virtModeType=default&amp;virtMode=0&amp;nonVirtPosition=&amp;position=chr9:50634632-50659780","chr9:50634632-50659780")</f>
        <v>chr9:50634632-50659780</v>
      </c>
      <c r="F3491" t="s">
        <v>25</v>
      </c>
      <c r="G3491">
        <v>-0.45114108239110701</v>
      </c>
      <c r="H3491">
        <v>0.18080775365980301</v>
      </c>
      <c r="I3491">
        <v>-2.49514234461398</v>
      </c>
      <c r="J3491">
        <v>1.2590661091035699E-2</v>
      </c>
      <c r="K3491">
        <v>4.8171869334302599E-2</v>
      </c>
      <c r="L3491" t="s">
        <v>26</v>
      </c>
      <c r="M3491" t="s">
        <v>27</v>
      </c>
      <c r="N3491">
        <v>253.03403015828201</v>
      </c>
      <c r="O3491">
        <v>301.74259106653398</v>
      </c>
      <c r="P3491">
        <v>216.50260947709199</v>
      </c>
      <c r="Q3491">
        <v>218.81947058025</v>
      </c>
      <c r="R3491">
        <v>355.74111134245697</v>
      </c>
      <c r="S3491">
        <v>330.66719127689601</v>
      </c>
      <c r="T3491">
        <v>197.06705276999401</v>
      </c>
      <c r="U3491">
        <v>241.96201228506499</v>
      </c>
      <c r="V3491">
        <v>201.56909294427899</v>
      </c>
      <c r="W3491">
        <v>225.412279909029</v>
      </c>
    </row>
    <row r="3492" spans="1:23" x14ac:dyDescent="0.2">
      <c r="A3492" t="s">
        <v>6986</v>
      </c>
      <c r="B3492" s="3" t="str">
        <f>HYPERLINK("http://www.ncbi.nlm.nih.gov/gene/230594","Zcchc11")</f>
        <v>Zcchc11</v>
      </c>
      <c r="C3492">
        <v>230594</v>
      </c>
      <c r="D3492" t="s">
        <v>6987</v>
      </c>
      <c r="E3492" s="3" t="str">
        <f>HYPERLINK("http://genome.ucsc.edu/cgi-bin/hgTracks?db=mm10&amp;lastVirtModeType=default&amp;lastVirtModeExtraState=&amp;virtModeType=default&amp;virtMode=0&amp;nonVirtPosition=&amp;position=chr4:108459425-108559415","chr4:108459425-108559415")</f>
        <v>chr4:108459425-108559415</v>
      </c>
      <c r="F3492" t="s">
        <v>30</v>
      </c>
      <c r="G3492">
        <v>0.29953315528733099</v>
      </c>
      <c r="H3492">
        <v>0.120056761343311</v>
      </c>
      <c r="I3492">
        <v>2.4949294978130698</v>
      </c>
      <c r="J3492">
        <v>1.25982158613656E-2</v>
      </c>
      <c r="K3492">
        <v>4.8187006169536403E-2</v>
      </c>
      <c r="L3492" t="s">
        <v>26</v>
      </c>
      <c r="M3492" t="s">
        <v>27</v>
      </c>
      <c r="N3492">
        <v>479.63868191034601</v>
      </c>
      <c r="O3492">
        <v>423.07523017429099</v>
      </c>
      <c r="P3492">
        <v>522.061270712387</v>
      </c>
      <c r="Q3492">
        <v>383.63006419794499</v>
      </c>
      <c r="R3492">
        <v>424.00699624825899</v>
      </c>
      <c r="S3492">
        <v>461.58863007666798</v>
      </c>
      <c r="T3492">
        <v>531.62274700742705</v>
      </c>
      <c r="U3492">
        <v>464.65271385716102</v>
      </c>
      <c r="V3492">
        <v>532.61322369218306</v>
      </c>
      <c r="W3492">
        <v>559.35639829277602</v>
      </c>
    </row>
    <row r="3493" spans="1:23" x14ac:dyDescent="0.2">
      <c r="A3493" t="s">
        <v>6988</v>
      </c>
      <c r="B3493" s="3" t="str">
        <f>HYPERLINK("http://www.ncbi.nlm.nih.gov/gene/269037","Ctif")</f>
        <v>Ctif</v>
      </c>
      <c r="C3493">
        <v>269037</v>
      </c>
      <c r="D3493" t="s">
        <v>6989</v>
      </c>
      <c r="E3493" s="3" t="str">
        <f>HYPERLINK("http://genome.ucsc.edu/cgi-bin/hgTracks?db=mm10&amp;lastVirtModeType=default&amp;lastVirtModeExtraState=&amp;virtModeType=default&amp;virtMode=0&amp;nonVirtPosition=&amp;position=chr18:75431220-75697696","chr18:75431220-75697696")</f>
        <v>chr18:75431220-75697696</v>
      </c>
      <c r="F3493" t="s">
        <v>25</v>
      </c>
      <c r="G3493">
        <v>0.43646271852627</v>
      </c>
      <c r="H3493">
        <v>0.17494903285731001</v>
      </c>
      <c r="I3493">
        <v>2.4947992646650099</v>
      </c>
      <c r="J3493">
        <v>1.2602840326887599E-2</v>
      </c>
      <c r="K3493">
        <v>4.8190929416719597E-2</v>
      </c>
      <c r="L3493" t="s">
        <v>26</v>
      </c>
      <c r="M3493" t="s">
        <v>27</v>
      </c>
      <c r="N3493">
        <v>200.13119156319101</v>
      </c>
      <c r="O3493">
        <v>164.24632666512099</v>
      </c>
      <c r="P3493">
        <v>227.04484023674399</v>
      </c>
      <c r="Q3493">
        <v>130.28945576533999</v>
      </c>
      <c r="R3493">
        <v>157.01153528334501</v>
      </c>
      <c r="S3493">
        <v>205.43798894667901</v>
      </c>
      <c r="T3493">
        <v>238.31364521022601</v>
      </c>
      <c r="U3493">
        <v>216.26693133443899</v>
      </c>
      <c r="V3493">
        <v>206.718668311469</v>
      </c>
      <c r="W3493">
        <v>246.88011609084199</v>
      </c>
    </row>
    <row r="3494" spans="1:23" x14ac:dyDescent="0.2">
      <c r="A3494" t="s">
        <v>6990</v>
      </c>
      <c r="B3494" s="3" t="str">
        <f>HYPERLINK("http://www.ncbi.nlm.nih.gov/gene/225896","Ubxn1")</f>
        <v>Ubxn1</v>
      </c>
      <c r="C3494">
        <v>225896</v>
      </c>
      <c r="D3494" t="s">
        <v>6991</v>
      </c>
      <c r="E3494" s="3" t="str">
        <f>HYPERLINK("http://genome.ucsc.edu/cgi-bin/hgTracks?db=mm10&amp;lastVirtModeType=default&amp;lastVirtModeExtraState=&amp;virtModeType=default&amp;virtMode=0&amp;nonVirtPosition=&amp;position=chr19:8871558-8875656","chr19:8871558-8875656")</f>
        <v>chr19:8871558-8875656</v>
      </c>
      <c r="F3494" t="s">
        <v>30</v>
      </c>
      <c r="G3494">
        <v>-0.36363442589394401</v>
      </c>
      <c r="H3494">
        <v>0.14576635373515701</v>
      </c>
      <c r="I3494">
        <v>-2.4946389655505201</v>
      </c>
      <c r="J3494">
        <v>1.26085344719038E-2</v>
      </c>
      <c r="K3494">
        <v>4.8198939512778899E-2</v>
      </c>
      <c r="L3494" t="s">
        <v>26</v>
      </c>
      <c r="M3494" t="s">
        <v>27</v>
      </c>
      <c r="N3494">
        <v>315.76038465090699</v>
      </c>
      <c r="O3494">
        <v>364.60803878403698</v>
      </c>
      <c r="P3494">
        <v>279.12464405105902</v>
      </c>
      <c r="Q3494">
        <v>326.28043195935498</v>
      </c>
      <c r="R3494">
        <v>421.35221183525601</v>
      </c>
      <c r="S3494">
        <v>346.19147255750102</v>
      </c>
      <c r="T3494">
        <v>238.31364521022601</v>
      </c>
      <c r="U3494">
        <v>329.75353886637203</v>
      </c>
      <c r="V3494">
        <v>272.92749446104898</v>
      </c>
      <c r="W3494">
        <v>275.503897666591</v>
      </c>
    </row>
    <row r="3495" spans="1:23" x14ac:dyDescent="0.2">
      <c r="A3495" t="s">
        <v>6992</v>
      </c>
      <c r="B3495" s="3" t="str">
        <f>HYPERLINK("http://www.ncbi.nlm.nih.gov/gene/20682","Sox9")</f>
        <v>Sox9</v>
      </c>
      <c r="C3495">
        <v>20682</v>
      </c>
      <c r="D3495" t="s">
        <v>6993</v>
      </c>
      <c r="E3495" s="3" t="str">
        <f>HYPERLINK("http://genome.ucsc.edu/cgi-bin/hgTracks?db=mm10&amp;lastVirtModeType=default&amp;lastVirtModeExtraState=&amp;virtModeType=default&amp;virtMode=0&amp;nonVirtPosition=&amp;position=chr11:112782209-112787757","chr11:112782209-112787757")</f>
        <v>chr11:112782209-112787757</v>
      </c>
      <c r="F3495" t="s">
        <v>30</v>
      </c>
      <c r="G3495">
        <v>0.76050453972788101</v>
      </c>
      <c r="H3495">
        <v>0.30498174336165701</v>
      </c>
      <c r="I3495">
        <v>2.4936067691961901</v>
      </c>
      <c r="J3495">
        <v>1.26452547314549E-2</v>
      </c>
      <c r="K3495">
        <v>4.8325515442041098E-2</v>
      </c>
      <c r="L3495" t="s">
        <v>26</v>
      </c>
      <c r="M3495" t="s">
        <v>27</v>
      </c>
      <c r="N3495">
        <v>106.655026569605</v>
      </c>
      <c r="O3495">
        <v>70.445681484420902</v>
      </c>
      <c r="P3495">
        <v>133.812035383493</v>
      </c>
      <c r="Q3495">
        <v>65.144727882669798</v>
      </c>
      <c r="R3495">
        <v>77.368002893242306</v>
      </c>
      <c r="S3495">
        <v>68.824313677350702</v>
      </c>
      <c r="T3495">
        <v>137.48864146743799</v>
      </c>
      <c r="U3495">
        <v>87.791526581306996</v>
      </c>
      <c r="V3495">
        <v>65.473172525696498</v>
      </c>
      <c r="W3495">
        <v>244.49480095952899</v>
      </c>
    </row>
    <row r="3496" spans="1:23" x14ac:dyDescent="0.2">
      <c r="A3496" t="s">
        <v>6994</v>
      </c>
      <c r="B3496" s="3" t="str">
        <f>HYPERLINK("http://www.ncbi.nlm.nih.gov/gene/338372","Map3k9")</f>
        <v>Map3k9</v>
      </c>
      <c r="C3496">
        <v>338372</v>
      </c>
      <c r="D3496" t="s">
        <v>6995</v>
      </c>
      <c r="E3496" s="3" t="str">
        <f>HYPERLINK("http://genome.ucsc.edu/cgi-bin/hgTracks?db=mm10&amp;lastVirtModeType=default&amp;lastVirtModeExtraState=&amp;virtModeType=default&amp;virtMode=0&amp;nonVirtPosition=&amp;position=chr12:81728411-81781170","chr12:81728411-81781170")</f>
        <v>chr12:81728411-81781170</v>
      </c>
      <c r="F3496" t="s">
        <v>25</v>
      </c>
      <c r="G3496">
        <v>0.79711122081154495</v>
      </c>
      <c r="H3496">
        <v>0.31974701177398901</v>
      </c>
      <c r="I3496">
        <v>2.4929434567319002</v>
      </c>
      <c r="J3496">
        <v>1.2668901926760999E-2</v>
      </c>
      <c r="K3496">
        <v>4.8402072953282797E-2</v>
      </c>
      <c r="L3496" t="s">
        <v>26</v>
      </c>
      <c r="M3496" t="s">
        <v>27</v>
      </c>
      <c r="N3496">
        <v>38.7684028550566</v>
      </c>
      <c r="O3496">
        <v>24.2122966985449</v>
      </c>
      <c r="P3496">
        <v>49.685482472440398</v>
      </c>
      <c r="Q3496">
        <v>20.601324202211799</v>
      </c>
      <c r="R3496">
        <v>37.546236698191102</v>
      </c>
      <c r="S3496">
        <v>14.489329195231701</v>
      </c>
      <c r="T3496">
        <v>45.829547155812598</v>
      </c>
      <c r="U3496">
        <v>74.943986105993702</v>
      </c>
      <c r="V3496">
        <v>33.840066698674597</v>
      </c>
      <c r="W3496">
        <v>44.128329929280902</v>
      </c>
    </row>
    <row r="3497" spans="1:23" x14ac:dyDescent="0.2">
      <c r="A3497" t="s">
        <v>6996</v>
      </c>
      <c r="B3497" s="3" t="str">
        <f>HYPERLINK("http://www.ncbi.nlm.nih.gov/gene/66978","Luc7l")</f>
        <v>Luc7l</v>
      </c>
      <c r="C3497">
        <v>66978</v>
      </c>
      <c r="D3497" t="s">
        <v>6997</v>
      </c>
      <c r="E3497" s="3" t="str">
        <f>HYPERLINK("http://genome.ucsc.edu/cgi-bin/hgTracks?db=mm10&amp;lastVirtModeType=default&amp;lastVirtModeExtraState=&amp;virtModeType=default&amp;virtMode=0&amp;nonVirtPosition=&amp;position=chr17:26252909-26285506","chr17:26252909-26285506")</f>
        <v>chr17:26252909-26285506</v>
      </c>
      <c r="F3497" t="s">
        <v>30</v>
      </c>
      <c r="G3497">
        <v>0.293032947535313</v>
      </c>
      <c r="H3497">
        <v>0.117563507485279</v>
      </c>
      <c r="I3497">
        <v>2.4925502292623101</v>
      </c>
      <c r="J3497">
        <v>1.26829390224405E-2</v>
      </c>
      <c r="K3497">
        <v>4.8441881474472599E-2</v>
      </c>
      <c r="L3497" t="s">
        <v>26</v>
      </c>
      <c r="M3497" t="s">
        <v>27</v>
      </c>
      <c r="N3497">
        <v>564.396833602313</v>
      </c>
      <c r="O3497">
        <v>499.62616541570497</v>
      </c>
      <c r="P3497">
        <v>612.97483474226794</v>
      </c>
      <c r="Q3497">
        <v>471.04649392084298</v>
      </c>
      <c r="R3497">
        <v>482.41225333433403</v>
      </c>
      <c r="S3497">
        <v>545.41974899193701</v>
      </c>
      <c r="T3497">
        <v>604.95002245672697</v>
      </c>
      <c r="U3497">
        <v>565.29178091378105</v>
      </c>
      <c r="V3497">
        <v>595.87943534622696</v>
      </c>
      <c r="W3497">
        <v>685.77810025233805</v>
      </c>
    </row>
    <row r="3498" spans="1:23" x14ac:dyDescent="0.2">
      <c r="A3498" t="s">
        <v>6998</v>
      </c>
      <c r="B3498" s="3" t="str">
        <f>HYPERLINK("http://www.ncbi.nlm.nih.gov/gene/67876","Coq10b")</f>
        <v>Coq10b</v>
      </c>
      <c r="C3498">
        <v>67876</v>
      </c>
      <c r="D3498" t="s">
        <v>6999</v>
      </c>
      <c r="E3498" s="3" t="str">
        <f>HYPERLINK("http://genome.ucsc.edu/cgi-bin/hgTracks?db=mm10&amp;lastVirtModeType=default&amp;lastVirtModeExtraState=&amp;virtModeType=default&amp;virtMode=0&amp;nonVirtPosition=&amp;position=chr1:55052769-55072702","chr1:55052769-55072702")</f>
        <v>chr1:55052769-55072702</v>
      </c>
      <c r="F3498" t="s">
        <v>30</v>
      </c>
      <c r="G3498">
        <v>-0.50860125597394301</v>
      </c>
      <c r="H3498">
        <v>0.204058309073503</v>
      </c>
      <c r="I3498">
        <v>-2.4924310030950099</v>
      </c>
      <c r="J3498">
        <v>1.26871977744826E-2</v>
      </c>
      <c r="K3498">
        <v>4.8444330025120101E-2</v>
      </c>
      <c r="L3498" t="s">
        <v>26</v>
      </c>
      <c r="M3498" t="s">
        <v>27</v>
      </c>
      <c r="N3498">
        <v>82.896230303273498</v>
      </c>
      <c r="O3498">
        <v>101.911994893613</v>
      </c>
      <c r="P3498">
        <v>68.634406860519107</v>
      </c>
      <c r="Q3498">
        <v>91.870770090944603</v>
      </c>
      <c r="R3498">
        <v>98.985533113412899</v>
      </c>
      <c r="S3498">
        <v>114.87968147648</v>
      </c>
      <c r="T3498">
        <v>59.578411302556397</v>
      </c>
      <c r="U3498">
        <v>66.378959122451604</v>
      </c>
      <c r="V3498">
        <v>60.3235971585069</v>
      </c>
      <c r="W3498">
        <v>88.256659858561704</v>
      </c>
    </row>
    <row r="3499" spans="1:23" x14ac:dyDescent="0.2">
      <c r="A3499" t="s">
        <v>7000</v>
      </c>
      <c r="B3499" s="3" t="str">
        <f>HYPERLINK("http://www.ncbi.nlm.nih.gov/gene/11498","Adam4")</f>
        <v>Adam4</v>
      </c>
      <c r="C3499">
        <v>11498</v>
      </c>
      <c r="D3499" t="s">
        <v>7001</v>
      </c>
      <c r="E3499" s="3" t="str">
        <f>HYPERLINK("http://genome.ucsc.edu/cgi-bin/hgTracks?db=mm10&amp;lastVirtModeType=default&amp;lastVirtModeExtraState=&amp;virtModeType=default&amp;virtMode=0&amp;nonVirtPosition=&amp;position=chr12:81419442-81422039","chr12:81419442-81422039")</f>
        <v>chr12:81419442-81422039</v>
      </c>
      <c r="F3499" t="s">
        <v>25</v>
      </c>
      <c r="G3499">
        <v>0.88554723346831798</v>
      </c>
      <c r="H3499">
        <v>0.35535963678051402</v>
      </c>
      <c r="I3499">
        <v>2.4919747259176499</v>
      </c>
      <c r="J3499">
        <v>1.27035076633617E-2</v>
      </c>
      <c r="K3499">
        <v>4.8476561460853197E-2</v>
      </c>
      <c r="L3499" t="s">
        <v>26</v>
      </c>
      <c r="M3499" t="s">
        <v>27</v>
      </c>
      <c r="N3499">
        <v>15.1119103241977</v>
      </c>
      <c r="O3499">
        <v>8.7756835332878094</v>
      </c>
      <c r="P3499">
        <v>19.864080417380201</v>
      </c>
      <c r="Q3499">
        <v>5.0111329140515304</v>
      </c>
      <c r="R3499">
        <v>6.8265884905801997</v>
      </c>
      <c r="S3499">
        <v>14.489329195231701</v>
      </c>
      <c r="T3499">
        <v>18.3318188623251</v>
      </c>
      <c r="U3499">
        <v>17.130053967084301</v>
      </c>
      <c r="V3499">
        <v>21.3339550926427</v>
      </c>
      <c r="W3499">
        <v>22.6604937474686</v>
      </c>
    </row>
    <row r="3500" spans="1:23" x14ac:dyDescent="0.2">
      <c r="A3500" t="s">
        <v>7002</v>
      </c>
      <c r="B3500" s="3" t="str">
        <f>HYPERLINK("http://www.ncbi.nlm.nih.gov/gene/26373","Clcn7")</f>
        <v>Clcn7</v>
      </c>
      <c r="C3500">
        <v>26373</v>
      </c>
      <c r="D3500" t="s">
        <v>7003</v>
      </c>
      <c r="E3500" s="3" t="str">
        <f>HYPERLINK("http://genome.ucsc.edu/cgi-bin/hgTracks?db=mm10&amp;lastVirtModeType=default&amp;lastVirtModeExtraState=&amp;virtModeType=default&amp;virtMode=0&amp;nonVirtPosition=&amp;position=chr17:25133390-25162103","chr17:25133390-25162103")</f>
        <v>chr17:25133390-25162103</v>
      </c>
      <c r="F3500" t="s">
        <v>30</v>
      </c>
      <c r="G3500">
        <v>0.31368732855443998</v>
      </c>
      <c r="H3500">
        <v>0.12588614083340599</v>
      </c>
      <c r="I3500">
        <v>2.4918337036764502</v>
      </c>
      <c r="J3500">
        <v>1.2708552336996E-2</v>
      </c>
      <c r="K3500">
        <v>4.8476561460853197E-2</v>
      </c>
      <c r="L3500" t="s">
        <v>26</v>
      </c>
      <c r="M3500" t="s">
        <v>27</v>
      </c>
      <c r="N3500">
        <v>278.75747871392099</v>
      </c>
      <c r="O3500">
        <v>245.67235694001599</v>
      </c>
      <c r="P3500">
        <v>303.57132004434999</v>
      </c>
      <c r="Q3500">
        <v>261.69249662269101</v>
      </c>
      <c r="R3500">
        <v>220.72636119542699</v>
      </c>
      <c r="S3500">
        <v>254.598213001929</v>
      </c>
      <c r="T3500">
        <v>288.72614708162001</v>
      </c>
      <c r="U3500">
        <v>293.352174186318</v>
      </c>
      <c r="V3500">
        <v>318.53801914187198</v>
      </c>
      <c r="W3500">
        <v>313.66893976759098</v>
      </c>
    </row>
    <row r="3501" spans="1:23" x14ac:dyDescent="0.2">
      <c r="A3501" t="s">
        <v>7004</v>
      </c>
      <c r="B3501" s="3" t="str">
        <f>HYPERLINK("http://www.ncbi.nlm.nih.gov/gene/235132","Zbtb44")</f>
        <v>Zbtb44</v>
      </c>
      <c r="C3501">
        <v>235132</v>
      </c>
      <c r="D3501" t="s">
        <v>7005</v>
      </c>
      <c r="E3501" s="3" t="str">
        <f>HYPERLINK("http://genome.ucsc.edu/cgi-bin/hgTracks?db=mm10&amp;lastVirtModeType=default&amp;lastVirtModeExtraState=&amp;virtModeType=default&amp;virtMode=0&amp;nonVirtPosition=&amp;position=chr9:31030643-31075885","chr9:31030643-31075885")</f>
        <v>chr9:31030643-31075885</v>
      </c>
      <c r="F3501" t="s">
        <v>30</v>
      </c>
      <c r="G3501">
        <v>0.28786034775728198</v>
      </c>
      <c r="H3501">
        <v>0.115522332748884</v>
      </c>
      <c r="I3501">
        <v>2.4918155728643199</v>
      </c>
      <c r="J3501">
        <v>1.27092010443724E-2</v>
      </c>
      <c r="K3501">
        <v>4.8476561460853197E-2</v>
      </c>
      <c r="L3501" t="s">
        <v>26</v>
      </c>
      <c r="M3501" t="s">
        <v>27</v>
      </c>
      <c r="N3501">
        <v>303.05724486931399</v>
      </c>
      <c r="O3501">
        <v>268.76423539093099</v>
      </c>
      <c r="P3501">
        <v>328.777001978101</v>
      </c>
      <c r="Q3501">
        <v>268.37400717475902</v>
      </c>
      <c r="R3501">
        <v>254.85930364832799</v>
      </c>
      <c r="S3501">
        <v>283.05939534970599</v>
      </c>
      <c r="T3501">
        <v>325.38978480626997</v>
      </c>
      <c r="U3501">
        <v>336.17730910402901</v>
      </c>
      <c r="V3501">
        <v>339.87197423451403</v>
      </c>
      <c r="W3501">
        <v>313.66893976759098</v>
      </c>
    </row>
    <row r="3502" spans="1:23" x14ac:dyDescent="0.2">
      <c r="A3502" t="s">
        <v>7006</v>
      </c>
      <c r="B3502" s="3" t="str">
        <f>HYPERLINK("http://www.ncbi.nlm.nih.gov/gene/65102","Nif3l1")</f>
        <v>Nif3l1</v>
      </c>
      <c r="C3502">
        <v>65102</v>
      </c>
      <c r="D3502" t="s">
        <v>7007</v>
      </c>
      <c r="E3502" s="3" t="str">
        <f>HYPERLINK("http://genome.ucsc.edu/cgi-bin/hgTracks?db=mm10&amp;lastVirtModeType=default&amp;lastVirtModeExtraState=&amp;virtModeType=default&amp;virtMode=0&amp;nonVirtPosition=&amp;position=chr1:58445150-58462276","chr1:58445150-58462276")</f>
        <v>chr1:58445150-58462276</v>
      </c>
      <c r="F3502" t="s">
        <v>30</v>
      </c>
      <c r="G3502">
        <v>-0.44323421937208901</v>
      </c>
      <c r="H3502">
        <v>0.17787784497056</v>
      </c>
      <c r="I3502">
        <v>-2.4917899103480101</v>
      </c>
      <c r="J3502">
        <v>1.27101192807898E-2</v>
      </c>
      <c r="K3502">
        <v>4.8476561460853197E-2</v>
      </c>
      <c r="L3502" t="s">
        <v>26</v>
      </c>
      <c r="M3502" t="s">
        <v>27</v>
      </c>
      <c r="N3502">
        <v>135.20801652550799</v>
      </c>
      <c r="O3502">
        <v>161.641442547552</v>
      </c>
      <c r="P3502">
        <v>115.38294700897499</v>
      </c>
      <c r="Q3502">
        <v>154.23153524358599</v>
      </c>
      <c r="R3502">
        <v>187.35192857481201</v>
      </c>
      <c r="S3502">
        <v>143.34086382425701</v>
      </c>
      <c r="T3502">
        <v>105.407958458369</v>
      </c>
      <c r="U3502">
        <v>122.051634515476</v>
      </c>
      <c r="V3502">
        <v>133.88895954693001</v>
      </c>
      <c r="W3502">
        <v>100.183235515124</v>
      </c>
    </row>
    <row r="3503" spans="1:23" x14ac:dyDescent="0.2">
      <c r="A3503" t="s">
        <v>7008</v>
      </c>
      <c r="B3503" s="3" t="str">
        <f>HYPERLINK("http://www.ncbi.nlm.nih.gov/gene/18754","Prkce")</f>
        <v>Prkce</v>
      </c>
      <c r="C3503">
        <v>18754</v>
      </c>
      <c r="D3503" t="s">
        <v>7009</v>
      </c>
      <c r="E3503" s="3" t="str">
        <f>HYPERLINK("http://genome.ucsc.edu/cgi-bin/hgTracks?db=mm10&amp;lastVirtModeType=default&amp;lastVirtModeExtraState=&amp;virtModeType=default&amp;virtMode=0&amp;nonVirtPosition=&amp;position=chr17:86167784-86657919","chr17:86167784-86657919")</f>
        <v>chr17:86167784-86657919</v>
      </c>
      <c r="F3503" t="s">
        <v>30</v>
      </c>
      <c r="G3503">
        <v>0.46819330631205203</v>
      </c>
      <c r="H3503">
        <v>0.188036064514774</v>
      </c>
      <c r="I3503">
        <v>2.48991228103089</v>
      </c>
      <c r="J3503">
        <v>1.27774626927399E-2</v>
      </c>
      <c r="K3503">
        <v>4.8719533860615102E-2</v>
      </c>
      <c r="L3503" t="s">
        <v>26</v>
      </c>
      <c r="M3503" t="s">
        <v>27</v>
      </c>
      <c r="N3503">
        <v>280.36969248001202</v>
      </c>
      <c r="O3503">
        <v>229.72670238695</v>
      </c>
      <c r="P3503">
        <v>318.35193504980799</v>
      </c>
      <c r="Q3503">
        <v>202.115694200078</v>
      </c>
      <c r="R3503">
        <v>260.92738230662098</v>
      </c>
      <c r="S3503">
        <v>226.137030654152</v>
      </c>
      <c r="T3503">
        <v>192.48409805441301</v>
      </c>
      <c r="U3503">
        <v>408.98003846413701</v>
      </c>
      <c r="V3503">
        <v>323.687594509061</v>
      </c>
      <c r="W3503">
        <v>348.256009171622</v>
      </c>
    </row>
    <row r="3504" spans="1:23" x14ac:dyDescent="0.2">
      <c r="A3504" t="s">
        <v>7010</v>
      </c>
      <c r="B3504" s="3" t="str">
        <f>HYPERLINK("http://www.ncbi.nlm.nih.gov/gene/79456","Recql4")</f>
        <v>Recql4</v>
      </c>
      <c r="C3504">
        <v>79456</v>
      </c>
      <c r="D3504" t="s">
        <v>7011</v>
      </c>
      <c r="E3504" s="3" t="str">
        <f>HYPERLINK("http://genome.ucsc.edu/cgi-bin/hgTracks?db=mm10&amp;lastVirtModeType=default&amp;lastVirtModeExtraState=&amp;virtModeType=default&amp;virtMode=0&amp;nonVirtPosition=&amp;position=chr15:76703552-76710559","chr15:76703552-76710559")</f>
        <v>chr15:76703552-76710559</v>
      </c>
      <c r="F3504" t="s">
        <v>25</v>
      </c>
      <c r="G3504">
        <v>0.70703834952588196</v>
      </c>
      <c r="H3504">
        <v>0.28402374474959402</v>
      </c>
      <c r="I3504">
        <v>2.4893635218746701</v>
      </c>
      <c r="J3504">
        <v>1.27972041316063E-2</v>
      </c>
      <c r="K3504">
        <v>4.8765007923617598E-2</v>
      </c>
      <c r="L3504" t="s">
        <v>26</v>
      </c>
      <c r="M3504" t="s">
        <v>27</v>
      </c>
      <c r="N3504">
        <v>65.977810650022505</v>
      </c>
      <c r="O3504">
        <v>45.266015208177798</v>
      </c>
      <c r="P3504">
        <v>81.511657231406005</v>
      </c>
      <c r="Q3504">
        <v>21.158116748217498</v>
      </c>
      <c r="R3504">
        <v>54.612707924641597</v>
      </c>
      <c r="S3504">
        <v>60.027220951674302</v>
      </c>
      <c r="T3504">
        <v>82.493184880462707</v>
      </c>
      <c r="U3504">
        <v>94.215296818963594</v>
      </c>
      <c r="V3504">
        <v>70.622747892886096</v>
      </c>
      <c r="W3504">
        <v>78.715399333311794</v>
      </c>
    </row>
    <row r="3505" spans="1:23" x14ac:dyDescent="0.2">
      <c r="A3505" t="s">
        <v>7012</v>
      </c>
      <c r="B3505" s="3" t="str">
        <f>HYPERLINK("http://www.ncbi.nlm.nih.gov/gene/338363","Tmem241")</f>
        <v>Tmem241</v>
      </c>
      <c r="C3505">
        <v>338363</v>
      </c>
      <c r="D3505" t="s">
        <v>7013</v>
      </c>
      <c r="E3505" s="3" t="str">
        <f>HYPERLINK("http://genome.ucsc.edu/cgi-bin/hgTracks?db=mm10&amp;lastVirtModeType=default&amp;lastVirtModeExtraState=&amp;virtModeType=default&amp;virtMode=0&amp;nonVirtPosition=&amp;position=chr18:11981302-12121537","chr18:11981302-12121537")</f>
        <v>chr18:11981302-12121537</v>
      </c>
      <c r="F3505" t="s">
        <v>25</v>
      </c>
      <c r="G3505">
        <v>-0.55097311731784504</v>
      </c>
      <c r="H3505">
        <v>0.22133228040133801</v>
      </c>
      <c r="I3505">
        <v>-2.4893482158082598</v>
      </c>
      <c r="J3505">
        <v>1.27977551492627E-2</v>
      </c>
      <c r="K3505">
        <v>4.8765007923617598E-2</v>
      </c>
      <c r="L3505" t="s">
        <v>26</v>
      </c>
      <c r="M3505" t="s">
        <v>27</v>
      </c>
      <c r="N3505">
        <v>55.298818241091503</v>
      </c>
      <c r="O3505">
        <v>68.836514402151906</v>
      </c>
      <c r="P3505">
        <v>45.145546120296203</v>
      </c>
      <c r="Q3505">
        <v>65.144727882669798</v>
      </c>
      <c r="R3505">
        <v>73.575453731808807</v>
      </c>
      <c r="S3505">
        <v>67.789361591976999</v>
      </c>
      <c r="T3505">
        <v>41.246592440231403</v>
      </c>
      <c r="U3505">
        <v>53.531418647138402</v>
      </c>
      <c r="V3505">
        <v>50.024446424127703</v>
      </c>
      <c r="W3505">
        <v>35.779726969687196</v>
      </c>
    </row>
    <row r="3506" spans="1:23" x14ac:dyDescent="0.2">
      <c r="A3506" t="s">
        <v>7014</v>
      </c>
      <c r="B3506" s="3" t="str">
        <f>HYPERLINK("http://www.ncbi.nlm.nih.gov/gene/77634","Snapc3")</f>
        <v>Snapc3</v>
      </c>
      <c r="C3506">
        <v>77634</v>
      </c>
      <c r="D3506" t="s">
        <v>7015</v>
      </c>
      <c r="E3506" s="3" t="str">
        <f>HYPERLINK("http://genome.ucsc.edu/cgi-bin/hgTracks?db=mm10&amp;lastVirtModeType=default&amp;lastVirtModeExtraState=&amp;virtModeType=default&amp;virtMode=0&amp;nonVirtPosition=&amp;position=chr4:83417743-83453340","chr4:83417743-83453340")</f>
        <v>chr4:83417743-83453340</v>
      </c>
      <c r="F3506" t="s">
        <v>30</v>
      </c>
      <c r="G3506">
        <v>0.419813801551218</v>
      </c>
      <c r="H3506">
        <v>0.16864887939953599</v>
      </c>
      <c r="I3506">
        <v>2.4892771481550202</v>
      </c>
      <c r="J3506">
        <v>1.2800313856434599E-2</v>
      </c>
      <c r="K3506">
        <v>4.8765007923617598E-2</v>
      </c>
      <c r="L3506" t="s">
        <v>26</v>
      </c>
      <c r="M3506" t="s">
        <v>27</v>
      </c>
      <c r="N3506">
        <v>182.15135959725501</v>
      </c>
      <c r="O3506">
        <v>153.55293570237799</v>
      </c>
      <c r="P3506">
        <v>203.60017751841301</v>
      </c>
      <c r="Q3506">
        <v>160.91304579565499</v>
      </c>
      <c r="R3506">
        <v>133.118475566314</v>
      </c>
      <c r="S3506">
        <v>166.62728574516501</v>
      </c>
      <c r="T3506">
        <v>187.90114333883199</v>
      </c>
      <c r="U3506">
        <v>162.735512687301</v>
      </c>
      <c r="V3506">
        <v>238.35177413849101</v>
      </c>
      <c r="W3506">
        <v>225.412279909029</v>
      </c>
    </row>
    <row r="3507" spans="1:23" x14ac:dyDescent="0.2">
      <c r="A3507" t="s">
        <v>7016</v>
      </c>
      <c r="B3507" s="3" t="str">
        <f>HYPERLINK("http://www.ncbi.nlm.nih.gov/gene/52468","Ctdsp2")</f>
        <v>Ctdsp2</v>
      </c>
      <c r="C3507">
        <v>52468</v>
      </c>
      <c r="D3507" t="s">
        <v>7017</v>
      </c>
      <c r="E3507" s="3" t="str">
        <f>HYPERLINK("http://genome.ucsc.edu/cgi-bin/hgTracks?db=mm10&amp;lastVirtModeType=default&amp;lastVirtModeExtraState=&amp;virtModeType=default&amp;virtMode=0&amp;nonVirtPosition=&amp;position=chr10:126995612-126999975","chr10:126995612-126999975")</f>
        <v>chr10:126995612-126999975</v>
      </c>
      <c r="F3507" t="s">
        <v>30</v>
      </c>
      <c r="G3507">
        <v>0.45323890079858498</v>
      </c>
      <c r="H3507">
        <v>0.18211180370468699</v>
      </c>
      <c r="I3507">
        <v>2.48879474904086</v>
      </c>
      <c r="J3507">
        <v>1.28176940373665E-2</v>
      </c>
      <c r="K3507">
        <v>4.8817332438672999E-2</v>
      </c>
      <c r="L3507" t="s">
        <v>26</v>
      </c>
      <c r="M3507" t="s">
        <v>27</v>
      </c>
      <c r="N3507">
        <v>615.08527461550398</v>
      </c>
      <c r="O3507">
        <v>504.44701459838802</v>
      </c>
      <c r="P3507">
        <v>698.06396962834003</v>
      </c>
      <c r="Q3507">
        <v>496.10215849110102</v>
      </c>
      <c r="R3507">
        <v>370.91130798819103</v>
      </c>
      <c r="S3507">
        <v>646.32757731587299</v>
      </c>
      <c r="T3507">
        <v>563.70343001649496</v>
      </c>
      <c r="U3507">
        <v>747.298604314052</v>
      </c>
      <c r="V3507">
        <v>777.58588044563101</v>
      </c>
      <c r="W3507">
        <v>703.66796373718103</v>
      </c>
    </row>
    <row r="3508" spans="1:23" x14ac:dyDescent="0.2">
      <c r="A3508" t="s">
        <v>7018</v>
      </c>
      <c r="B3508" s="3" t="str">
        <f>HYPERLINK("http://www.ncbi.nlm.nih.gov/gene/108937","Rnf169")</f>
        <v>Rnf169</v>
      </c>
      <c r="C3508">
        <v>108937</v>
      </c>
      <c r="D3508" t="s">
        <v>7019</v>
      </c>
      <c r="E3508" s="3" t="str">
        <f>HYPERLINK("http://genome.ucsc.edu/cgi-bin/hgTracks?db=mm10&amp;lastVirtModeType=default&amp;lastVirtModeExtraState=&amp;virtModeType=default&amp;virtMode=0&amp;nonVirtPosition=&amp;position=chr7:99920253-99980458","chr7:99920253-99980458")</f>
        <v>chr7:99920253-99980458</v>
      </c>
      <c r="F3508" t="s">
        <v>25</v>
      </c>
      <c r="G3508">
        <v>0.360784635296163</v>
      </c>
      <c r="H3508">
        <v>0.14496966092526101</v>
      </c>
      <c r="I3508">
        <v>2.4886906197715701</v>
      </c>
      <c r="J3508">
        <v>1.28214484118021E-2</v>
      </c>
      <c r="K3508">
        <v>4.8817746853125198E-2</v>
      </c>
      <c r="L3508" t="s">
        <v>26</v>
      </c>
      <c r="M3508" t="s">
        <v>27</v>
      </c>
      <c r="N3508">
        <v>230.813243498497</v>
      </c>
      <c r="O3508">
        <v>199.34828206814399</v>
      </c>
      <c r="P3508">
        <v>254.41196457126199</v>
      </c>
      <c r="Q3508">
        <v>224.944188586313</v>
      </c>
      <c r="R3508">
        <v>171.80247701293499</v>
      </c>
      <c r="S3508">
        <v>201.298180605184</v>
      </c>
      <c r="T3508">
        <v>219.98182634790101</v>
      </c>
      <c r="U3508">
        <v>271.939606727463</v>
      </c>
      <c r="V3508">
        <v>253.80050024005899</v>
      </c>
      <c r="W3508">
        <v>271.925924969623</v>
      </c>
    </row>
    <row r="3509" spans="1:23" x14ac:dyDescent="0.2">
      <c r="A3509" t="s">
        <v>7020</v>
      </c>
      <c r="B3509" s="3" t="str">
        <f>HYPERLINK("http://www.ncbi.nlm.nih.gov/gene/58799","Crbn")</f>
        <v>Crbn</v>
      </c>
      <c r="C3509">
        <v>58799</v>
      </c>
      <c r="D3509" t="s">
        <v>7021</v>
      </c>
      <c r="E3509" s="3" t="str">
        <f>HYPERLINK("http://genome.ucsc.edu/cgi-bin/hgTracks?db=mm10&amp;lastVirtModeType=default&amp;lastVirtModeExtraState=&amp;virtModeType=default&amp;virtMode=0&amp;nonVirtPosition=&amp;position=chr6:106778244-106800087","chr6:106778244-106800087")</f>
        <v>chr6:106778244-106800087</v>
      </c>
      <c r="F3509" t="s">
        <v>25</v>
      </c>
      <c r="G3509">
        <v>-0.39603599609351098</v>
      </c>
      <c r="H3509">
        <v>0.159164849415488</v>
      </c>
      <c r="I3509">
        <v>-2.4882126772833302</v>
      </c>
      <c r="J3509">
        <v>1.2838693085091999E-2</v>
      </c>
      <c r="K3509">
        <v>4.8869510830718298E-2</v>
      </c>
      <c r="L3509" t="s">
        <v>26</v>
      </c>
      <c r="M3509" t="s">
        <v>27</v>
      </c>
      <c r="N3509">
        <v>165.06273077997599</v>
      </c>
      <c r="O3509">
        <v>193.30587175512699</v>
      </c>
      <c r="P3509">
        <v>143.88037504861299</v>
      </c>
      <c r="Q3509">
        <v>209.35399729815299</v>
      </c>
      <c r="R3509">
        <v>202.901380136689</v>
      </c>
      <c r="S3509">
        <v>167.662237830539</v>
      </c>
      <c r="T3509">
        <v>137.48864146743799</v>
      </c>
      <c r="U3509">
        <v>132.75791824490301</v>
      </c>
      <c r="V3509">
        <v>138.30288129023501</v>
      </c>
      <c r="W3509">
        <v>166.972059191874</v>
      </c>
    </row>
    <row r="3510" spans="1:23" x14ac:dyDescent="0.2">
      <c r="A3510" t="s">
        <v>7022</v>
      </c>
      <c r="B3510" s="3" t="str">
        <f>HYPERLINK("http://www.ncbi.nlm.nih.gov/gene/20227","Sart1")</f>
        <v>Sart1</v>
      </c>
      <c r="C3510">
        <v>20227</v>
      </c>
      <c r="D3510" t="s">
        <v>7023</v>
      </c>
      <c r="E3510" s="3" t="str">
        <f>HYPERLINK("http://genome.ucsc.edu/cgi-bin/hgTracks?db=mm10&amp;lastVirtModeType=default&amp;lastVirtModeExtraState=&amp;virtModeType=default&amp;virtMode=0&amp;nonVirtPosition=&amp;position=chr19:5377522-5388703","chr19:5377522-5388703")</f>
        <v>chr19:5377522-5388703</v>
      </c>
      <c r="F3510" t="s">
        <v>25</v>
      </c>
      <c r="G3510">
        <v>0.33545485891721299</v>
      </c>
      <c r="H3510">
        <v>0.13482405164921299</v>
      </c>
      <c r="I3510">
        <v>2.4880935917131701</v>
      </c>
      <c r="J3510">
        <v>1.28429930116875E-2</v>
      </c>
      <c r="K3510">
        <v>4.8871986194801903E-2</v>
      </c>
      <c r="L3510" t="s">
        <v>26</v>
      </c>
      <c r="M3510" t="s">
        <v>27</v>
      </c>
      <c r="N3510">
        <v>346.26735514870398</v>
      </c>
      <c r="O3510">
        <v>299.42192622375001</v>
      </c>
      <c r="P3510">
        <v>381.40142684241999</v>
      </c>
      <c r="Q3510">
        <v>255.567778616628</v>
      </c>
      <c r="R3510">
        <v>299.61138375324202</v>
      </c>
      <c r="S3510">
        <v>343.08661630137999</v>
      </c>
      <c r="T3510">
        <v>389.55115082440699</v>
      </c>
      <c r="U3510">
        <v>370.43741703819802</v>
      </c>
      <c r="V3510">
        <v>364.88419744657801</v>
      </c>
      <c r="W3510">
        <v>400.73294206049701</v>
      </c>
    </row>
    <row r="3511" spans="1:23" x14ac:dyDescent="0.2">
      <c r="A3511" t="s">
        <v>7024</v>
      </c>
      <c r="B3511" s="3" t="str">
        <f>HYPERLINK("http://www.ncbi.nlm.nih.gov/gene/26383","Fto")</f>
        <v>Fto</v>
      </c>
      <c r="C3511">
        <v>26383</v>
      </c>
      <c r="D3511" t="s">
        <v>7025</v>
      </c>
      <c r="E3511" s="3" t="str">
        <f>HYPERLINK("http://genome.ucsc.edu/cgi-bin/hgTracks?db=mm10&amp;lastVirtModeType=default&amp;lastVirtModeExtraState=&amp;virtModeType=default&amp;virtMode=0&amp;nonVirtPosition=&amp;position=chr8:91313524-91668433","chr8:91313524-91668433")</f>
        <v>chr8:91313524-91668433</v>
      </c>
      <c r="F3511" t="s">
        <v>30</v>
      </c>
      <c r="G3511">
        <v>0.29148228717400099</v>
      </c>
      <c r="H3511">
        <v>0.117155775781959</v>
      </c>
      <c r="I3511">
        <v>2.4879890490118401</v>
      </c>
      <c r="J3511">
        <v>1.2846768876541599E-2</v>
      </c>
      <c r="K3511">
        <v>4.8872466484593501E-2</v>
      </c>
      <c r="L3511" t="s">
        <v>26</v>
      </c>
      <c r="M3511" t="s">
        <v>27</v>
      </c>
      <c r="N3511">
        <v>609.39456092945795</v>
      </c>
      <c r="O3511">
        <v>543.54306581001697</v>
      </c>
      <c r="P3511">
        <v>658.783182269039</v>
      </c>
      <c r="Q3511">
        <v>546.770280177622</v>
      </c>
      <c r="R3511">
        <v>537.40421617511902</v>
      </c>
      <c r="S3511">
        <v>546.45470107731103</v>
      </c>
      <c r="T3511">
        <v>527.03979229184495</v>
      </c>
      <c r="U3511">
        <v>723.74478010931102</v>
      </c>
      <c r="V3511">
        <v>687.83613833175502</v>
      </c>
      <c r="W3511">
        <v>696.51201834324399</v>
      </c>
    </row>
    <row r="3512" spans="1:23" x14ac:dyDescent="0.2">
      <c r="A3512" t="s">
        <v>7026</v>
      </c>
      <c r="B3512" s="3" t="str">
        <f>HYPERLINK("http://www.ncbi.nlm.nih.gov/gene/27008","Micall1")</f>
        <v>Micall1</v>
      </c>
      <c r="C3512">
        <v>27008</v>
      </c>
      <c r="D3512" t="s">
        <v>7027</v>
      </c>
      <c r="E3512" s="3" t="str">
        <f>HYPERLINK("http://genome.ucsc.edu/cgi-bin/hgTracks?db=mm10&amp;lastVirtModeType=default&amp;lastVirtModeExtraState=&amp;virtModeType=default&amp;virtMode=0&amp;nonVirtPosition=&amp;position=chr15:79108982-79136901","chr15:79108982-79136901")</f>
        <v>chr15:79108982-79136901</v>
      </c>
      <c r="F3512" t="s">
        <v>30</v>
      </c>
      <c r="G3512">
        <v>0.47119390347204698</v>
      </c>
      <c r="H3512">
        <v>0.18941684644864201</v>
      </c>
      <c r="I3512">
        <v>2.4876029366258301</v>
      </c>
      <c r="J3512">
        <v>1.28607229673223E-2</v>
      </c>
      <c r="K3512">
        <v>4.8911656136158103E-2</v>
      </c>
      <c r="L3512" t="s">
        <v>26</v>
      </c>
      <c r="M3512" t="s">
        <v>27</v>
      </c>
      <c r="N3512">
        <v>128.25067182377299</v>
      </c>
      <c r="O3512">
        <v>105.29605341446501</v>
      </c>
      <c r="P3512">
        <v>145.46663563075501</v>
      </c>
      <c r="Q3512">
        <v>100.222658281031</v>
      </c>
      <c r="R3512">
        <v>88.366395461399307</v>
      </c>
      <c r="S3512">
        <v>127.299106500965</v>
      </c>
      <c r="T3512">
        <v>128.322732036275</v>
      </c>
      <c r="U3512">
        <v>124.192891261361</v>
      </c>
      <c r="V3512">
        <v>155.22291463957299</v>
      </c>
      <c r="W3512">
        <v>174.128004585811</v>
      </c>
    </row>
    <row r="3513" spans="1:23" x14ac:dyDescent="0.2">
      <c r="A3513" t="s">
        <v>7028</v>
      </c>
      <c r="B3513" s="3" t="str">
        <f>HYPERLINK("http://www.ncbi.nlm.nih.gov/gene/266781","Snx17")</f>
        <v>Snx17</v>
      </c>
      <c r="C3513">
        <v>266781</v>
      </c>
      <c r="D3513" t="s">
        <v>7029</v>
      </c>
      <c r="E3513" s="3" t="str">
        <f>HYPERLINK("http://genome.ucsc.edu/cgi-bin/hgTracks?db=mm10&amp;lastVirtModeType=default&amp;lastVirtModeExtraState=&amp;virtModeType=default&amp;virtMode=0&amp;nonVirtPosition=&amp;position=chr5:31193303-31198900","chr5:31193303-31198900")</f>
        <v>chr5:31193303-31198900</v>
      </c>
      <c r="F3513" t="s">
        <v>30</v>
      </c>
      <c r="G3513">
        <v>-0.28124496292900902</v>
      </c>
      <c r="H3513">
        <v>0.113077590582442</v>
      </c>
      <c r="I3513">
        <v>-2.48718567030273</v>
      </c>
      <c r="J3513">
        <v>1.28758180366664E-2</v>
      </c>
      <c r="K3513">
        <v>4.8955161649346997E-2</v>
      </c>
      <c r="L3513" t="s">
        <v>26</v>
      </c>
      <c r="M3513" t="s">
        <v>27</v>
      </c>
      <c r="N3513">
        <v>396.54919700553597</v>
      </c>
      <c r="O3513">
        <v>440.47826892751402</v>
      </c>
      <c r="P3513">
        <v>363.60239306405299</v>
      </c>
      <c r="Q3513">
        <v>431.51422315443699</v>
      </c>
      <c r="R3513">
        <v>460.41546819801999</v>
      </c>
      <c r="S3513">
        <v>429.505115430084</v>
      </c>
      <c r="T3513">
        <v>362.05342253091999</v>
      </c>
      <c r="U3513">
        <v>402.556268226481</v>
      </c>
      <c r="V3513">
        <v>348.69981772112499</v>
      </c>
      <c r="W3513">
        <v>341.10006377768502</v>
      </c>
    </row>
    <row r="3514" spans="1:23" x14ac:dyDescent="0.2">
      <c r="A3514" t="s">
        <v>7030</v>
      </c>
      <c r="B3514" s="3" t="str">
        <f>HYPERLINK("http://www.ncbi.nlm.nih.gov/gene/230857","Ece1")</f>
        <v>Ece1</v>
      </c>
      <c r="C3514">
        <v>230857</v>
      </c>
      <c r="D3514" t="s">
        <v>7031</v>
      </c>
      <c r="E3514" s="3" t="str">
        <f>HYPERLINK("http://genome.ucsc.edu/cgi-bin/hgTracks?db=mm10&amp;lastVirtModeType=default&amp;lastVirtModeExtraState=&amp;virtModeType=default&amp;virtMode=0&amp;nonVirtPosition=&amp;position=chr4:137862236-137965229","chr4:137862236-137965229")</f>
        <v>chr4:137862236-137965229</v>
      </c>
      <c r="F3514" t="s">
        <v>30</v>
      </c>
      <c r="G3514">
        <v>0.29913565416709897</v>
      </c>
      <c r="H3514">
        <v>0.12029336537239101</v>
      </c>
      <c r="I3514">
        <v>2.4867178105880501</v>
      </c>
      <c r="J3514">
        <v>1.28927620184035E-2</v>
      </c>
      <c r="K3514">
        <v>4.89876390421322E-2</v>
      </c>
      <c r="L3514" t="s">
        <v>26</v>
      </c>
      <c r="M3514" t="s">
        <v>27</v>
      </c>
      <c r="N3514">
        <v>454.07041836859798</v>
      </c>
      <c r="O3514">
        <v>401.74637209151501</v>
      </c>
      <c r="P3514">
        <v>493.31345307640998</v>
      </c>
      <c r="Q3514">
        <v>383.63006419794499</v>
      </c>
      <c r="R3514">
        <v>410.73307418324202</v>
      </c>
      <c r="S3514">
        <v>410.875977893357</v>
      </c>
      <c r="T3514">
        <v>435.38069798022002</v>
      </c>
      <c r="U3514">
        <v>565.29178091378105</v>
      </c>
      <c r="V3514">
        <v>519.37145846226701</v>
      </c>
      <c r="W3514">
        <v>453.209874949371</v>
      </c>
    </row>
    <row r="3515" spans="1:23" x14ac:dyDescent="0.2">
      <c r="A3515" t="s">
        <v>7032</v>
      </c>
      <c r="B3515" s="3" t="str">
        <f>HYPERLINK("http://www.ncbi.nlm.nih.gov/gene/94282","Sfxn5")</f>
        <v>Sfxn5</v>
      </c>
      <c r="C3515">
        <v>94282</v>
      </c>
      <c r="D3515" t="s">
        <v>7033</v>
      </c>
      <c r="E3515" s="3" t="str">
        <f>HYPERLINK("http://genome.ucsc.edu/cgi-bin/hgTracks?db=mm10&amp;lastVirtModeType=default&amp;lastVirtModeExtraState=&amp;virtModeType=default&amp;virtMode=0&amp;nonVirtPosition=&amp;position=chr6:85213050-85333422","chr6:85213050-85333422")</f>
        <v>chr6:85213050-85333422</v>
      </c>
      <c r="F3515" t="s">
        <v>25</v>
      </c>
      <c r="G3515">
        <v>-0.49593202353516702</v>
      </c>
      <c r="H3515">
        <v>0.199434928287339</v>
      </c>
      <c r="I3515">
        <v>-2.4866858969690901</v>
      </c>
      <c r="J3515">
        <v>1.28939185186757E-2</v>
      </c>
      <c r="K3515">
        <v>4.89876390421322E-2</v>
      </c>
      <c r="L3515" t="s">
        <v>26</v>
      </c>
      <c r="M3515" t="s">
        <v>27</v>
      </c>
      <c r="N3515">
        <v>250.95938083028</v>
      </c>
      <c r="O3515">
        <v>307.45325604525698</v>
      </c>
      <c r="P3515">
        <v>208.58897441904699</v>
      </c>
      <c r="Q3515">
        <v>317.92854376926903</v>
      </c>
      <c r="R3515">
        <v>370.53205307204797</v>
      </c>
      <c r="S3515">
        <v>233.89917129445499</v>
      </c>
      <c r="T3515">
        <v>160.40341504534399</v>
      </c>
      <c r="U3515">
        <v>188.43059363792699</v>
      </c>
      <c r="V3515">
        <v>205.2473610637</v>
      </c>
      <c r="W3515">
        <v>280.27452792921599</v>
      </c>
    </row>
    <row r="3516" spans="1:23" x14ac:dyDescent="0.2">
      <c r="A3516" t="s">
        <v>7034</v>
      </c>
      <c r="B3516" s="3" t="str">
        <f>HYPERLINK("http://www.ncbi.nlm.nih.gov/gene/74016","Phf19")</f>
        <v>Phf19</v>
      </c>
      <c r="C3516">
        <v>74016</v>
      </c>
      <c r="D3516" t="s">
        <v>7035</v>
      </c>
      <c r="E3516" s="3" t="str">
        <f>HYPERLINK("http://genome.ucsc.edu/cgi-bin/hgTracks?db=mm10&amp;lastVirtModeType=default&amp;lastVirtModeExtraState=&amp;virtModeType=default&amp;virtMode=0&amp;nonVirtPosition=&amp;position=chr2:34893754-34913976","chr2:34893754-34913976")</f>
        <v>chr2:34893754-34913976</v>
      </c>
      <c r="F3516" t="s">
        <v>25</v>
      </c>
      <c r="G3516">
        <v>0.68088066848672701</v>
      </c>
      <c r="H3516">
        <v>0.273814786697264</v>
      </c>
      <c r="I3516">
        <v>2.48664681955078</v>
      </c>
      <c r="J3516">
        <v>1.2895334748974399E-2</v>
      </c>
      <c r="K3516">
        <v>4.89876390421322E-2</v>
      </c>
      <c r="L3516" t="s">
        <v>26</v>
      </c>
      <c r="M3516" t="s">
        <v>27</v>
      </c>
      <c r="N3516">
        <v>108.72398400266</v>
      </c>
      <c r="O3516">
        <v>76.568315850950896</v>
      </c>
      <c r="P3516">
        <v>132.84073511644101</v>
      </c>
      <c r="Q3516">
        <v>36.191515490372097</v>
      </c>
      <c r="R3516">
        <v>95.1929839519795</v>
      </c>
      <c r="S3516">
        <v>98.320448110501104</v>
      </c>
      <c r="T3516">
        <v>123.739777320694</v>
      </c>
      <c r="U3516">
        <v>169.15928292495701</v>
      </c>
      <c r="V3516">
        <v>128.73938417974</v>
      </c>
      <c r="W3516">
        <v>109.72449604037401</v>
      </c>
    </row>
    <row r="3517" spans="1:23" x14ac:dyDescent="0.2">
      <c r="A3517" t="s">
        <v>7036</v>
      </c>
      <c r="B3517" s="3" t="str">
        <f>HYPERLINK("http://www.ncbi.nlm.nih.gov/gene/210808","Lacc1")</f>
        <v>Lacc1</v>
      </c>
      <c r="C3517">
        <v>210808</v>
      </c>
      <c r="D3517" t="s">
        <v>7037</v>
      </c>
      <c r="E3517" s="3" t="str">
        <f>HYPERLINK("http://genome.ucsc.edu/cgi-bin/hgTracks?db=mm10&amp;lastVirtModeType=default&amp;lastVirtModeExtraState=&amp;virtModeType=default&amp;virtMode=0&amp;nonVirtPosition=&amp;position=chr14:77024200-77036617","chr14:77024200-77036617")</f>
        <v>chr14:77024200-77036617</v>
      </c>
      <c r="F3517" t="s">
        <v>25</v>
      </c>
      <c r="G3517">
        <v>0.617119083909762</v>
      </c>
      <c r="H3517">
        <v>0.24824003638087699</v>
      </c>
      <c r="I3517">
        <v>2.4859772537372198</v>
      </c>
      <c r="J3517">
        <v>1.29196223126201E-2</v>
      </c>
      <c r="K3517">
        <v>4.9063149967250398E-2</v>
      </c>
      <c r="L3517" t="s">
        <v>26</v>
      </c>
      <c r="M3517" t="s">
        <v>27</v>
      </c>
      <c r="N3517">
        <v>54.500264577975798</v>
      </c>
      <c r="O3517">
        <v>38.781957286345801</v>
      </c>
      <c r="P3517">
        <v>66.288995046698304</v>
      </c>
      <c r="Q3517">
        <v>44.543403680457999</v>
      </c>
      <c r="R3517">
        <v>38.684001446621203</v>
      </c>
      <c r="S3517">
        <v>33.1184667319583</v>
      </c>
      <c r="T3517">
        <v>100.825003742788</v>
      </c>
      <c r="U3517">
        <v>42.825134917710699</v>
      </c>
      <c r="V3517">
        <v>55.909675415201498</v>
      </c>
      <c r="W3517">
        <v>65.596166111093197</v>
      </c>
    </row>
    <row r="3518" spans="1:23" x14ac:dyDescent="0.2">
      <c r="A3518" t="s">
        <v>7038</v>
      </c>
      <c r="B3518" s="3" t="str">
        <f>HYPERLINK("http://www.ncbi.nlm.nih.gov/gene/330959","Snapc5")</f>
        <v>Snapc5</v>
      </c>
      <c r="C3518">
        <v>330959</v>
      </c>
      <c r="D3518" t="s">
        <v>7039</v>
      </c>
      <c r="E3518" s="3" t="str">
        <f>HYPERLINK("http://genome.ucsc.edu/cgi-bin/hgTracks?db=mm10&amp;lastVirtModeType=default&amp;lastVirtModeExtraState=&amp;virtModeType=default&amp;virtMode=0&amp;nonVirtPosition=&amp;position=chr9:64179296-64182688","chr9:64179296-64182688")</f>
        <v>chr9:64179296-64182688</v>
      </c>
      <c r="F3518" t="s">
        <v>30</v>
      </c>
      <c r="G3518">
        <v>-0.87752871721384895</v>
      </c>
      <c r="H3518">
        <v>0.35300286078459098</v>
      </c>
      <c r="I3518">
        <v>-2.4858968997119102</v>
      </c>
      <c r="J3518">
        <v>1.2922539760622199E-2</v>
      </c>
      <c r="K3518">
        <v>4.9063149967250398E-2</v>
      </c>
      <c r="L3518" t="s">
        <v>26</v>
      </c>
      <c r="M3518" t="s">
        <v>27</v>
      </c>
      <c r="N3518">
        <v>21.369250543640199</v>
      </c>
      <c r="O3518">
        <v>32.987636819584303</v>
      </c>
      <c r="P3518">
        <v>12.6554608366823</v>
      </c>
      <c r="Q3518">
        <v>48.440951502498102</v>
      </c>
      <c r="R3518">
        <v>30.340393291467599</v>
      </c>
      <c r="S3518">
        <v>20.181565664787101</v>
      </c>
      <c r="T3518">
        <v>4.58295471558126</v>
      </c>
      <c r="U3518">
        <v>8.5650269835421398</v>
      </c>
      <c r="V3518">
        <v>18.391340597105799</v>
      </c>
      <c r="W3518">
        <v>19.0825210504998</v>
      </c>
    </row>
    <row r="3519" spans="1:23" x14ac:dyDescent="0.2">
      <c r="A3519" t="s">
        <v>7040</v>
      </c>
      <c r="B3519" s="3" t="str">
        <f>HYPERLINK("http://www.ncbi.nlm.nih.gov/gene/56398","Chp1")</f>
        <v>Chp1</v>
      </c>
      <c r="C3519">
        <v>56398</v>
      </c>
      <c r="D3519" t="s">
        <v>7041</v>
      </c>
      <c r="E3519" s="3" t="str">
        <f>HYPERLINK("http://genome.ucsc.edu/cgi-bin/hgTracks?db=mm10&amp;lastVirtModeType=default&amp;lastVirtModeExtraState=&amp;virtModeType=default&amp;virtMode=0&amp;nonVirtPosition=&amp;position=chr2:119547706-119587022","chr2:119547706-119587022")</f>
        <v>chr2:119547706-119587022</v>
      </c>
      <c r="F3519" t="s">
        <v>30</v>
      </c>
      <c r="G3519">
        <v>-0.39129523676036199</v>
      </c>
      <c r="H3519">
        <v>0.15742658387656799</v>
      </c>
      <c r="I3519">
        <v>-2.4855728119410898</v>
      </c>
      <c r="J3519">
        <v>1.29343124708436E-2</v>
      </c>
      <c r="K3519">
        <v>4.9093928088737603E-2</v>
      </c>
      <c r="L3519" t="s">
        <v>26</v>
      </c>
      <c r="M3519" t="s">
        <v>27</v>
      </c>
      <c r="N3519">
        <v>260.12072344318898</v>
      </c>
      <c r="O3519">
        <v>307.82391395395803</v>
      </c>
      <c r="P3519">
        <v>224.343330560113</v>
      </c>
      <c r="Q3519">
        <v>344.09779343153798</v>
      </c>
      <c r="R3519">
        <v>274.58055928778202</v>
      </c>
      <c r="S3519">
        <v>304.793389142553</v>
      </c>
      <c r="T3519">
        <v>169.56932447650701</v>
      </c>
      <c r="U3519">
        <v>216.26693133443899</v>
      </c>
      <c r="V3519">
        <v>267.04226546997597</v>
      </c>
      <c r="W3519">
        <v>244.49480095952899</v>
      </c>
    </row>
    <row r="3520" spans="1:23" x14ac:dyDescent="0.2">
      <c r="A3520" t="s">
        <v>7042</v>
      </c>
      <c r="B3520" s="3" t="str">
        <f>HYPERLINK("http://www.ncbi.nlm.nih.gov/gene/66092","Ghitm")</f>
        <v>Ghitm</v>
      </c>
      <c r="C3520">
        <v>66092</v>
      </c>
      <c r="D3520" t="s">
        <v>7043</v>
      </c>
      <c r="E3520" s="3" t="str">
        <f>HYPERLINK("http://genome.ucsc.edu/cgi-bin/hgTracks?db=mm10&amp;lastVirtModeType=default&amp;lastVirtModeExtraState=&amp;virtModeType=default&amp;virtMode=0&amp;nonVirtPosition=&amp;position=chr14:37120444-37135322","chr14:37120444-37135322")</f>
        <v>chr14:37120444-37135322</v>
      </c>
      <c r="F3520" t="s">
        <v>25</v>
      </c>
      <c r="G3520">
        <v>-0.349327012121528</v>
      </c>
      <c r="H3520">
        <v>0.14056848389544499</v>
      </c>
      <c r="I3520">
        <v>-2.48510194064096</v>
      </c>
      <c r="J3520">
        <v>1.2951434100676999E-2</v>
      </c>
      <c r="K3520">
        <v>4.9144985560262401E-2</v>
      </c>
      <c r="L3520" t="s">
        <v>26</v>
      </c>
      <c r="M3520" t="s">
        <v>27</v>
      </c>
      <c r="N3520">
        <v>518.80870205612496</v>
      </c>
      <c r="O3520">
        <v>595.51920046475198</v>
      </c>
      <c r="P3520">
        <v>461.27582824965498</v>
      </c>
      <c r="Q3520">
        <v>678.73011358097904</v>
      </c>
      <c r="R3520">
        <v>607.945630577781</v>
      </c>
      <c r="S3520">
        <v>499.88185723549498</v>
      </c>
      <c r="T3520">
        <v>412.46592440231399</v>
      </c>
      <c r="U3520">
        <v>496.77156504544399</v>
      </c>
      <c r="V3520">
        <v>432.564330843927</v>
      </c>
      <c r="W3520">
        <v>503.301492706933</v>
      </c>
    </row>
    <row r="3521" spans="1:23" x14ac:dyDescent="0.2">
      <c r="A3521" t="s">
        <v>7044</v>
      </c>
      <c r="B3521" s="3" t="str">
        <f>HYPERLINK("http://www.ncbi.nlm.nih.gov/gene/117600","Srgap1")</f>
        <v>Srgap1</v>
      </c>
      <c r="C3521">
        <v>117600</v>
      </c>
      <c r="D3521" t="s">
        <v>7045</v>
      </c>
      <c r="E3521" s="3" t="str">
        <f>HYPERLINK("http://genome.ucsc.edu/cgi-bin/hgTracks?db=mm10&amp;lastVirtModeType=default&amp;lastVirtModeExtraState=&amp;virtModeType=default&amp;virtMode=0&amp;nonVirtPosition=&amp;position=chr10:121780990-122047315","chr10:121780990-122047315")</f>
        <v>chr10:121780990-122047315</v>
      </c>
      <c r="F3521" t="s">
        <v>25</v>
      </c>
      <c r="G3521">
        <v>0.53872122760333496</v>
      </c>
      <c r="H3521">
        <v>0.216803384122467</v>
      </c>
      <c r="I3521">
        <v>2.4848377242074098</v>
      </c>
      <c r="J3521">
        <v>1.2961050209741601E-2</v>
      </c>
      <c r="K3521">
        <v>4.9156255050210498E-2</v>
      </c>
      <c r="L3521" t="s">
        <v>26</v>
      </c>
      <c r="M3521" t="s">
        <v>27</v>
      </c>
      <c r="N3521">
        <v>458.12474793217802</v>
      </c>
      <c r="O3521">
        <v>359.28197269791002</v>
      </c>
      <c r="P3521">
        <v>532.25682935787802</v>
      </c>
      <c r="Q3521">
        <v>464.92177591478003</v>
      </c>
      <c r="R3521">
        <v>244.99867582860099</v>
      </c>
      <c r="S3521">
        <v>367.92546635034898</v>
      </c>
      <c r="T3521">
        <v>362.05342253091999</v>
      </c>
      <c r="U3521">
        <v>503.19533528310097</v>
      </c>
      <c r="V3521">
        <v>640.01865277928005</v>
      </c>
      <c r="W3521">
        <v>623.75990683821306</v>
      </c>
    </row>
    <row r="3522" spans="1:23" x14ac:dyDescent="0.2">
      <c r="A3522" t="s">
        <v>7046</v>
      </c>
      <c r="B3522" s="3" t="str">
        <f>HYPERLINK("http://www.ncbi.nlm.nih.gov/gene/320685","Dctd")</f>
        <v>Dctd</v>
      </c>
      <c r="C3522">
        <v>320685</v>
      </c>
      <c r="D3522" t="s">
        <v>7047</v>
      </c>
      <c r="E3522" s="3" t="str">
        <f>HYPERLINK("http://genome.ucsc.edu/cgi-bin/hgTracks?db=mm10&amp;lastVirtModeType=default&amp;lastVirtModeExtraState=&amp;virtModeType=default&amp;virtMode=0&amp;nonVirtPosition=&amp;position=chr8:48109957-48141667","chr8:48109957-48141667")</f>
        <v>chr8:48109957-48141667</v>
      </c>
      <c r="F3522" t="s">
        <v>30</v>
      </c>
      <c r="G3522">
        <v>0.64494026702960405</v>
      </c>
      <c r="H3522">
        <v>0.25955225119673297</v>
      </c>
      <c r="I3522">
        <v>2.4848186215143202</v>
      </c>
      <c r="J3522">
        <v>1.29617456935474E-2</v>
      </c>
      <c r="K3522">
        <v>4.9156255050210498E-2</v>
      </c>
      <c r="L3522" t="s">
        <v>26</v>
      </c>
      <c r="M3522" t="s">
        <v>27</v>
      </c>
      <c r="N3522">
        <v>59.964664797476303</v>
      </c>
      <c r="O3522">
        <v>43.695590615133902</v>
      </c>
      <c r="P3522">
        <v>72.166470434233005</v>
      </c>
      <c r="Q3522">
        <v>26.169249662269099</v>
      </c>
      <c r="R3522">
        <v>44.372825188771301</v>
      </c>
      <c r="S3522">
        <v>60.544696994361203</v>
      </c>
      <c r="T3522">
        <v>68.744320733718993</v>
      </c>
      <c r="U3522">
        <v>70.661472614222703</v>
      </c>
      <c r="V3522">
        <v>76.507976883959898</v>
      </c>
      <c r="W3522">
        <v>72.752111505030598</v>
      </c>
    </row>
    <row r="3523" spans="1:23" x14ac:dyDescent="0.2">
      <c r="A3523" t="s">
        <v>7048</v>
      </c>
      <c r="B3523" s="3" t="str">
        <f>HYPERLINK("http://www.ncbi.nlm.nih.gov/gene/207952","Klhl25")</f>
        <v>Klhl25</v>
      </c>
      <c r="C3523">
        <v>207952</v>
      </c>
      <c r="D3523" t="s">
        <v>7049</v>
      </c>
      <c r="E3523" s="3" t="str">
        <f>HYPERLINK("http://genome.ucsc.edu/cgi-bin/hgTracks?db=mm10&amp;lastVirtModeType=default&amp;lastVirtModeExtraState=&amp;virtModeType=default&amp;virtMode=0&amp;nonVirtPosition=&amp;position=chr7:75848337-75867491","chr7:75848337-75867491")</f>
        <v>chr7:75848337-75867491</v>
      </c>
      <c r="F3523" t="s">
        <v>30</v>
      </c>
      <c r="G3523">
        <v>-0.45738582454050303</v>
      </c>
      <c r="H3523">
        <v>0.184081625980344</v>
      </c>
      <c r="I3523">
        <v>-2.48469026772581</v>
      </c>
      <c r="J3523">
        <v>1.2966419607142799E-2</v>
      </c>
      <c r="K3523">
        <v>4.9160058029232602E-2</v>
      </c>
      <c r="L3523" t="s">
        <v>26</v>
      </c>
      <c r="M3523" t="s">
        <v>27</v>
      </c>
      <c r="N3523">
        <v>140.05402478911799</v>
      </c>
      <c r="O3523">
        <v>168.59350056001301</v>
      </c>
      <c r="P3523">
        <v>118.649417960948</v>
      </c>
      <c r="Q3523">
        <v>200.44531656206101</v>
      </c>
      <c r="R3523">
        <v>131.98071081788399</v>
      </c>
      <c r="S3523">
        <v>173.35447430009401</v>
      </c>
      <c r="T3523">
        <v>105.407958458369</v>
      </c>
      <c r="U3523">
        <v>126.33414800724699</v>
      </c>
      <c r="V3523">
        <v>123.589808812551</v>
      </c>
      <c r="W3523">
        <v>119.265756565624</v>
      </c>
    </row>
    <row r="3524" spans="1:23" x14ac:dyDescent="0.2">
      <c r="A3524" t="s">
        <v>7050</v>
      </c>
      <c r="B3524" s="3" t="str">
        <f>HYPERLINK("http://www.ncbi.nlm.nih.gov/gene/66248","Alg5")</f>
        <v>Alg5</v>
      </c>
      <c r="C3524">
        <v>66248</v>
      </c>
      <c r="D3524" t="s">
        <v>7051</v>
      </c>
      <c r="E3524" s="3" t="str">
        <f>HYPERLINK("http://genome.ucsc.edu/cgi-bin/hgTracks?db=mm10&amp;lastVirtModeType=default&amp;lastVirtModeExtraState=&amp;virtModeType=default&amp;virtMode=0&amp;nonVirtPosition=&amp;position=chr3:54735538-54749795","chr3:54735538-54749795")</f>
        <v>chr3:54735538-54749795</v>
      </c>
      <c r="F3524" t="s">
        <v>30</v>
      </c>
      <c r="G3524">
        <v>-0.43667367550203701</v>
      </c>
      <c r="H3524">
        <v>0.175757246700673</v>
      </c>
      <c r="I3524">
        <v>-2.4845272880595499</v>
      </c>
      <c r="J3524">
        <v>1.29723565463148E-2</v>
      </c>
      <c r="K3524">
        <v>4.9168646054826397E-2</v>
      </c>
      <c r="L3524" t="s">
        <v>26</v>
      </c>
      <c r="M3524" t="s">
        <v>27</v>
      </c>
      <c r="N3524">
        <v>101.93549020191</v>
      </c>
      <c r="O3524">
        <v>119.547535894886</v>
      </c>
      <c r="P3524">
        <v>88.726455932177998</v>
      </c>
      <c r="Q3524">
        <v>108.57454647111599</v>
      </c>
      <c r="R3524">
        <v>133.118475566314</v>
      </c>
      <c r="S3524">
        <v>116.94958564722801</v>
      </c>
      <c r="T3524">
        <v>100.825003742788</v>
      </c>
      <c r="U3524">
        <v>83.509013089535898</v>
      </c>
      <c r="V3524">
        <v>88.278434866107602</v>
      </c>
      <c r="W3524">
        <v>82.293372030280594</v>
      </c>
    </row>
    <row r="3525" spans="1:23" x14ac:dyDescent="0.2">
      <c r="A3525" t="s">
        <v>7052</v>
      </c>
      <c r="B3525" s="3" t="str">
        <f>HYPERLINK("http://www.ncbi.nlm.nih.gov/gene/15194","Htt")</f>
        <v>Htt</v>
      </c>
      <c r="C3525">
        <v>15194</v>
      </c>
      <c r="D3525" t="s">
        <v>7053</v>
      </c>
      <c r="E3525" s="3" t="str">
        <f>HYPERLINK("http://genome.ucsc.edu/cgi-bin/hgTracks?db=mm10&amp;lastVirtModeType=default&amp;lastVirtModeExtraState=&amp;virtModeType=default&amp;virtMode=0&amp;nonVirtPosition=&amp;position=chr5:34761739-34912534","chr5:34761739-34912534")</f>
        <v>chr5:34761739-34912534</v>
      </c>
      <c r="F3525" t="s">
        <v>30</v>
      </c>
      <c r="G3525">
        <v>0.34998364757877098</v>
      </c>
      <c r="H3525">
        <v>0.14087956574129001</v>
      </c>
      <c r="I3525">
        <v>2.4842754571055301</v>
      </c>
      <c r="J3525">
        <v>1.2981534842769401E-2</v>
      </c>
      <c r="K3525">
        <v>4.9189511341122101E-2</v>
      </c>
      <c r="L3525" t="s">
        <v>26</v>
      </c>
      <c r="M3525" t="s">
        <v>27</v>
      </c>
      <c r="N3525">
        <v>1203.8042437163899</v>
      </c>
      <c r="O3525">
        <v>1036.02068315623</v>
      </c>
      <c r="P3525">
        <v>1329.64191413651</v>
      </c>
      <c r="Q3525">
        <v>871.937127044965</v>
      </c>
      <c r="R3525">
        <v>965.20376158481201</v>
      </c>
      <c r="S3525">
        <v>1270.9211608389001</v>
      </c>
      <c r="T3525">
        <v>1283.2273203627501</v>
      </c>
      <c r="U3525">
        <v>1351.1330066537701</v>
      </c>
      <c r="V3525">
        <v>1338.8895954693</v>
      </c>
      <c r="W3525">
        <v>1345.3177340602399</v>
      </c>
    </row>
    <row r="3526" spans="1:23" x14ac:dyDescent="0.2">
      <c r="A3526" t="s">
        <v>7054</v>
      </c>
      <c r="B3526" s="3" t="str">
        <f>HYPERLINK("http://www.ncbi.nlm.nih.gov/gene/67526","Atg12")</f>
        <v>Atg12</v>
      </c>
      <c r="C3526">
        <v>67526</v>
      </c>
      <c r="D3526" t="s">
        <v>7055</v>
      </c>
      <c r="E3526" s="3" t="str">
        <f>HYPERLINK("http://genome.ucsc.edu/cgi-bin/hgTracks?db=mm10&amp;lastVirtModeType=default&amp;lastVirtModeExtraState=&amp;virtModeType=default&amp;virtMode=0&amp;nonVirtPosition=&amp;position=chr18:46732416-46741579","chr18:46732416-46741579")</f>
        <v>chr18:46732416-46741579</v>
      </c>
      <c r="F3526" t="s">
        <v>25</v>
      </c>
      <c r="G3526">
        <v>-0.37848356752007101</v>
      </c>
      <c r="H3526">
        <v>0.152406183513357</v>
      </c>
      <c r="I3526">
        <v>-2.48338721431799</v>
      </c>
      <c r="J3526">
        <v>1.3013953849561199E-2</v>
      </c>
      <c r="K3526">
        <v>4.9294339186586697E-2</v>
      </c>
      <c r="L3526" t="s">
        <v>26</v>
      </c>
      <c r="M3526" t="s">
        <v>27</v>
      </c>
      <c r="N3526">
        <v>204.376393274218</v>
      </c>
      <c r="O3526">
        <v>235.90200754475401</v>
      </c>
      <c r="P3526">
        <v>180.732182571316</v>
      </c>
      <c r="Q3526">
        <v>275.05551772682799</v>
      </c>
      <c r="R3526">
        <v>219.96785136314</v>
      </c>
      <c r="S3526">
        <v>212.682653544294</v>
      </c>
      <c r="T3526">
        <v>183.31818862325099</v>
      </c>
      <c r="U3526">
        <v>196.99562062146899</v>
      </c>
      <c r="V3526">
        <v>178.02817697998401</v>
      </c>
      <c r="W3526">
        <v>164.58674406056099</v>
      </c>
    </row>
    <row r="3527" spans="1:23" x14ac:dyDescent="0.2">
      <c r="A3527" t="s">
        <v>7056</v>
      </c>
      <c r="B3527" s="3" t="str">
        <f>HYPERLINK("http://www.ncbi.nlm.nih.gov/gene/69748","Aldh16a1")</f>
        <v>Aldh16a1</v>
      </c>
      <c r="C3527">
        <v>69748</v>
      </c>
      <c r="D3527" t="s">
        <v>7057</v>
      </c>
      <c r="E3527" s="3" t="str">
        <f>HYPERLINK("http://genome.ucsc.edu/cgi-bin/hgTracks?db=mm10&amp;lastVirtModeType=default&amp;lastVirtModeExtraState=&amp;virtModeType=default&amp;virtMode=0&amp;nonVirtPosition=&amp;position=chr7:45141839-45154538","chr7:45141839-45154538")</f>
        <v>chr7:45141839-45154538</v>
      </c>
      <c r="F3527" t="s">
        <v>25</v>
      </c>
      <c r="G3527">
        <v>0.55074426369495999</v>
      </c>
      <c r="H3527">
        <v>0.22178837157796799</v>
      </c>
      <c r="I3527">
        <v>2.4831972018034798</v>
      </c>
      <c r="J3527">
        <v>1.30208982003692E-2</v>
      </c>
      <c r="K3527">
        <v>4.9294339186586697E-2</v>
      </c>
      <c r="L3527" t="s">
        <v>26</v>
      </c>
      <c r="M3527" t="s">
        <v>27</v>
      </c>
      <c r="N3527">
        <v>109.624269252285</v>
      </c>
      <c r="O3527">
        <v>84.122212601288894</v>
      </c>
      <c r="P3527">
        <v>128.75081174053099</v>
      </c>
      <c r="Q3527">
        <v>59.0200098766068</v>
      </c>
      <c r="R3527">
        <v>85.711611048395895</v>
      </c>
      <c r="S3527">
        <v>107.63501687886399</v>
      </c>
      <c r="T3527">
        <v>132.90568675185699</v>
      </c>
      <c r="U3527">
        <v>147.74671546610199</v>
      </c>
      <c r="V3527">
        <v>135.36026679469799</v>
      </c>
      <c r="W3527">
        <v>98.990577949467905</v>
      </c>
    </row>
    <row r="3528" spans="1:23" x14ac:dyDescent="0.2">
      <c r="A3528" t="s">
        <v>7058</v>
      </c>
      <c r="B3528" s="3" t="str">
        <f>HYPERLINK("http://www.ncbi.nlm.nih.gov/gene/218793","Ube2e2")</f>
        <v>Ube2e2</v>
      </c>
      <c r="C3528">
        <v>218793</v>
      </c>
      <c r="D3528" t="s">
        <v>7059</v>
      </c>
      <c r="E3528" s="3" t="str">
        <f>HYPERLINK("http://genome.ucsc.edu/cgi-bin/hgTracks?db=mm10&amp;lastVirtModeType=default&amp;lastVirtModeExtraState=&amp;virtModeType=default&amp;virtMode=0&amp;nonVirtPosition=&amp;position=chr14:18573576-18893627","chr14:18573576-18893627")</f>
        <v>chr14:18573576-18893627</v>
      </c>
      <c r="F3528" t="s">
        <v>25</v>
      </c>
      <c r="G3528">
        <v>-0.41200596527192002</v>
      </c>
      <c r="H3528">
        <v>0.16591953764453499</v>
      </c>
      <c r="I3528">
        <v>-2.48316726963523</v>
      </c>
      <c r="J3528">
        <v>1.30219924243326E-2</v>
      </c>
      <c r="K3528">
        <v>4.9294339186586697E-2</v>
      </c>
      <c r="L3528" t="s">
        <v>26</v>
      </c>
      <c r="M3528" t="s">
        <v>27</v>
      </c>
      <c r="N3528">
        <v>187.83038388150601</v>
      </c>
      <c r="O3528">
        <v>222.034062789714</v>
      </c>
      <c r="P3528">
        <v>162.177624700351</v>
      </c>
      <c r="Q3528">
        <v>225.500981132319</v>
      </c>
      <c r="R3528">
        <v>250.68749957075099</v>
      </c>
      <c r="S3528">
        <v>189.91370766607301</v>
      </c>
      <c r="T3528">
        <v>142.07159618301901</v>
      </c>
      <c r="U3528">
        <v>154.170485703759</v>
      </c>
      <c r="V3528">
        <v>154.48726101568801</v>
      </c>
      <c r="W3528">
        <v>197.98115589893601</v>
      </c>
    </row>
    <row r="3529" spans="1:23" x14ac:dyDescent="0.2">
      <c r="A3529" t="s">
        <v>7060</v>
      </c>
      <c r="B3529" s="3" t="str">
        <f>HYPERLINK("http://www.ncbi.nlm.nih.gov/gene/320799","Zhx3")</f>
        <v>Zhx3</v>
      </c>
      <c r="C3529">
        <v>320799</v>
      </c>
      <c r="D3529" t="s">
        <v>7061</v>
      </c>
      <c r="E3529" s="3" t="str">
        <f>HYPERLINK("http://genome.ucsc.edu/cgi-bin/hgTracks?db=mm10&amp;lastVirtModeType=default&amp;lastVirtModeExtraState=&amp;virtModeType=default&amp;virtMode=0&amp;nonVirtPosition=&amp;position=chr2:160770446-160872990","chr2:160770446-160872990")</f>
        <v>chr2:160770446-160872990</v>
      </c>
      <c r="F3529" t="s">
        <v>25</v>
      </c>
      <c r="G3529">
        <v>-0.35185402762825302</v>
      </c>
      <c r="H3529">
        <v>0.141698676467089</v>
      </c>
      <c r="I3529">
        <v>-2.4831144256310398</v>
      </c>
      <c r="J3529">
        <v>1.3023924430000999E-2</v>
      </c>
      <c r="K3529">
        <v>4.9294339186586697E-2</v>
      </c>
      <c r="L3529" t="s">
        <v>26</v>
      </c>
      <c r="M3529" t="s">
        <v>27</v>
      </c>
      <c r="N3529">
        <v>809.33864458148196</v>
      </c>
      <c r="O3529">
        <v>926.90938584876403</v>
      </c>
      <c r="P3529">
        <v>721.16058863102205</v>
      </c>
      <c r="Q3529">
        <v>1133.6296236676601</v>
      </c>
      <c r="R3529">
        <v>793.78053948802005</v>
      </c>
      <c r="S3529">
        <v>853.31799439061194</v>
      </c>
      <c r="T3529">
        <v>742.43866392416498</v>
      </c>
      <c r="U3529">
        <v>708.75598288811204</v>
      </c>
      <c r="V3529">
        <v>695.192674570598</v>
      </c>
      <c r="W3529">
        <v>738.25503314121204</v>
      </c>
    </row>
    <row r="3530" spans="1:23" x14ac:dyDescent="0.2">
      <c r="A3530" t="s">
        <v>7062</v>
      </c>
      <c r="B3530" s="3" t="str">
        <f>HYPERLINK("http://www.ncbi.nlm.nih.gov/gene/277250","Kdm3b")</f>
        <v>Kdm3b</v>
      </c>
      <c r="C3530">
        <v>277250</v>
      </c>
      <c r="D3530" t="s">
        <v>7063</v>
      </c>
      <c r="E3530" s="3" t="str">
        <f>HYPERLINK("http://genome.ucsc.edu/cgi-bin/hgTracks?db=mm10&amp;lastVirtModeType=default&amp;lastVirtModeExtraState=&amp;virtModeType=default&amp;virtMode=0&amp;nonVirtPosition=&amp;position=chr18:34777007-34839370","chr18:34777007-34839370")</f>
        <v>chr18:34777007-34839370</v>
      </c>
      <c r="F3530" t="s">
        <v>30</v>
      </c>
      <c r="G3530">
        <v>0.29019119429065698</v>
      </c>
      <c r="H3530">
        <v>0.11688186295999201</v>
      </c>
      <c r="I3530">
        <v>2.4827735197032799</v>
      </c>
      <c r="J3530">
        <v>1.30363942316612E-2</v>
      </c>
      <c r="K3530">
        <v>4.93275939972238E-2</v>
      </c>
      <c r="L3530" t="s">
        <v>26</v>
      </c>
      <c r="M3530" t="s">
        <v>27</v>
      </c>
      <c r="N3530">
        <v>582.72199214779903</v>
      </c>
      <c r="O3530">
        <v>515.90950688634098</v>
      </c>
      <c r="P3530">
        <v>632.83135609389296</v>
      </c>
      <c r="Q3530">
        <v>498.32932867512397</v>
      </c>
      <c r="R3530">
        <v>472.93088043075102</v>
      </c>
      <c r="S3530">
        <v>576.46831155314806</v>
      </c>
      <c r="T3530">
        <v>641.61366018137699</v>
      </c>
      <c r="U3530">
        <v>616.68194281503395</v>
      </c>
      <c r="V3530">
        <v>673.123065854071</v>
      </c>
      <c r="W3530">
        <v>599.90675552508901</v>
      </c>
    </row>
    <row r="3531" spans="1:23" x14ac:dyDescent="0.2">
      <c r="A3531" t="s">
        <v>7064</v>
      </c>
      <c r="B3531" s="3" t="str">
        <f>HYPERLINK("http://www.ncbi.nlm.nih.gov/gene/208715","Hmgcs1")</f>
        <v>Hmgcs1</v>
      </c>
      <c r="C3531">
        <v>208715</v>
      </c>
      <c r="D3531" t="s">
        <v>7065</v>
      </c>
      <c r="E3531" s="3" t="str">
        <f>HYPERLINK("http://genome.ucsc.edu/cgi-bin/hgTracks?db=mm10&amp;lastVirtModeType=default&amp;lastVirtModeExtraState=&amp;virtModeType=default&amp;virtMode=0&amp;nonVirtPosition=&amp;position=chr13:119690350-119708260","chr13:119690350-119708260")</f>
        <v>chr13:119690350-119708260</v>
      </c>
      <c r="F3531" t="s">
        <v>30</v>
      </c>
      <c r="G3531">
        <v>-0.50630804340483904</v>
      </c>
      <c r="H3531">
        <v>0.20397958502076699</v>
      </c>
      <c r="I3531">
        <v>-2.48215057086861</v>
      </c>
      <c r="J3531">
        <v>1.30592079997164E-2</v>
      </c>
      <c r="K3531">
        <v>4.93999588486446E-2</v>
      </c>
      <c r="L3531" t="s">
        <v>26</v>
      </c>
      <c r="M3531" t="s">
        <v>27</v>
      </c>
      <c r="N3531">
        <v>1353.3144735835699</v>
      </c>
      <c r="O3531">
        <v>1651.1440833614199</v>
      </c>
      <c r="P3531">
        <v>1129.94226625018</v>
      </c>
      <c r="Q3531">
        <v>1168.7075540660201</v>
      </c>
      <c r="R3531">
        <v>2171.2343949206502</v>
      </c>
      <c r="S3531">
        <v>1613.49030109759</v>
      </c>
      <c r="T3531">
        <v>889.09321482276505</v>
      </c>
      <c r="U3531">
        <v>1436.78327648919</v>
      </c>
      <c r="V3531">
        <v>1124.0787372950999</v>
      </c>
      <c r="W3531">
        <v>1069.81383639365</v>
      </c>
    </row>
    <row r="3532" spans="1:23" x14ac:dyDescent="0.2">
      <c r="A3532" t="s">
        <v>7066</v>
      </c>
      <c r="B3532" s="3" t="str">
        <f>HYPERLINK("http://www.ncbi.nlm.nih.gov/gene/94275","Maged1")</f>
        <v>Maged1</v>
      </c>
      <c r="C3532">
        <v>94275</v>
      </c>
      <c r="D3532" t="s">
        <v>7067</v>
      </c>
      <c r="E3532" s="3" t="str">
        <f>HYPERLINK("http://genome.ucsc.edu/cgi-bin/hgTracks?db=mm10&amp;lastVirtModeType=default&amp;lastVirtModeExtraState=&amp;virtModeType=default&amp;virtMode=0&amp;nonVirtPosition=&amp;position=chrX:94535473-94542074","chrX:94535473-94542074")</f>
        <v>chrX:94535473-94542074</v>
      </c>
      <c r="F3532" t="s">
        <v>25</v>
      </c>
      <c r="G3532">
        <v>-0.4069049207132</v>
      </c>
      <c r="H3532">
        <v>0.163939458186173</v>
      </c>
      <c r="I3532">
        <v>-2.4820438301748502</v>
      </c>
      <c r="J3532">
        <v>1.30631206222103E-2</v>
      </c>
      <c r="K3532">
        <v>4.9400804363744298E-2</v>
      </c>
      <c r="L3532" t="s">
        <v>26</v>
      </c>
      <c r="M3532" t="s">
        <v>27</v>
      </c>
      <c r="N3532">
        <v>3547.8676051534999</v>
      </c>
      <c r="O3532">
        <v>4157.4617428495903</v>
      </c>
      <c r="P3532">
        <v>3090.6720018814399</v>
      </c>
      <c r="Q3532">
        <v>3262.2475270475402</v>
      </c>
      <c r="R3532">
        <v>4895.4224575782901</v>
      </c>
      <c r="S3532">
        <v>4314.7152439229403</v>
      </c>
      <c r="T3532">
        <v>2580.2035048722501</v>
      </c>
      <c r="U3532">
        <v>3357.4905775485199</v>
      </c>
      <c r="V3532">
        <v>3338.3961451866398</v>
      </c>
      <c r="W3532">
        <v>3086.5977799183502</v>
      </c>
    </row>
    <row r="3533" spans="1:23" x14ac:dyDescent="0.2">
      <c r="A3533" t="s">
        <v>7068</v>
      </c>
      <c r="B3533" s="3" t="str">
        <f>HYPERLINK("http://www.ncbi.nlm.nih.gov/gene/66262","Ing5")</f>
        <v>Ing5</v>
      </c>
      <c r="C3533">
        <v>66262</v>
      </c>
      <c r="D3533" t="s">
        <v>7069</v>
      </c>
      <c r="E3533" s="3" t="str">
        <f>HYPERLINK("http://genome.ucsc.edu/cgi-bin/hgTracks?db=mm10&amp;lastVirtModeType=default&amp;lastVirtModeExtraState=&amp;virtModeType=default&amp;virtMode=0&amp;nonVirtPosition=&amp;position=chr1:93803964-93822100","chr1:93803964-93822100")</f>
        <v>chr1:93803964-93822100</v>
      </c>
      <c r="F3533" t="s">
        <v>30</v>
      </c>
      <c r="G3533">
        <v>0.46450881795146398</v>
      </c>
      <c r="H3533">
        <v>0.187172379871335</v>
      </c>
      <c r="I3533">
        <v>2.4817166842179099</v>
      </c>
      <c r="J3533">
        <v>1.3075118746011199E-2</v>
      </c>
      <c r="K3533">
        <v>4.9421895504323798E-2</v>
      </c>
      <c r="L3533" t="s">
        <v>26</v>
      </c>
      <c r="M3533" t="s">
        <v>27</v>
      </c>
      <c r="N3533">
        <v>93.312870746303005</v>
      </c>
      <c r="O3533">
        <v>75.194130362252807</v>
      </c>
      <c r="P3533">
        <v>106.901926034341</v>
      </c>
      <c r="Q3533">
        <v>72.383030980744294</v>
      </c>
      <c r="R3533">
        <v>70.920669318805395</v>
      </c>
      <c r="S3533">
        <v>82.278690787208802</v>
      </c>
      <c r="T3533">
        <v>100.825003742788</v>
      </c>
      <c r="U3533">
        <v>134.89917499078899</v>
      </c>
      <c r="V3533">
        <v>100.04889284825499</v>
      </c>
      <c r="W3533">
        <v>91.834632555530504</v>
      </c>
    </row>
    <row r="3534" spans="1:23" x14ac:dyDescent="0.2">
      <c r="A3534" t="s">
        <v>7070</v>
      </c>
      <c r="B3534" s="3" t="str">
        <f>HYPERLINK("http://www.ncbi.nlm.nih.gov/gene/665211","Gm14326")</f>
        <v>Gm14326</v>
      </c>
      <c r="C3534">
        <v>665211</v>
      </c>
      <c r="D3534" t="s">
        <v>7071</v>
      </c>
      <c r="E3534" s="3" t="str">
        <f>HYPERLINK("http://genome.ucsc.edu/cgi-bin/hgTracks?db=mm10&amp;lastVirtModeType=default&amp;lastVirtModeExtraState=&amp;virtModeType=default&amp;virtMode=0&amp;nonVirtPosition=&amp;position=chr2:177944590-177957288","chr2:177944590-177957288")</f>
        <v>chr2:177944590-177957288</v>
      </c>
      <c r="F3534" t="s">
        <v>25</v>
      </c>
      <c r="G3534">
        <v>-0.90274507030570195</v>
      </c>
      <c r="H3534">
        <v>0.363762148007927</v>
      </c>
      <c r="I3534">
        <v>-2.4816905091676298</v>
      </c>
      <c r="J3534">
        <v>1.3076079140603301E-2</v>
      </c>
      <c r="K3534">
        <v>4.9421895504323798E-2</v>
      </c>
      <c r="L3534" t="s">
        <v>26</v>
      </c>
      <c r="M3534" t="s">
        <v>27</v>
      </c>
      <c r="N3534">
        <v>12.6934641953211</v>
      </c>
      <c r="O3534">
        <v>18.5133817251279</v>
      </c>
      <c r="P3534">
        <v>8.3285260479660295</v>
      </c>
      <c r="Q3534">
        <v>17.260568926177498</v>
      </c>
      <c r="R3534">
        <v>22.755294968600701</v>
      </c>
      <c r="S3534">
        <v>15.5242812806054</v>
      </c>
      <c r="T3534">
        <v>13.7488641467438</v>
      </c>
      <c r="U3534">
        <v>6.4237702376566101</v>
      </c>
      <c r="V3534">
        <v>9.5634971104949908</v>
      </c>
      <c r="W3534">
        <v>3.57797269696872</v>
      </c>
    </row>
    <row r="3535" spans="1:23" x14ac:dyDescent="0.2">
      <c r="A3535" t="s">
        <v>7070</v>
      </c>
      <c r="B3535" s="3" t="str">
        <f>HYPERLINK("http://www.ncbi.nlm.nih.gov/gene/665001","Gm14391")</f>
        <v>Gm14391</v>
      </c>
      <c r="C3535">
        <v>665001</v>
      </c>
      <c r="D3535" t="s">
        <v>7072</v>
      </c>
      <c r="E3535" s="3" t="str">
        <f>HYPERLINK("http://genome.ucsc.edu/cgi-bin/hgTracks?db=mm10&amp;lastVirtModeType=default&amp;lastVirtModeExtraState=&amp;virtModeType=default&amp;virtMode=0&amp;nonVirtPosition=&amp;position=chr2:175185164-175206924","chr2:175185164-175206924")</f>
        <v>chr2:175185164-175206924</v>
      </c>
      <c r="F3535" t="s">
        <v>25</v>
      </c>
      <c r="G3535">
        <v>-0.90274507030570195</v>
      </c>
      <c r="H3535">
        <v>0.363762148007927</v>
      </c>
      <c r="I3535">
        <v>-2.4816905091676298</v>
      </c>
      <c r="J3535">
        <v>1.3076079140603301E-2</v>
      </c>
      <c r="K3535">
        <v>4.9421895504323798E-2</v>
      </c>
      <c r="L3535" t="s">
        <v>26</v>
      </c>
      <c r="M3535" t="s">
        <v>27</v>
      </c>
      <c r="N3535">
        <v>12.6934641953211</v>
      </c>
      <c r="O3535">
        <v>18.5133817251279</v>
      </c>
      <c r="P3535">
        <v>8.3285260479660295</v>
      </c>
      <c r="Q3535">
        <v>17.260568926177498</v>
      </c>
      <c r="R3535">
        <v>22.755294968600701</v>
      </c>
      <c r="S3535">
        <v>15.5242812806054</v>
      </c>
      <c r="T3535">
        <v>13.7488641467438</v>
      </c>
      <c r="U3535">
        <v>6.4237702376566101</v>
      </c>
      <c r="V3535">
        <v>9.5634971104949908</v>
      </c>
      <c r="W3535">
        <v>3.57797269696872</v>
      </c>
    </row>
    <row r="3536" spans="1:23" x14ac:dyDescent="0.2">
      <c r="A3536" t="s">
        <v>7073</v>
      </c>
      <c r="B3536" s="3" t="str">
        <f>HYPERLINK("http://www.ncbi.nlm.nih.gov/gene/15957","Ifit1")</f>
        <v>Ifit1</v>
      </c>
      <c r="C3536">
        <v>15957</v>
      </c>
      <c r="D3536" t="s">
        <v>7074</v>
      </c>
      <c r="E3536" s="3" t="str">
        <f>HYPERLINK("http://genome.ucsc.edu/cgi-bin/hgTracks?db=mm10&amp;lastVirtModeType=default&amp;lastVirtModeExtraState=&amp;virtModeType=default&amp;virtMode=0&amp;nonVirtPosition=&amp;position=chr19:34640888-34650009","chr19:34640888-34650009")</f>
        <v>chr19:34640888-34650009</v>
      </c>
      <c r="F3536" t="s">
        <v>30</v>
      </c>
      <c r="G3536">
        <v>-0.74033504604526301</v>
      </c>
      <c r="H3536">
        <v>0.29846737222919001</v>
      </c>
      <c r="I3536">
        <v>-2.4804555369515202</v>
      </c>
      <c r="J3536">
        <v>1.31214627518377E-2</v>
      </c>
      <c r="K3536">
        <v>4.95794321980415E-2</v>
      </c>
      <c r="L3536" t="s">
        <v>26</v>
      </c>
      <c r="M3536" t="s">
        <v>27</v>
      </c>
      <c r="N3536">
        <v>88.260566654483696</v>
      </c>
      <c r="O3536">
        <v>119.630836996173</v>
      </c>
      <c r="P3536">
        <v>64.732863898216806</v>
      </c>
      <c r="Q3536">
        <v>173.71927435378601</v>
      </c>
      <c r="R3536">
        <v>81.160552054675705</v>
      </c>
      <c r="S3536">
        <v>104.012684580056</v>
      </c>
      <c r="T3536">
        <v>77.910230164881497</v>
      </c>
      <c r="U3536">
        <v>29.9775944423975</v>
      </c>
      <c r="V3536">
        <v>54.438368167432998</v>
      </c>
      <c r="W3536">
        <v>96.605262818155396</v>
      </c>
    </row>
    <row r="3537" spans="1:23" x14ac:dyDescent="0.2">
      <c r="A3537" t="s">
        <v>7075</v>
      </c>
      <c r="B3537" s="3" t="str">
        <f>HYPERLINK("http://www.ncbi.nlm.nih.gov/gene/16993","Lta4h")</f>
        <v>Lta4h</v>
      </c>
      <c r="C3537">
        <v>16993</v>
      </c>
      <c r="D3537" t="s">
        <v>7076</v>
      </c>
      <c r="E3537" s="3" t="str">
        <f>HYPERLINK("http://genome.ucsc.edu/cgi-bin/hgTracks?db=mm10&amp;lastVirtModeType=default&amp;lastVirtModeExtraState=&amp;virtModeType=default&amp;virtMode=0&amp;nonVirtPosition=&amp;position=chr10:93453395-93484896","chr10:93453395-93484896")</f>
        <v>chr10:93453395-93484896</v>
      </c>
      <c r="F3537" t="s">
        <v>30</v>
      </c>
      <c r="G3537">
        <v>0.41156010502412899</v>
      </c>
      <c r="H3537">
        <v>0.165936793473558</v>
      </c>
      <c r="I3537">
        <v>2.48022211595713</v>
      </c>
      <c r="J3537">
        <v>1.3130056302320999E-2</v>
      </c>
      <c r="K3537">
        <v>4.9597908023802602E-2</v>
      </c>
      <c r="L3537" t="s">
        <v>26</v>
      </c>
      <c r="M3537" t="s">
        <v>27</v>
      </c>
      <c r="N3537">
        <v>251.04117808669201</v>
      </c>
      <c r="O3537">
        <v>212.20326066406099</v>
      </c>
      <c r="P3537">
        <v>280.16961615366603</v>
      </c>
      <c r="Q3537">
        <v>172.60568926177501</v>
      </c>
      <c r="R3537">
        <v>229.06996935058001</v>
      </c>
      <c r="S3537">
        <v>234.934123379829</v>
      </c>
      <c r="T3537">
        <v>229.147735779063</v>
      </c>
      <c r="U3537">
        <v>254.80955276037901</v>
      </c>
      <c r="V3537">
        <v>326.63020900459799</v>
      </c>
      <c r="W3537">
        <v>310.09096707062201</v>
      </c>
    </row>
    <row r="3538" spans="1:23" x14ac:dyDescent="0.2">
      <c r="A3538" t="s">
        <v>7077</v>
      </c>
      <c r="B3538" s="3" t="str">
        <f>HYPERLINK("http://www.ncbi.nlm.nih.gov/gene/18648","Pgam1")</f>
        <v>Pgam1</v>
      </c>
      <c r="C3538">
        <v>18648</v>
      </c>
      <c r="D3538" t="s">
        <v>7078</v>
      </c>
      <c r="E3538" s="3" t="str">
        <f>HYPERLINK("http://genome.ucsc.edu/cgi-bin/hgTracks?db=mm10&amp;lastVirtModeType=default&amp;lastVirtModeExtraState=&amp;virtModeType=default&amp;virtMode=0&amp;nonVirtPosition=&amp;position=chr19:41911870-41918665","chr19:41911870-41918665")</f>
        <v>chr19:41911870-41918665</v>
      </c>
      <c r="F3538" t="s">
        <v>30</v>
      </c>
      <c r="G3538">
        <v>-0.68300856978343105</v>
      </c>
      <c r="H3538">
        <v>0.27542387041342697</v>
      </c>
      <c r="I3538">
        <v>-2.4798452245921698</v>
      </c>
      <c r="J3538">
        <v>1.31439423165675E-2</v>
      </c>
      <c r="K3538">
        <v>4.9612098314262103E-2</v>
      </c>
      <c r="L3538" t="s">
        <v>26</v>
      </c>
      <c r="M3538" t="s">
        <v>27</v>
      </c>
      <c r="N3538">
        <v>38.297412519319501</v>
      </c>
      <c r="O3538">
        <v>51.757047733420102</v>
      </c>
      <c r="P3538">
        <v>28.2026861087441</v>
      </c>
      <c r="Q3538">
        <v>39.532270766406498</v>
      </c>
      <c r="R3538">
        <v>62.956316079795201</v>
      </c>
      <c r="S3538">
        <v>52.782556354058499</v>
      </c>
      <c r="T3538">
        <v>18.3318188623251</v>
      </c>
      <c r="U3538">
        <v>25.695080950626402</v>
      </c>
      <c r="V3538">
        <v>29.4261449553692</v>
      </c>
      <c r="W3538">
        <v>39.357699666655897</v>
      </c>
    </row>
    <row r="3539" spans="1:23" x14ac:dyDescent="0.2">
      <c r="A3539" t="s">
        <v>7079</v>
      </c>
      <c r="B3539" s="3" t="str">
        <f>HYPERLINK("http://www.ncbi.nlm.nih.gov/gene/237911","Brip1")</f>
        <v>Brip1</v>
      </c>
      <c r="C3539">
        <v>237911</v>
      </c>
      <c r="D3539" t="s">
        <v>7080</v>
      </c>
      <c r="E3539" s="3" t="str">
        <f>HYPERLINK("http://genome.ucsc.edu/cgi-bin/hgTracks?db=mm10&amp;lastVirtModeType=default&amp;lastVirtModeExtraState=&amp;virtModeType=default&amp;virtMode=0&amp;nonVirtPosition=&amp;position=chr11:86058135-86201193","chr11:86058135-86201193")</f>
        <v>chr11:86058135-86201193</v>
      </c>
      <c r="F3539" t="s">
        <v>25</v>
      </c>
      <c r="G3539">
        <v>0.64732148073174001</v>
      </c>
      <c r="H3539">
        <v>0.26103316792639603</v>
      </c>
      <c r="I3539">
        <v>2.4798437910168798</v>
      </c>
      <c r="J3539">
        <v>1.31439951593462E-2</v>
      </c>
      <c r="K3539">
        <v>4.9612098314262103E-2</v>
      </c>
      <c r="L3539" t="s">
        <v>26</v>
      </c>
      <c r="M3539" t="s">
        <v>27</v>
      </c>
      <c r="N3539">
        <v>106.515155671218</v>
      </c>
      <c r="O3539">
        <v>75.409141910132305</v>
      </c>
      <c r="P3539">
        <v>129.84466599203199</v>
      </c>
      <c r="Q3539">
        <v>41.202648404423599</v>
      </c>
      <c r="R3539">
        <v>98.606278197269603</v>
      </c>
      <c r="S3539">
        <v>86.418499128703601</v>
      </c>
      <c r="T3539">
        <v>174.152279192088</v>
      </c>
      <c r="U3539">
        <v>128.47540475313201</v>
      </c>
      <c r="V3539">
        <v>102.255853719908</v>
      </c>
      <c r="W3539">
        <v>114.495126302999</v>
      </c>
    </row>
    <row r="3540" spans="1:23" x14ac:dyDescent="0.2">
      <c r="A3540" t="s">
        <v>7081</v>
      </c>
      <c r="B3540" s="3" t="str">
        <f>HYPERLINK("http://www.ncbi.nlm.nih.gov/gene/382207","Jade3")</f>
        <v>Jade3</v>
      </c>
      <c r="C3540">
        <v>382207</v>
      </c>
      <c r="D3540" t="s">
        <v>7082</v>
      </c>
      <c r="E3540" s="3" t="str">
        <f>HYPERLINK("http://genome.ucsc.edu/cgi-bin/hgTracks?db=mm10&amp;lastVirtModeType=default&amp;lastVirtModeExtraState=&amp;virtModeType=default&amp;virtMode=0&amp;nonVirtPosition=&amp;position=chrX:20425687-20519939","chrX:20425687-20519939")</f>
        <v>chrX:20425687-20519939</v>
      </c>
      <c r="F3540" t="s">
        <v>30</v>
      </c>
      <c r="G3540">
        <v>-0.536518308116823</v>
      </c>
      <c r="H3540">
        <v>0.21635386169262499</v>
      </c>
      <c r="I3540">
        <v>-2.4798184969725998</v>
      </c>
      <c r="J3540">
        <v>1.31449275497724E-2</v>
      </c>
      <c r="K3540">
        <v>4.9612098314262103E-2</v>
      </c>
      <c r="L3540" t="s">
        <v>26</v>
      </c>
      <c r="M3540" t="s">
        <v>27</v>
      </c>
      <c r="N3540">
        <v>60.4079092255283</v>
      </c>
      <c r="O3540">
        <v>73.512115007215399</v>
      </c>
      <c r="P3540">
        <v>50.579754889263</v>
      </c>
      <c r="Q3540">
        <v>67.928690612698404</v>
      </c>
      <c r="R3540">
        <v>79.643532390102393</v>
      </c>
      <c r="S3540">
        <v>72.964122018845501</v>
      </c>
      <c r="T3540">
        <v>59.578411302556397</v>
      </c>
      <c r="U3540">
        <v>42.825134917710699</v>
      </c>
      <c r="V3540">
        <v>42.6679101852854</v>
      </c>
      <c r="W3540">
        <v>57.247563151499499</v>
      </c>
    </row>
    <row r="3541" spans="1:23" x14ac:dyDescent="0.2">
      <c r="A3541" t="s">
        <v>7083</v>
      </c>
      <c r="B3541" s="3" t="str">
        <f>HYPERLINK("http://www.ncbi.nlm.nih.gov/gene/59004","Pias4")</f>
        <v>Pias4</v>
      </c>
      <c r="C3541">
        <v>59004</v>
      </c>
      <c r="D3541" t="s">
        <v>7084</v>
      </c>
      <c r="E3541" s="3" t="str">
        <f>HYPERLINK("http://genome.ucsc.edu/cgi-bin/hgTracks?db=mm10&amp;lastVirtModeType=default&amp;lastVirtModeExtraState=&amp;virtModeType=default&amp;virtMode=0&amp;nonVirtPosition=&amp;position=chr10:81153965-81167720","chr10:81153965-81167720")</f>
        <v>chr10:81153965-81167720</v>
      </c>
      <c r="F3541" t="s">
        <v>25</v>
      </c>
      <c r="G3541">
        <v>0.46778396011680901</v>
      </c>
      <c r="H3541">
        <v>0.18868424909600301</v>
      </c>
      <c r="I3541">
        <v>2.47918924000275</v>
      </c>
      <c r="J3541">
        <v>1.3168142087898E-2</v>
      </c>
      <c r="K3541">
        <v>4.96857116649881E-2</v>
      </c>
      <c r="L3541" t="s">
        <v>26</v>
      </c>
      <c r="M3541" t="s">
        <v>27</v>
      </c>
      <c r="N3541">
        <v>105.789779526529</v>
      </c>
      <c r="O3541">
        <v>86.362399132365098</v>
      </c>
      <c r="P3541">
        <v>120.36031482215201</v>
      </c>
      <c r="Q3541">
        <v>77.950956440801505</v>
      </c>
      <c r="R3541">
        <v>82.298316803105806</v>
      </c>
      <c r="S3541">
        <v>98.837924153187899</v>
      </c>
      <c r="T3541">
        <v>91.659094311625296</v>
      </c>
      <c r="U3541">
        <v>156.31174244964399</v>
      </c>
      <c r="V3541">
        <v>111.819350830403</v>
      </c>
      <c r="W3541">
        <v>121.651071696936</v>
      </c>
    </row>
    <row r="3542" spans="1:23" x14ac:dyDescent="0.2">
      <c r="A3542" t="s">
        <v>7085</v>
      </c>
      <c r="B3542" s="3" t="str">
        <f>HYPERLINK("http://www.ncbi.nlm.nih.gov/gene/18439","P2rx7")</f>
        <v>P2rx7</v>
      </c>
      <c r="C3542">
        <v>18439</v>
      </c>
      <c r="D3542" t="s">
        <v>7086</v>
      </c>
      <c r="E3542" s="3" t="str">
        <f>HYPERLINK("http://genome.ucsc.edu/cgi-bin/hgTracks?db=mm10&amp;lastVirtModeType=default&amp;lastVirtModeExtraState=&amp;virtModeType=default&amp;virtMode=0&amp;nonVirtPosition=&amp;position=chr5:122643910-122684289","chr5:122643910-122684289")</f>
        <v>chr5:122643910-122684289</v>
      </c>
      <c r="F3542" t="s">
        <v>30</v>
      </c>
      <c r="G3542">
        <v>-0.32517227265824</v>
      </c>
      <c r="H3542">
        <v>0.131222920364055</v>
      </c>
      <c r="I3542">
        <v>-2.4780142962533298</v>
      </c>
      <c r="J3542">
        <v>1.3211585148688299E-2</v>
      </c>
      <c r="K3542">
        <v>4.9817793974720803E-2</v>
      </c>
      <c r="L3542" t="s">
        <v>26</v>
      </c>
      <c r="M3542" t="s">
        <v>27</v>
      </c>
      <c r="N3542">
        <v>738.11912709376099</v>
      </c>
      <c r="O3542">
        <v>838.44294094602697</v>
      </c>
      <c r="P3542">
        <v>662.87626670456098</v>
      </c>
      <c r="Q3542">
        <v>833.51844137057003</v>
      </c>
      <c r="R3542">
        <v>725.51465458221799</v>
      </c>
      <c r="S3542">
        <v>956.29572688529402</v>
      </c>
      <c r="T3542">
        <v>664.52843375928296</v>
      </c>
      <c r="U3542">
        <v>620.964456306805</v>
      </c>
      <c r="V3542">
        <v>732.71100938869301</v>
      </c>
      <c r="W3542">
        <v>633.30116736346304</v>
      </c>
    </row>
    <row r="3543" spans="1:23" x14ac:dyDescent="0.2">
      <c r="A3543" t="s">
        <v>7087</v>
      </c>
      <c r="B3543" s="3" t="str">
        <f>HYPERLINK("http://www.ncbi.nlm.nih.gov/gene/234723","Txnl4b")</f>
        <v>Txnl4b</v>
      </c>
      <c r="C3543">
        <v>234723</v>
      </c>
      <c r="D3543" t="s">
        <v>7088</v>
      </c>
      <c r="E3543" s="3" t="str">
        <f>HYPERLINK("http://genome.ucsc.edu/cgi-bin/hgTracks?db=mm10&amp;lastVirtModeType=default&amp;lastVirtModeExtraState=&amp;virtModeType=default&amp;virtMode=0&amp;nonVirtPosition=&amp;position=chr8:109565891-109574051","chr8:109565891-109574051")</f>
        <v>chr8:109565891-109574051</v>
      </c>
      <c r="F3543" t="s">
        <v>30</v>
      </c>
      <c r="G3543">
        <v>-0.65454331444091396</v>
      </c>
      <c r="H3543">
        <v>0.26414068026362603</v>
      </c>
      <c r="I3543">
        <v>-2.47801025494311</v>
      </c>
      <c r="J3543">
        <v>1.32117347928855E-2</v>
      </c>
      <c r="K3543">
        <v>4.9817793974720803E-2</v>
      </c>
      <c r="L3543" t="s">
        <v>26</v>
      </c>
      <c r="M3543" t="s">
        <v>27</v>
      </c>
      <c r="N3543">
        <v>38.377992355402398</v>
      </c>
      <c r="O3543">
        <v>50.104323148137802</v>
      </c>
      <c r="P3543">
        <v>29.583244260850801</v>
      </c>
      <c r="Q3543">
        <v>52.338499324538098</v>
      </c>
      <c r="R3543">
        <v>59.163766918361802</v>
      </c>
      <c r="S3543">
        <v>38.810703201513597</v>
      </c>
      <c r="T3543">
        <v>27.497728293487601</v>
      </c>
      <c r="U3543">
        <v>27.836337696512</v>
      </c>
      <c r="V3543">
        <v>27.219184083716499</v>
      </c>
      <c r="W3543">
        <v>35.779726969687196</v>
      </c>
    </row>
    <row r="3544" spans="1:23" x14ac:dyDescent="0.2">
      <c r="A3544" t="s">
        <v>7089</v>
      </c>
      <c r="B3544" s="3" t="str">
        <f>HYPERLINK("http://www.ncbi.nlm.nih.gov/gene/74112","Usp16")</f>
        <v>Usp16</v>
      </c>
      <c r="C3544">
        <v>74112</v>
      </c>
      <c r="D3544" t="s">
        <v>7090</v>
      </c>
      <c r="E3544" s="3" t="str">
        <f>HYPERLINK("http://genome.ucsc.edu/cgi-bin/hgTracks?db=mm10&amp;lastVirtModeType=default&amp;lastVirtModeExtraState=&amp;virtModeType=default&amp;virtMode=0&amp;nonVirtPosition=&amp;position=chr16:87454984-87483513","chr16:87454984-87483513")</f>
        <v>chr16:87454984-87483513</v>
      </c>
      <c r="F3544" t="s">
        <v>30</v>
      </c>
      <c r="G3544">
        <v>0.37043447849411298</v>
      </c>
      <c r="H3544">
        <v>0.14949777613559301</v>
      </c>
      <c r="I3544">
        <v>2.4778594576425901</v>
      </c>
      <c r="J3544">
        <v>1.32173196822925E-2</v>
      </c>
      <c r="K3544">
        <v>4.9817793974720803E-2</v>
      </c>
      <c r="L3544" t="s">
        <v>26</v>
      </c>
      <c r="M3544" t="s">
        <v>27</v>
      </c>
      <c r="N3544">
        <v>273.12617819309202</v>
      </c>
      <c r="O3544">
        <v>230.681058369174</v>
      </c>
      <c r="P3544">
        <v>304.96001806103197</v>
      </c>
      <c r="Q3544">
        <v>195.99097619401499</v>
      </c>
      <c r="R3544">
        <v>230.58698901515399</v>
      </c>
      <c r="S3544">
        <v>265.46520989835301</v>
      </c>
      <c r="T3544">
        <v>320.80683009068798</v>
      </c>
      <c r="U3544">
        <v>338.31856584991499</v>
      </c>
      <c r="V3544">
        <v>268.51357271774401</v>
      </c>
      <c r="W3544">
        <v>292.20110358577898</v>
      </c>
    </row>
    <row r="3545" spans="1:23" x14ac:dyDescent="0.2">
      <c r="A3545" t="s">
        <v>7091</v>
      </c>
      <c r="B3545" s="3" t="str">
        <f>HYPERLINK("http://www.ncbi.nlm.nih.gov/gene/100043468","Zfp955b")</f>
        <v>Zfp955b</v>
      </c>
      <c r="C3545">
        <v>100043468</v>
      </c>
      <c r="D3545" t="s">
        <v>7092</v>
      </c>
      <c r="E3545" s="3" t="str">
        <f>HYPERLINK("http://genome.ucsc.edu/cgi-bin/hgTracks?db=mm10&amp;lastVirtModeType=default&amp;lastVirtModeExtraState=&amp;virtModeType=default&amp;virtMode=0&amp;nonVirtPosition=&amp;position=chr17:33289543-33304689","chr17:33289543-33304689")</f>
        <v>chr17:33289543-33304689</v>
      </c>
      <c r="F3545" t="s">
        <v>30</v>
      </c>
      <c r="G3545">
        <v>-0.86896287034969999</v>
      </c>
      <c r="H3545">
        <v>0.35069365203696201</v>
      </c>
      <c r="I3545">
        <v>-2.4778403181877802</v>
      </c>
      <c r="J3545">
        <v>1.32180286753927E-2</v>
      </c>
      <c r="K3545">
        <v>4.9817793974720803E-2</v>
      </c>
      <c r="L3545" t="s">
        <v>26</v>
      </c>
      <c r="M3545" t="s">
        <v>27</v>
      </c>
      <c r="N3545">
        <v>18.216428961543201</v>
      </c>
      <c r="O3545">
        <v>28.608110572397599</v>
      </c>
      <c r="P3545">
        <v>10.422667753402401</v>
      </c>
      <c r="Q3545">
        <v>25.055664570257601</v>
      </c>
      <c r="R3545">
        <v>29.202628543037498</v>
      </c>
      <c r="S3545">
        <v>31.566038603897699</v>
      </c>
      <c r="T3545">
        <v>0</v>
      </c>
      <c r="U3545">
        <v>6.4237702376566101</v>
      </c>
      <c r="V3545">
        <v>16.184379725453098</v>
      </c>
      <c r="W3545">
        <v>19.0825210504998</v>
      </c>
    </row>
    <row r="3546" spans="1:23" x14ac:dyDescent="0.2">
      <c r="A3546" t="s">
        <v>7093</v>
      </c>
      <c r="B3546" s="3" t="str">
        <f>HYPERLINK("http://www.ncbi.nlm.nih.gov/gene/74895","Ccdc181")</f>
        <v>Ccdc181</v>
      </c>
      <c r="C3546">
        <v>74895</v>
      </c>
      <c r="D3546" t="s">
        <v>7094</v>
      </c>
      <c r="E3546" s="3" t="str">
        <f>HYPERLINK("http://genome.ucsc.edu/cgi-bin/hgTracks?db=mm10&amp;lastVirtModeType=default&amp;lastVirtModeExtraState=&amp;virtModeType=default&amp;virtMode=0&amp;nonVirtPosition=&amp;position=chr1:164275597-164287847","chr1:164275597-164287847")</f>
        <v>chr1:164275597-164287847</v>
      </c>
      <c r="F3546" t="s">
        <v>30</v>
      </c>
      <c r="G3546">
        <v>-0.64060271199283603</v>
      </c>
      <c r="H3546">
        <v>0.25854701851156697</v>
      </c>
      <c r="I3546">
        <v>-2.4777029558520201</v>
      </c>
      <c r="J3546">
        <v>1.3223118048848801E-2</v>
      </c>
      <c r="K3546">
        <v>4.98229526708312E-2</v>
      </c>
      <c r="L3546" t="s">
        <v>26</v>
      </c>
      <c r="M3546" t="s">
        <v>27</v>
      </c>
      <c r="N3546">
        <v>49.1800355899206</v>
      </c>
      <c r="O3546">
        <v>60.990275777240498</v>
      </c>
      <c r="P3546">
        <v>40.322355449430702</v>
      </c>
      <c r="Q3546">
        <v>70.712653342727094</v>
      </c>
      <c r="R3546">
        <v>56.888237421501699</v>
      </c>
      <c r="S3546">
        <v>55.369936567492701</v>
      </c>
      <c r="T3546">
        <v>59.578411302556397</v>
      </c>
      <c r="U3546">
        <v>42.825134917710699</v>
      </c>
      <c r="V3546">
        <v>33.840066698674597</v>
      </c>
      <c r="W3546">
        <v>25.045808878780999</v>
      </c>
    </row>
    <row r="3547" spans="1:23" x14ac:dyDescent="0.2">
      <c r="A3547" t="s">
        <v>7095</v>
      </c>
      <c r="B3547" s="3" t="str">
        <f>HYPERLINK("http://www.ncbi.nlm.nih.gov/gene/12469","Cct8")</f>
        <v>Cct8</v>
      </c>
      <c r="C3547">
        <v>12469</v>
      </c>
      <c r="D3547" t="s">
        <v>7096</v>
      </c>
      <c r="E3547" s="3" t="str">
        <f>HYPERLINK("http://genome.ucsc.edu/cgi-bin/hgTracks?db=mm10&amp;lastVirtModeType=default&amp;lastVirtModeExtraState=&amp;virtModeType=default&amp;virtMode=0&amp;nonVirtPosition=&amp;position=chr16:87483324-87495869","chr16:87483324-87495869")</f>
        <v>chr16:87483324-87495869</v>
      </c>
      <c r="F3547" t="s">
        <v>25</v>
      </c>
      <c r="G3547">
        <v>-0.36568659093280598</v>
      </c>
      <c r="H3547">
        <v>0.147611854328004</v>
      </c>
      <c r="I3547">
        <v>-2.4773524633070698</v>
      </c>
      <c r="J3547">
        <v>1.3236111901001499E-2</v>
      </c>
      <c r="K3547">
        <v>4.9857883112886497E-2</v>
      </c>
      <c r="L3547" t="s">
        <v>26</v>
      </c>
      <c r="M3547" t="s">
        <v>27</v>
      </c>
      <c r="N3547">
        <v>994.80633838442498</v>
      </c>
      <c r="O3547">
        <v>1146.4699116310901</v>
      </c>
      <c r="P3547">
        <v>881.05865844942196</v>
      </c>
      <c r="Q3547">
        <v>893.09524379318304</v>
      </c>
      <c r="R3547">
        <v>1343.70016789587</v>
      </c>
      <c r="S3547">
        <v>1202.61432320423</v>
      </c>
      <c r="T3547">
        <v>843.26366766695298</v>
      </c>
      <c r="U3547">
        <v>933.58794120609298</v>
      </c>
      <c r="V3547">
        <v>888.66957765215</v>
      </c>
      <c r="W3547">
        <v>858.713447272493</v>
      </c>
    </row>
    <row r="3548" spans="1:23" x14ac:dyDescent="0.2">
      <c r="A3548" t="s">
        <v>7097</v>
      </c>
      <c r="B3548" s="3" t="str">
        <f>HYPERLINK("http://www.ncbi.nlm.nih.gov/gene/74478","Snx29")</f>
        <v>Snx29</v>
      </c>
      <c r="C3548">
        <v>74478</v>
      </c>
      <c r="D3548" t="s">
        <v>7098</v>
      </c>
      <c r="E3548" s="3" t="str">
        <f>HYPERLINK("http://genome.ucsc.edu/cgi-bin/hgTracks?db=mm10&amp;lastVirtModeType=default&amp;lastVirtModeExtraState=&amp;virtModeType=default&amp;virtMode=0&amp;nonVirtPosition=&amp;position=chr16:11322903-11755473","chr16:11322903-11755473")</f>
        <v>chr16:11322903-11755473</v>
      </c>
      <c r="F3548" t="s">
        <v>30</v>
      </c>
      <c r="G3548">
        <v>0.55167454879901501</v>
      </c>
      <c r="H3548">
        <v>0.222696238930713</v>
      </c>
      <c r="I3548">
        <v>2.4772513062991401</v>
      </c>
      <c r="J3548">
        <v>1.3239864205480701E-2</v>
      </c>
      <c r="K3548">
        <v>4.9857992569064202E-2</v>
      </c>
      <c r="L3548" t="s">
        <v>26</v>
      </c>
      <c r="M3548" t="s">
        <v>27</v>
      </c>
      <c r="N3548">
        <v>123.077774976887</v>
      </c>
      <c r="O3548">
        <v>93.735565674895</v>
      </c>
      <c r="P3548">
        <v>145.084431953381</v>
      </c>
      <c r="Q3548">
        <v>125.278322851288</v>
      </c>
      <c r="R3548">
        <v>64.852590660511893</v>
      </c>
      <c r="S3548">
        <v>91.075783512885195</v>
      </c>
      <c r="T3548">
        <v>178.735233907669</v>
      </c>
      <c r="U3548">
        <v>145.60545872021601</v>
      </c>
      <c r="V3548">
        <v>133.15330592304599</v>
      </c>
      <c r="W3548">
        <v>122.843729262593</v>
      </c>
    </row>
    <row r="3549" spans="1:23" x14ac:dyDescent="0.2">
      <c r="A3549" t="s">
        <v>7099</v>
      </c>
      <c r="B3549" s="3" t="str">
        <f>HYPERLINK("http://www.ncbi.nlm.nih.gov/gene/58998","Nectin3")</f>
        <v>Nectin3</v>
      </c>
      <c r="C3549">
        <v>58998</v>
      </c>
      <c r="D3549" t="s">
        <v>7100</v>
      </c>
      <c r="E3549" s="3" t="str">
        <f>HYPERLINK("http://genome.ucsc.edu/cgi-bin/hgTracks?db=mm10&amp;lastVirtModeType=default&amp;lastVirtModeExtraState=&amp;virtModeType=default&amp;virtMode=0&amp;nonVirtPosition=&amp;position=chr16:46394857-46496967","chr16:46394857-46496967")</f>
        <v>chr16:46394857-46496967</v>
      </c>
      <c r="F3549" t="s">
        <v>25</v>
      </c>
      <c r="G3549">
        <v>0.46147396222205</v>
      </c>
      <c r="H3549">
        <v>0.18629245061798999</v>
      </c>
      <c r="I3549">
        <v>2.47714795039303</v>
      </c>
      <c r="J3549">
        <v>1.3243699046894101E-2</v>
      </c>
      <c r="K3549">
        <v>4.9858412689614398E-2</v>
      </c>
      <c r="L3549" t="s">
        <v>26</v>
      </c>
      <c r="M3549" t="s">
        <v>27</v>
      </c>
      <c r="N3549">
        <v>164.14837312960299</v>
      </c>
      <c r="O3549">
        <v>131.95715258368801</v>
      </c>
      <c r="P3549">
        <v>188.29178853904</v>
      </c>
      <c r="Q3549">
        <v>167.594556347723</v>
      </c>
      <c r="R3549">
        <v>113.39721992686</v>
      </c>
      <c r="S3549">
        <v>114.87968147648</v>
      </c>
      <c r="T3549">
        <v>229.147735779063</v>
      </c>
      <c r="U3549">
        <v>160.59425594141501</v>
      </c>
      <c r="V3549">
        <v>171.40729436502599</v>
      </c>
      <c r="W3549">
        <v>192.017868070655</v>
      </c>
    </row>
    <row r="3550" spans="1:23" x14ac:dyDescent="0.2">
      <c r="A3550" t="s">
        <v>7101</v>
      </c>
      <c r="B3550" s="3" t="str">
        <f>HYPERLINK("http://www.ncbi.nlm.nih.gov/gene/13421","Dnase1l3")</f>
        <v>Dnase1l3</v>
      </c>
      <c r="C3550">
        <v>13421</v>
      </c>
      <c r="D3550" t="s">
        <v>7102</v>
      </c>
      <c r="E3550" s="3" t="str">
        <f>HYPERLINK("http://genome.ucsc.edu/cgi-bin/hgTracks?db=mm10&amp;lastVirtModeType=default&amp;lastVirtModeExtraState=&amp;virtModeType=default&amp;virtMode=0&amp;nonVirtPosition=&amp;position=chr14:7965189-7994182","chr14:7965189-7994182")</f>
        <v>chr14:7965189-7994182</v>
      </c>
      <c r="F3550" t="s">
        <v>25</v>
      </c>
      <c r="G3550">
        <v>0.98274805151697897</v>
      </c>
      <c r="H3550">
        <v>0.39677301447720598</v>
      </c>
      <c r="I3550">
        <v>2.4768520430046399</v>
      </c>
      <c r="J3550">
        <v>1.3254683607467E-2</v>
      </c>
      <c r="K3550">
        <v>4.9885741480491901E-2</v>
      </c>
      <c r="L3550" t="s">
        <v>26</v>
      </c>
      <c r="M3550" t="s">
        <v>27</v>
      </c>
      <c r="N3550">
        <v>15.2593104454615</v>
      </c>
      <c r="O3550">
        <v>3.8312916506585202</v>
      </c>
      <c r="P3550">
        <v>23.830324541563801</v>
      </c>
      <c r="Q3550">
        <v>5.0111329140515304</v>
      </c>
      <c r="R3550">
        <v>4.9303139098634796</v>
      </c>
      <c r="S3550">
        <v>1.5524281280605401</v>
      </c>
      <c r="T3550">
        <v>73.327275449300203</v>
      </c>
      <c r="U3550">
        <v>4.2825134917710699</v>
      </c>
      <c r="V3550">
        <v>2.2069608716526901</v>
      </c>
      <c r="W3550">
        <v>15.504548353531099</v>
      </c>
    </row>
    <row r="3551" spans="1:23" x14ac:dyDescent="0.2">
      <c r="A3551" t="s">
        <v>7103</v>
      </c>
      <c r="B3551" s="3" t="str">
        <f>HYPERLINK("http://www.ncbi.nlm.nih.gov/gene/231887","Pdap1")</f>
        <v>Pdap1</v>
      </c>
      <c r="C3551">
        <v>231887</v>
      </c>
      <c r="D3551" t="s">
        <v>7104</v>
      </c>
      <c r="E3551" s="3" t="str">
        <f>HYPERLINK("http://genome.ucsc.edu/cgi-bin/hgTracks?db=mm10&amp;lastVirtModeType=default&amp;lastVirtModeExtraState=&amp;virtModeType=default&amp;virtMode=0&amp;nonVirtPosition=&amp;position=chr5:145128769-145140089","chr5:145128769-145140089")</f>
        <v>chr5:145128769-145140089</v>
      </c>
      <c r="F3551" t="s">
        <v>25</v>
      </c>
      <c r="G3551">
        <v>-0.47155604353944602</v>
      </c>
      <c r="H3551">
        <v>0.19041048359448701</v>
      </c>
      <c r="I3551">
        <v>-2.4765235329358699</v>
      </c>
      <c r="J3551">
        <v>1.3266887866100099E-2</v>
      </c>
      <c r="K3551">
        <v>4.99176441177148E-2</v>
      </c>
      <c r="L3551" t="s">
        <v>26</v>
      </c>
      <c r="M3551" t="s">
        <v>27</v>
      </c>
      <c r="N3551">
        <v>241.71149345426801</v>
      </c>
      <c r="O3551">
        <v>290.17953207581297</v>
      </c>
      <c r="P3551">
        <v>205.36046448810899</v>
      </c>
      <c r="Q3551">
        <v>205.45644947611299</v>
      </c>
      <c r="R3551">
        <v>365.98099407832802</v>
      </c>
      <c r="S3551">
        <v>299.10115267299801</v>
      </c>
      <c r="T3551">
        <v>201.650007485576</v>
      </c>
      <c r="U3551">
        <v>207.701904350897</v>
      </c>
      <c r="V3551">
        <v>189.062981338247</v>
      </c>
      <c r="W3551">
        <v>223.02696477771701</v>
      </c>
    </row>
    <row r="3552" spans="1:23" x14ac:dyDescent="0.2">
      <c r="A3552" t="s">
        <v>7105</v>
      </c>
      <c r="B3552" s="3" t="str">
        <f>HYPERLINK("http://www.ncbi.nlm.nih.gov/gene/67553","Gstcd")</f>
        <v>Gstcd</v>
      </c>
      <c r="C3552">
        <v>67553</v>
      </c>
      <c r="D3552" t="s">
        <v>7106</v>
      </c>
      <c r="E3552" s="3" t="str">
        <f>HYPERLINK("http://genome.ucsc.edu/cgi-bin/hgTracks?db=mm10&amp;lastVirtModeType=default&amp;lastVirtModeExtraState=&amp;virtModeType=default&amp;virtMode=0&amp;nonVirtPosition=&amp;position=chr3:132982550-133091740","chr3:132982550-133091740")</f>
        <v>chr3:132982550-133091740</v>
      </c>
      <c r="F3552" t="s">
        <v>25</v>
      </c>
      <c r="G3552">
        <v>0.48533013180706402</v>
      </c>
      <c r="H3552">
        <v>0.19602404834074899</v>
      </c>
      <c r="I3552">
        <v>2.4758703634332302</v>
      </c>
      <c r="J3552">
        <v>1.3291182846140601E-2</v>
      </c>
      <c r="K3552">
        <v>4.9995008284457701E-2</v>
      </c>
      <c r="L3552" t="s">
        <v>26</v>
      </c>
      <c r="M3552" t="s">
        <v>27</v>
      </c>
      <c r="N3552">
        <v>120.817848004589</v>
      </c>
      <c r="O3552">
        <v>97.528316800784907</v>
      </c>
      <c r="P3552">
        <v>138.28499640744201</v>
      </c>
      <c r="Q3552">
        <v>71.269445888732804</v>
      </c>
      <c r="R3552">
        <v>101.261062610273</v>
      </c>
      <c r="S3552">
        <v>120.054441903349</v>
      </c>
      <c r="T3552">
        <v>123.739777320694</v>
      </c>
      <c r="U3552">
        <v>143.46420197433099</v>
      </c>
      <c r="V3552">
        <v>146.395071152962</v>
      </c>
      <c r="W3552">
        <v>139.54093518177999</v>
      </c>
    </row>
    <row r="3553" spans="1:23" x14ac:dyDescent="0.2">
      <c r="A3553" t="s">
        <v>7107</v>
      </c>
      <c r="B3553" s="3" t="str">
        <f>HYPERLINK("http://www.ncbi.nlm.nih.gov/gene/77045","Bcl7a")</f>
        <v>Bcl7a</v>
      </c>
      <c r="C3553">
        <v>77045</v>
      </c>
      <c r="D3553" t="s">
        <v>7108</v>
      </c>
      <c r="E3553" s="3" t="str">
        <f>HYPERLINK("http://genome.ucsc.edu/cgi-bin/hgTracks?db=mm10&amp;lastVirtModeType=default&amp;lastVirtModeExtraState=&amp;virtModeType=default&amp;virtMode=0&amp;nonVirtPosition=&amp;position=chr5:123344447-123374083","chr5:123344447-123374083")</f>
        <v>chr5:123344447-123374083</v>
      </c>
      <c r="F3553" t="s">
        <v>30</v>
      </c>
      <c r="G3553">
        <v>0.352333556346136</v>
      </c>
      <c r="H3553">
        <v>0.14231798659384001</v>
      </c>
      <c r="I3553">
        <v>2.4756783367913799</v>
      </c>
      <c r="J3553">
        <v>1.3298332854035901E-2</v>
      </c>
      <c r="K3553">
        <v>4.9998844212839601E-2</v>
      </c>
      <c r="L3553" t="s">
        <v>26</v>
      </c>
      <c r="M3553" t="s">
        <v>27</v>
      </c>
      <c r="N3553">
        <v>273.311571277778</v>
      </c>
      <c r="O3553">
        <v>232.458222207782</v>
      </c>
      <c r="P3553">
        <v>303.95158308027499</v>
      </c>
      <c r="Q3553">
        <v>221.603433310279</v>
      </c>
      <c r="R3553">
        <v>223.76040052457299</v>
      </c>
      <c r="S3553">
        <v>252.01083278849501</v>
      </c>
      <c r="T3553">
        <v>339.13864895301401</v>
      </c>
      <c r="U3553">
        <v>327.61228212048701</v>
      </c>
      <c r="V3553">
        <v>304.56060028807099</v>
      </c>
      <c r="W3553">
        <v>244.49480095952899</v>
      </c>
    </row>
    <row r="3554" spans="1:23" x14ac:dyDescent="0.2">
      <c r="A3554" t="s">
        <v>7109</v>
      </c>
      <c r="B3554" s="3" t="str">
        <f>HYPERLINK("http://www.ncbi.nlm.nih.gov/gene/58996","Arhgap23")</f>
        <v>Arhgap23</v>
      </c>
      <c r="C3554">
        <v>58996</v>
      </c>
      <c r="D3554" t="s">
        <v>7110</v>
      </c>
      <c r="E3554" s="3" t="str">
        <f>HYPERLINK("http://genome.ucsc.edu/cgi-bin/hgTracks?db=mm10&amp;lastVirtModeType=default&amp;lastVirtModeExtraState=&amp;virtModeType=default&amp;virtMode=0&amp;nonVirtPosition=&amp;position=chr11:97450159-97502400","chr11:97450159-97502400")</f>
        <v>chr11:97450159-97502400</v>
      </c>
      <c r="F3554" t="s">
        <v>30</v>
      </c>
      <c r="G3554">
        <v>0.46223492971096503</v>
      </c>
      <c r="H3554">
        <v>0.18671312298298101</v>
      </c>
      <c r="I3554">
        <v>2.4756424311594798</v>
      </c>
      <c r="J3554">
        <v>1.32996701580266E-2</v>
      </c>
      <c r="K3554">
        <v>4.9998844212839601E-2</v>
      </c>
      <c r="L3554" t="s">
        <v>26</v>
      </c>
      <c r="M3554" t="s">
        <v>27</v>
      </c>
      <c r="N3554">
        <v>289.50627771195599</v>
      </c>
      <c r="O3554">
        <v>237.514975359608</v>
      </c>
      <c r="P3554">
        <v>328.49975447621802</v>
      </c>
      <c r="Q3554">
        <v>284.52099100892502</v>
      </c>
      <c r="R3554">
        <v>168.76843768378799</v>
      </c>
      <c r="S3554">
        <v>259.25549738611102</v>
      </c>
      <c r="T3554">
        <v>270.39432821929501</v>
      </c>
      <c r="U3554">
        <v>325.47102537460103</v>
      </c>
      <c r="V3554">
        <v>381.80423079591498</v>
      </c>
      <c r="W3554">
        <v>336.32943351505997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N_CRE_vs_NEL_CRE_Differential_E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Priyam Patel</dc:creator>
  <cp:lastModifiedBy>Microsoft Office User</cp:lastModifiedBy>
  <dcterms:created xsi:type="dcterms:W3CDTF">2020-04-06T19:25:41Z</dcterms:created>
  <dcterms:modified xsi:type="dcterms:W3CDTF">2021-11-03T20:11:51Z</dcterms:modified>
</cp:coreProperties>
</file>