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5D6E5A68-0B19-44A9-8594-A1E5DA4EE80F}" xr6:coauthVersionLast="43" xr6:coauthVersionMax="43" xr10:uidLastSave="{00000000-0000-0000-0000-000000000000}"/>
  <bookViews>
    <workbookView xWindow="-120" yWindow="-120" windowWidth="24240" windowHeight="13140" activeTab="5" xr2:uid="{00000000-000D-0000-FFFF-FFFF00000000}"/>
  </bookViews>
  <sheets>
    <sheet name="Figure 3B" sheetId="1" r:id="rId1"/>
    <sheet name="Figure 3C" sheetId="2" r:id="rId2"/>
    <sheet name="Figure 3D" sheetId="3" r:id="rId3"/>
    <sheet name="Figure 3E" sheetId="4" r:id="rId4"/>
    <sheet name="Figure 9A-E" sheetId="5" r:id="rId5"/>
    <sheet name="Figure 9F-J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6" l="1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I39" i="6"/>
  <c r="H39" i="6"/>
  <c r="K39" i="6" s="1"/>
  <c r="I38" i="6"/>
  <c r="H38" i="6"/>
  <c r="I37" i="6"/>
  <c r="H37" i="6"/>
  <c r="K37" i="6" s="1"/>
  <c r="I36" i="6"/>
  <c r="H36" i="6"/>
  <c r="I35" i="6"/>
  <c r="H35" i="6"/>
  <c r="J35" i="6" s="1"/>
  <c r="I34" i="6"/>
  <c r="H34" i="6"/>
  <c r="K34" i="6" s="1"/>
  <c r="K33" i="6"/>
  <c r="I33" i="6"/>
  <c r="H33" i="6"/>
  <c r="J33" i="6" s="1"/>
  <c r="I32" i="6"/>
  <c r="H32" i="6"/>
  <c r="K32" i="6" s="1"/>
  <c r="I31" i="6"/>
  <c r="H31" i="6"/>
  <c r="K30" i="6"/>
  <c r="J30" i="6"/>
  <c r="I30" i="6"/>
  <c r="H30" i="6"/>
  <c r="I29" i="6"/>
  <c r="H29" i="6"/>
  <c r="J29" i="6" s="1"/>
  <c r="I28" i="6"/>
  <c r="H28" i="6"/>
  <c r="J27" i="6"/>
  <c r="I27" i="6"/>
  <c r="H27" i="6"/>
  <c r="I26" i="6"/>
  <c r="H26" i="6"/>
  <c r="I25" i="6"/>
  <c r="K25" i="6" s="1"/>
  <c r="H25" i="6"/>
  <c r="J25" i="6" s="1"/>
  <c r="I24" i="6"/>
  <c r="H24" i="6"/>
  <c r="K24" i="6" s="1"/>
  <c r="J23" i="6"/>
  <c r="I23" i="6"/>
  <c r="H23" i="6"/>
  <c r="K23" i="6" s="1"/>
  <c r="I22" i="6"/>
  <c r="H22" i="6"/>
  <c r="J22" i="6" s="1"/>
  <c r="I21" i="6"/>
  <c r="H21" i="6"/>
  <c r="J21" i="6" s="1"/>
  <c r="I20" i="6"/>
  <c r="H20" i="6"/>
  <c r="K20" i="6" s="1"/>
  <c r="J19" i="6"/>
  <c r="I19" i="6"/>
  <c r="H19" i="6"/>
  <c r="I18" i="6"/>
  <c r="H18" i="6"/>
  <c r="K18" i="6" s="1"/>
  <c r="K17" i="6"/>
  <c r="I17" i="6"/>
  <c r="H17" i="6"/>
  <c r="J17" i="6" s="1"/>
  <c r="I16" i="6"/>
  <c r="H16" i="6"/>
  <c r="K16" i="6" s="1"/>
  <c r="I15" i="6"/>
  <c r="H15" i="6"/>
  <c r="K15" i="6" s="1"/>
  <c r="K14" i="6"/>
  <c r="I14" i="6"/>
  <c r="H14" i="6"/>
  <c r="J14" i="6" s="1"/>
  <c r="I13" i="6"/>
  <c r="H13" i="6"/>
  <c r="J13" i="6" s="1"/>
  <c r="I12" i="6"/>
  <c r="H12" i="6"/>
  <c r="I11" i="6"/>
  <c r="H11" i="6"/>
  <c r="J11" i="6" s="1"/>
  <c r="I10" i="6"/>
  <c r="H10" i="6"/>
  <c r="K10" i="6" s="1"/>
  <c r="K9" i="6"/>
  <c r="I9" i="6"/>
  <c r="H9" i="6"/>
  <c r="J9" i="6" s="1"/>
  <c r="I8" i="6"/>
  <c r="H8" i="6"/>
  <c r="K8" i="6" s="1"/>
  <c r="I7" i="6"/>
  <c r="H7" i="6"/>
  <c r="J7" i="6" s="1"/>
  <c r="K6" i="6"/>
  <c r="J6" i="6"/>
  <c r="I6" i="6"/>
  <c r="H6" i="6"/>
  <c r="I5" i="6"/>
  <c r="K5" i="6" s="1"/>
  <c r="H5" i="6"/>
  <c r="J5" i="6" s="1"/>
  <c r="I4" i="6"/>
  <c r="H4" i="6"/>
  <c r="K4" i="6" s="1"/>
  <c r="J3" i="6"/>
  <c r="I3" i="6"/>
  <c r="H3" i="6"/>
  <c r="E33" i="6"/>
  <c r="D33" i="6"/>
  <c r="E32" i="6"/>
  <c r="D32" i="6"/>
  <c r="E31" i="6"/>
  <c r="D31" i="6"/>
  <c r="E30" i="6"/>
  <c r="D30" i="6"/>
  <c r="E29" i="6"/>
  <c r="D29" i="6"/>
  <c r="E28" i="6"/>
  <c r="D28" i="6"/>
  <c r="C27" i="6"/>
  <c r="B27" i="6"/>
  <c r="C26" i="6"/>
  <c r="B26" i="6"/>
  <c r="D26" i="6" s="1"/>
  <c r="C25" i="6"/>
  <c r="B25" i="6"/>
  <c r="D25" i="6" s="1"/>
  <c r="C24" i="6"/>
  <c r="B24" i="6"/>
  <c r="E24" i="6" s="1"/>
  <c r="C23" i="6"/>
  <c r="B23" i="6"/>
  <c r="D23" i="6" s="1"/>
  <c r="C22" i="6"/>
  <c r="B22" i="6"/>
  <c r="E22" i="6" s="1"/>
  <c r="C21" i="6"/>
  <c r="B21" i="6"/>
  <c r="D21" i="6" s="1"/>
  <c r="C20" i="6"/>
  <c r="B20" i="6"/>
  <c r="E20" i="6" s="1"/>
  <c r="C19" i="6"/>
  <c r="B19" i="6"/>
  <c r="C18" i="6"/>
  <c r="B18" i="6"/>
  <c r="D18" i="6" s="1"/>
  <c r="C17" i="6"/>
  <c r="B17" i="6"/>
  <c r="D17" i="6" s="1"/>
  <c r="C16" i="6"/>
  <c r="B16" i="6"/>
  <c r="C15" i="6"/>
  <c r="B15" i="6"/>
  <c r="D15" i="6" s="1"/>
  <c r="C14" i="6"/>
  <c r="B14" i="6"/>
  <c r="E14" i="6" s="1"/>
  <c r="C13" i="6"/>
  <c r="B13" i="6"/>
  <c r="D13" i="6" s="1"/>
  <c r="C12" i="6"/>
  <c r="B12" i="6"/>
  <c r="C11" i="6"/>
  <c r="B11" i="6"/>
  <c r="C10" i="6"/>
  <c r="B10" i="6"/>
  <c r="E10" i="6" s="1"/>
  <c r="C9" i="6"/>
  <c r="B9" i="6"/>
  <c r="D9" i="6" s="1"/>
  <c r="C8" i="6"/>
  <c r="B8" i="6"/>
  <c r="C7" i="6"/>
  <c r="B7" i="6"/>
  <c r="D7" i="6" s="1"/>
  <c r="C6" i="6"/>
  <c r="B6" i="6"/>
  <c r="C5" i="6"/>
  <c r="B5" i="6"/>
  <c r="D5" i="6" s="1"/>
  <c r="C4" i="6"/>
  <c r="B4" i="6"/>
  <c r="C3" i="6"/>
  <c r="B3" i="6"/>
  <c r="E3" i="6" s="1"/>
  <c r="E5" i="6" l="1"/>
  <c r="E12" i="6"/>
  <c r="E27" i="6"/>
  <c r="K12" i="6"/>
  <c r="E6" i="6"/>
  <c r="J15" i="6"/>
  <c r="K28" i="6"/>
  <c r="K31" i="6"/>
  <c r="K38" i="6"/>
  <c r="K13" i="6"/>
  <c r="K22" i="6"/>
  <c r="J38" i="6"/>
  <c r="K26" i="6"/>
  <c r="J10" i="6"/>
  <c r="E8" i="6"/>
  <c r="K36" i="6"/>
  <c r="K3" i="6"/>
  <c r="J8" i="6"/>
  <c r="K11" i="6"/>
  <c r="J16" i="6"/>
  <c r="K19" i="6"/>
  <c r="J24" i="6"/>
  <c r="K27" i="6"/>
  <c r="J32" i="6"/>
  <c r="K35" i="6"/>
  <c r="J37" i="6"/>
  <c r="J18" i="6"/>
  <c r="K21" i="6"/>
  <c r="J26" i="6"/>
  <c r="K29" i="6"/>
  <c r="J34" i="6"/>
  <c r="J31" i="6"/>
  <c r="J39" i="6"/>
  <c r="J4" i="6"/>
  <c r="K7" i="6"/>
  <c r="J12" i="6"/>
  <c r="J20" i="6"/>
  <c r="J28" i="6"/>
  <c r="J36" i="6"/>
  <c r="E13" i="6"/>
  <c r="E4" i="6"/>
  <c r="D10" i="6"/>
  <c r="E11" i="6"/>
  <c r="E18" i="6"/>
  <c r="E21" i="6"/>
  <c r="E16" i="6"/>
  <c r="E19" i="6"/>
  <c r="E26" i="6"/>
  <c r="D4" i="6"/>
  <c r="E7" i="6"/>
  <c r="D12" i="6"/>
  <c r="E15" i="6"/>
  <c r="D20" i="6"/>
  <c r="E23" i="6"/>
  <c r="D6" i="6"/>
  <c r="E9" i="6"/>
  <c r="D14" i="6"/>
  <c r="E17" i="6"/>
  <c r="D22" i="6"/>
  <c r="E25" i="6"/>
  <c r="D3" i="6"/>
  <c r="D11" i="6"/>
  <c r="D19" i="6"/>
  <c r="D27" i="6"/>
  <c r="D8" i="6"/>
  <c r="D16" i="6"/>
  <c r="D24" i="6"/>
  <c r="I51" i="5"/>
  <c r="H51" i="5"/>
  <c r="K51" i="5" s="1"/>
  <c r="I50" i="5"/>
  <c r="H50" i="5"/>
  <c r="I49" i="5"/>
  <c r="H49" i="5"/>
  <c r="K49" i="5" s="1"/>
  <c r="I48" i="5"/>
  <c r="H48" i="5"/>
  <c r="I47" i="5"/>
  <c r="H47" i="5"/>
  <c r="J47" i="5" s="1"/>
  <c r="I46" i="5"/>
  <c r="H46" i="5"/>
  <c r="I45" i="5"/>
  <c r="H45" i="5"/>
  <c r="K45" i="5" s="1"/>
  <c r="J44" i="5"/>
  <c r="I44" i="5"/>
  <c r="H44" i="5"/>
  <c r="I43" i="5"/>
  <c r="H43" i="5"/>
  <c r="K43" i="5" s="1"/>
  <c r="I42" i="5"/>
  <c r="H42" i="5"/>
  <c r="I41" i="5"/>
  <c r="H41" i="5"/>
  <c r="J41" i="5" s="1"/>
  <c r="I40" i="5"/>
  <c r="H40" i="5"/>
  <c r="K40" i="5" s="1"/>
  <c r="K39" i="5"/>
  <c r="I39" i="5"/>
  <c r="H39" i="5"/>
  <c r="J39" i="5" s="1"/>
  <c r="I38" i="5"/>
  <c r="H38" i="5"/>
  <c r="K38" i="5" s="1"/>
  <c r="I37" i="5"/>
  <c r="H37" i="5"/>
  <c r="I36" i="5"/>
  <c r="K36" i="5" s="1"/>
  <c r="H36" i="5"/>
  <c r="J36" i="5" s="1"/>
  <c r="I35" i="5"/>
  <c r="H35" i="5"/>
  <c r="K35" i="5" s="1"/>
  <c r="D35" i="5"/>
  <c r="C35" i="5"/>
  <c r="B35" i="5"/>
  <c r="J34" i="5"/>
  <c r="I34" i="5"/>
  <c r="H34" i="5"/>
  <c r="C34" i="5"/>
  <c r="B34" i="5"/>
  <c r="E34" i="5" s="1"/>
  <c r="K33" i="5"/>
  <c r="I33" i="5"/>
  <c r="H33" i="5"/>
  <c r="J33" i="5" s="1"/>
  <c r="C33" i="5"/>
  <c r="B33" i="5"/>
  <c r="I32" i="5"/>
  <c r="H32" i="5"/>
  <c r="K32" i="5" s="1"/>
  <c r="C32" i="5"/>
  <c r="E32" i="5" s="1"/>
  <c r="B32" i="5"/>
  <c r="D32" i="5" s="1"/>
  <c r="I31" i="5"/>
  <c r="H31" i="5"/>
  <c r="K31" i="5" s="1"/>
  <c r="D31" i="5"/>
  <c r="C31" i="5"/>
  <c r="B31" i="5"/>
  <c r="I30" i="5"/>
  <c r="H30" i="5"/>
  <c r="J30" i="5" s="1"/>
  <c r="C30" i="5"/>
  <c r="B30" i="5"/>
  <c r="E30" i="5" s="1"/>
  <c r="K29" i="5"/>
  <c r="I29" i="5"/>
  <c r="H29" i="5"/>
  <c r="J29" i="5" s="1"/>
  <c r="C29" i="5"/>
  <c r="B29" i="5"/>
  <c r="I28" i="5"/>
  <c r="H28" i="5"/>
  <c r="D28" i="5"/>
  <c r="C28" i="5"/>
  <c r="E28" i="5" s="1"/>
  <c r="B28" i="5"/>
  <c r="I27" i="5"/>
  <c r="H27" i="5"/>
  <c r="K27" i="5" s="1"/>
  <c r="D27" i="5"/>
  <c r="C27" i="5"/>
  <c r="B27" i="5"/>
  <c r="J26" i="5"/>
  <c r="I26" i="5"/>
  <c r="H26" i="5"/>
  <c r="C26" i="5"/>
  <c r="B26" i="5"/>
  <c r="E26" i="5" s="1"/>
  <c r="K25" i="5"/>
  <c r="I25" i="5"/>
  <c r="H25" i="5"/>
  <c r="J25" i="5" s="1"/>
  <c r="C25" i="5"/>
  <c r="B25" i="5"/>
  <c r="I24" i="5"/>
  <c r="H24" i="5"/>
  <c r="K24" i="5" s="1"/>
  <c r="C24" i="5"/>
  <c r="B24" i="5"/>
  <c r="D24" i="5" s="1"/>
  <c r="I23" i="5"/>
  <c r="H23" i="5"/>
  <c r="K23" i="5" s="1"/>
  <c r="C23" i="5"/>
  <c r="B23" i="5"/>
  <c r="D23" i="5" s="1"/>
  <c r="J22" i="5"/>
  <c r="I22" i="5"/>
  <c r="H22" i="5"/>
  <c r="C22" i="5"/>
  <c r="B22" i="5"/>
  <c r="E22" i="5" s="1"/>
  <c r="I21" i="5"/>
  <c r="H21" i="5"/>
  <c r="J21" i="5" s="1"/>
  <c r="C21" i="5"/>
  <c r="B21" i="5"/>
  <c r="J20" i="5"/>
  <c r="I20" i="5"/>
  <c r="H20" i="5"/>
  <c r="D20" i="5"/>
  <c r="C20" i="5"/>
  <c r="B20" i="5"/>
  <c r="I19" i="5"/>
  <c r="H19" i="5"/>
  <c r="K19" i="5" s="1"/>
  <c r="D19" i="5"/>
  <c r="C19" i="5"/>
  <c r="B19" i="5"/>
  <c r="J18" i="5"/>
  <c r="I18" i="5"/>
  <c r="H18" i="5"/>
  <c r="C18" i="5"/>
  <c r="B18" i="5"/>
  <c r="E18" i="5" s="1"/>
  <c r="I17" i="5"/>
  <c r="H17" i="5"/>
  <c r="J17" i="5" s="1"/>
  <c r="C17" i="5"/>
  <c r="B17" i="5"/>
  <c r="I16" i="5"/>
  <c r="H16" i="5"/>
  <c r="J16" i="5" s="1"/>
  <c r="D16" i="5"/>
  <c r="C16" i="5"/>
  <c r="B16" i="5"/>
  <c r="I15" i="5"/>
  <c r="H15" i="5"/>
  <c r="K15" i="5" s="1"/>
  <c r="C15" i="5"/>
  <c r="B15" i="5"/>
  <c r="E15" i="5" s="1"/>
  <c r="J14" i="5"/>
  <c r="I14" i="5"/>
  <c r="H14" i="5"/>
  <c r="C14" i="5"/>
  <c r="B14" i="5"/>
  <c r="E14" i="5" s="1"/>
  <c r="I13" i="5"/>
  <c r="H13" i="5"/>
  <c r="J13" i="5" s="1"/>
  <c r="C13" i="5"/>
  <c r="B13" i="5"/>
  <c r="J12" i="5"/>
  <c r="I12" i="5"/>
  <c r="H12" i="5"/>
  <c r="D12" i="5"/>
  <c r="C12" i="5"/>
  <c r="B12" i="5"/>
  <c r="E12" i="5" s="1"/>
  <c r="I11" i="5"/>
  <c r="H11" i="5"/>
  <c r="K11" i="5" s="1"/>
  <c r="D11" i="5"/>
  <c r="C11" i="5"/>
  <c r="B11" i="5"/>
  <c r="I10" i="5"/>
  <c r="H10" i="5"/>
  <c r="J10" i="5" s="1"/>
  <c r="C10" i="5"/>
  <c r="B10" i="5"/>
  <c r="I9" i="5"/>
  <c r="H9" i="5"/>
  <c r="J9" i="5" s="1"/>
  <c r="C9" i="5"/>
  <c r="B9" i="5"/>
  <c r="J8" i="5"/>
  <c r="I8" i="5"/>
  <c r="H8" i="5"/>
  <c r="C8" i="5"/>
  <c r="B8" i="5"/>
  <c r="E8" i="5" s="1"/>
  <c r="I7" i="5"/>
  <c r="H7" i="5"/>
  <c r="K7" i="5" s="1"/>
  <c r="D7" i="5"/>
  <c r="C7" i="5"/>
  <c r="B7" i="5"/>
  <c r="I6" i="5"/>
  <c r="H6" i="5"/>
  <c r="J6" i="5" s="1"/>
  <c r="C6" i="5"/>
  <c r="B6" i="5"/>
  <c r="I5" i="5"/>
  <c r="H5" i="5"/>
  <c r="J5" i="5" s="1"/>
  <c r="C5" i="5"/>
  <c r="B5" i="5"/>
  <c r="I4" i="5"/>
  <c r="H4" i="5"/>
  <c r="J4" i="5" s="1"/>
  <c r="C4" i="5"/>
  <c r="B4" i="5"/>
  <c r="D4" i="5" s="1"/>
  <c r="I3" i="5"/>
  <c r="H3" i="5"/>
  <c r="D3" i="5"/>
  <c r="C3" i="5"/>
  <c r="B3" i="5"/>
  <c r="F32" i="4"/>
  <c r="F31" i="4"/>
  <c r="F30" i="4"/>
  <c r="F29" i="4"/>
  <c r="F28" i="4"/>
  <c r="F27" i="4"/>
  <c r="F26" i="4"/>
  <c r="F25" i="4"/>
  <c r="F31" i="3"/>
  <c r="F30" i="3"/>
  <c r="F29" i="3"/>
  <c r="F28" i="3"/>
  <c r="F27" i="3"/>
  <c r="F26" i="3"/>
  <c r="F25" i="3"/>
  <c r="F24" i="3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3" i="2"/>
  <c r="F22" i="2"/>
  <c r="F21" i="2"/>
  <c r="F20" i="2"/>
  <c r="F19" i="2"/>
  <c r="F18" i="2"/>
  <c r="F17" i="2"/>
  <c r="F16" i="2"/>
  <c r="C15" i="2"/>
  <c r="C14" i="2"/>
  <c r="C13" i="2"/>
  <c r="C12" i="2"/>
  <c r="C11" i="2"/>
  <c r="F31" i="2"/>
  <c r="C39" i="2"/>
  <c r="C31" i="2"/>
  <c r="C23" i="2"/>
  <c r="C10" i="2"/>
  <c r="F30" i="2"/>
  <c r="C38" i="2"/>
  <c r="C30" i="2"/>
  <c r="C22" i="2"/>
  <c r="C9" i="2"/>
  <c r="F29" i="2"/>
  <c r="C37" i="2"/>
  <c r="C29" i="2"/>
  <c r="C21" i="2"/>
  <c r="C8" i="2"/>
  <c r="F28" i="2"/>
  <c r="C36" i="2"/>
  <c r="C28" i="2"/>
  <c r="C20" i="2"/>
  <c r="C7" i="2"/>
  <c r="F27" i="2"/>
  <c r="C35" i="2"/>
  <c r="C27" i="2"/>
  <c r="C19" i="2"/>
  <c r="C6" i="2"/>
  <c r="F26" i="2"/>
  <c r="C34" i="2"/>
  <c r="C26" i="2"/>
  <c r="C18" i="2"/>
  <c r="C5" i="2"/>
  <c r="F25" i="2"/>
  <c r="C33" i="2"/>
  <c r="C25" i="2"/>
  <c r="C17" i="2"/>
  <c r="C4" i="2"/>
  <c r="F24" i="2"/>
  <c r="C32" i="2"/>
  <c r="C24" i="2"/>
  <c r="C16" i="2"/>
  <c r="C3" i="2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E6" i="5" l="1"/>
  <c r="E16" i="5"/>
  <c r="E24" i="5"/>
  <c r="K48" i="5"/>
  <c r="E10" i="5"/>
  <c r="K42" i="5"/>
  <c r="E7" i="5"/>
  <c r="D15" i="5"/>
  <c r="E20" i="5"/>
  <c r="J24" i="5"/>
  <c r="K50" i="5"/>
  <c r="K3" i="5"/>
  <c r="E11" i="5"/>
  <c r="K20" i="5"/>
  <c r="K28" i="5"/>
  <c r="K37" i="5"/>
  <c r="E3" i="5"/>
  <c r="E4" i="5"/>
  <c r="K5" i="5"/>
  <c r="K9" i="5"/>
  <c r="K13" i="5"/>
  <c r="K17" i="5"/>
  <c r="K21" i="5"/>
  <c r="K46" i="5"/>
  <c r="J28" i="5"/>
  <c r="J32" i="5"/>
  <c r="K44" i="5"/>
  <c r="K4" i="5"/>
  <c r="K8" i="5"/>
  <c r="K12" i="5"/>
  <c r="K16" i="5"/>
  <c r="J37" i="5"/>
  <c r="J42" i="5"/>
  <c r="E5" i="5"/>
  <c r="E9" i="5"/>
  <c r="E13" i="5"/>
  <c r="E17" i="5"/>
  <c r="E21" i="5"/>
  <c r="E25" i="5"/>
  <c r="E29" i="5"/>
  <c r="E33" i="5"/>
  <c r="K47" i="5"/>
  <c r="J50" i="5"/>
  <c r="D8" i="5"/>
  <c r="J45" i="5"/>
  <c r="E19" i="5"/>
  <c r="E23" i="5"/>
  <c r="E27" i="5"/>
  <c r="E31" i="5"/>
  <c r="E35" i="5"/>
  <c r="J49" i="5"/>
  <c r="D5" i="5"/>
  <c r="K6" i="5"/>
  <c r="D9" i="5"/>
  <c r="K10" i="5"/>
  <c r="D13" i="5"/>
  <c r="K14" i="5"/>
  <c r="D17" i="5"/>
  <c r="K18" i="5"/>
  <c r="D21" i="5"/>
  <c r="K22" i="5"/>
  <c r="D25" i="5"/>
  <c r="K26" i="5"/>
  <c r="D29" i="5"/>
  <c r="K30" i="5"/>
  <c r="D33" i="5"/>
  <c r="K34" i="5"/>
  <c r="J38" i="5"/>
  <c r="K41" i="5"/>
  <c r="J46" i="5"/>
  <c r="J3" i="5"/>
  <c r="J7" i="5"/>
  <c r="J11" i="5"/>
  <c r="J15" i="5"/>
  <c r="J19" i="5"/>
  <c r="J23" i="5"/>
  <c r="J27" i="5"/>
  <c r="J31" i="5"/>
  <c r="J35" i="5"/>
  <c r="J43" i="5"/>
  <c r="J51" i="5"/>
  <c r="D6" i="5"/>
  <c r="D10" i="5"/>
  <c r="D14" i="5"/>
  <c r="D18" i="5"/>
  <c r="D22" i="5"/>
  <c r="D26" i="5"/>
  <c r="D30" i="5"/>
  <c r="D34" i="5"/>
  <c r="J40" i="5"/>
  <c r="J48" i="5"/>
</calcChain>
</file>

<file path=xl/sharedStrings.xml><?xml version="1.0" encoding="utf-8"?>
<sst xmlns="http://schemas.openxmlformats.org/spreadsheetml/2006/main" count="506" uniqueCount="22">
  <si>
    <t>Liver weight</t>
    <phoneticPr fontId="1" type="noConversion"/>
  </si>
  <si>
    <t>Time</t>
    <phoneticPr fontId="1" type="noConversion"/>
  </si>
  <si>
    <t>0 days</t>
  </si>
  <si>
    <t>2 days</t>
  </si>
  <si>
    <t>5 days</t>
  </si>
  <si>
    <t>10 days</t>
  </si>
  <si>
    <t>10 days</t>
    <phoneticPr fontId="1" type="noConversion"/>
  </si>
  <si>
    <t>8 days</t>
  </si>
  <si>
    <t>30 days</t>
  </si>
  <si>
    <t>8 days</t>
    <phoneticPr fontId="1" type="noConversion"/>
  </si>
  <si>
    <t>30 days</t>
    <phoneticPr fontId="1" type="noConversion"/>
  </si>
  <si>
    <r>
      <t>20</t>
    </r>
    <r>
      <rPr>
        <b/>
        <vertAlign val="superscript"/>
        <sz val="11"/>
        <color theme="1"/>
        <rFont val="Times New Roman"/>
        <family val="1"/>
      </rPr>
      <t>o</t>
    </r>
    <r>
      <rPr>
        <b/>
        <sz val="11"/>
        <color theme="1"/>
        <rFont val="Times New Roman"/>
        <family val="1"/>
      </rPr>
      <t>C</t>
    </r>
    <phoneticPr fontId="1" type="noConversion"/>
  </si>
  <si>
    <r>
      <t>8</t>
    </r>
    <r>
      <rPr>
        <b/>
        <vertAlign val="superscript"/>
        <sz val="11"/>
        <color theme="1"/>
        <rFont val="Times New Roman"/>
        <family val="1"/>
      </rPr>
      <t>o</t>
    </r>
    <r>
      <rPr>
        <b/>
        <sz val="11"/>
        <color theme="1"/>
        <rFont val="Times New Roman"/>
        <family val="1"/>
      </rPr>
      <t>C</t>
    </r>
    <phoneticPr fontId="1" type="noConversion"/>
  </si>
  <si>
    <t>Time
days</t>
    <phoneticPr fontId="1" type="noConversion"/>
  </si>
  <si>
    <t>Protein weight
mg</t>
    <phoneticPr fontId="1" type="noConversion"/>
  </si>
  <si>
    <t>Liver weight
mg</t>
    <phoneticPr fontId="1" type="noConversion"/>
  </si>
  <si>
    <t>HTI</t>
    <phoneticPr fontId="1" type="noConversion"/>
  </si>
  <si>
    <t>HSI</t>
    <phoneticPr fontId="1" type="noConversion"/>
  </si>
  <si>
    <t>Body weight
mg</t>
    <phoneticPr fontId="1" type="noConversion"/>
  </si>
  <si>
    <t>Tail weight
mg</t>
    <phoneticPr fontId="1" type="noConversion"/>
  </si>
  <si>
    <t>Sufficiently fed</t>
    <phoneticPr fontId="1" type="noConversion"/>
  </si>
  <si>
    <t>Insufficiently fed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</si>
</sst>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workbookViewId="0">
      <selection activeCell="I5" sqref="I5"/>
    </sheetView>
  </sheetViews>
  <sheetFormatPr defaultRowHeight="15" x14ac:dyDescent="0.25"/>
  <cols>
    <col min="1" max="1" width="9" style="1"/>
    <col min="2" max="2" width="11.75" style="1" customWidth="1"/>
    <col min="3" max="3" width="9" style="1"/>
    <col min="4" max="4" width="11.25" style="3" customWidth="1"/>
    <col min="5" max="16384" width="9" style="1"/>
  </cols>
  <sheetData>
    <row r="1" spans="1:4" ht="17.25" x14ac:dyDescent="0.25">
      <c r="A1" s="7" t="s">
        <v>11</v>
      </c>
      <c r="B1" s="7"/>
      <c r="C1" s="7" t="s">
        <v>12</v>
      </c>
      <c r="D1" s="7"/>
    </row>
    <row r="2" spans="1:4" x14ac:dyDescent="0.25">
      <c r="A2" s="2" t="s">
        <v>1</v>
      </c>
      <c r="B2" s="2" t="s">
        <v>0</v>
      </c>
      <c r="C2" s="2" t="s">
        <v>1</v>
      </c>
      <c r="D2" s="2" t="s">
        <v>0</v>
      </c>
    </row>
    <row r="3" spans="1:4" x14ac:dyDescent="0.25">
      <c r="A3" s="3" t="s">
        <v>2</v>
      </c>
      <c r="B3" s="3">
        <f>912.9-894.5</f>
        <v>18.399999999999977</v>
      </c>
      <c r="C3" s="3" t="s">
        <v>2</v>
      </c>
      <c r="D3" s="3">
        <f>912.9-894.5</f>
        <v>18.399999999999977</v>
      </c>
    </row>
    <row r="4" spans="1:4" x14ac:dyDescent="0.25">
      <c r="A4" s="3" t="s">
        <v>2</v>
      </c>
      <c r="B4" s="3">
        <f>899.5-878.7</f>
        <v>20.799999999999955</v>
      </c>
      <c r="C4" s="3" t="s">
        <v>2</v>
      </c>
      <c r="D4" s="3">
        <f>899.5-878.7</f>
        <v>20.799999999999955</v>
      </c>
    </row>
    <row r="5" spans="1:4" x14ac:dyDescent="0.25">
      <c r="A5" s="3" t="s">
        <v>2</v>
      </c>
      <c r="B5" s="3">
        <f>913.3-898.9</f>
        <v>14.399999999999977</v>
      </c>
      <c r="C5" s="3" t="s">
        <v>2</v>
      </c>
      <c r="D5" s="3">
        <f>913.3-898.9</f>
        <v>14.399999999999977</v>
      </c>
    </row>
    <row r="6" spans="1:4" x14ac:dyDescent="0.25">
      <c r="A6" s="3" t="s">
        <v>2</v>
      </c>
      <c r="B6" s="3">
        <f>908.1-893.8</f>
        <v>14.300000000000068</v>
      </c>
      <c r="C6" s="3" t="s">
        <v>2</v>
      </c>
      <c r="D6" s="3">
        <f>908.1-893.8</f>
        <v>14.300000000000068</v>
      </c>
    </row>
    <row r="7" spans="1:4" x14ac:dyDescent="0.25">
      <c r="A7" s="3" t="s">
        <v>2</v>
      </c>
      <c r="B7" s="3">
        <f>906-886.1</f>
        <v>19.899999999999977</v>
      </c>
      <c r="C7" s="3" t="s">
        <v>2</v>
      </c>
      <c r="D7" s="3">
        <f>906-886.1</f>
        <v>19.899999999999977</v>
      </c>
    </row>
    <row r="8" spans="1:4" x14ac:dyDescent="0.25">
      <c r="A8" s="3" t="s">
        <v>2</v>
      </c>
      <c r="B8" s="3">
        <f>880.2-857.1</f>
        <v>23.100000000000023</v>
      </c>
      <c r="C8" s="3" t="s">
        <v>2</v>
      </c>
      <c r="D8" s="3">
        <f>880.2-857.1</f>
        <v>23.100000000000023</v>
      </c>
    </row>
    <row r="9" spans="1:4" x14ac:dyDescent="0.25">
      <c r="A9" s="3" t="s">
        <v>2</v>
      </c>
      <c r="B9" s="3">
        <f>904-886.6</f>
        <v>17.399999999999977</v>
      </c>
      <c r="C9" s="3" t="s">
        <v>2</v>
      </c>
      <c r="D9" s="3">
        <f>904-886.6</f>
        <v>17.399999999999977</v>
      </c>
    </row>
    <row r="10" spans="1:4" x14ac:dyDescent="0.25">
      <c r="A10" s="3" t="s">
        <v>2</v>
      </c>
      <c r="B10" s="3">
        <f>878.3-860.8</f>
        <v>17.5</v>
      </c>
      <c r="C10" s="3" t="s">
        <v>2</v>
      </c>
      <c r="D10" s="3">
        <f>878.3-860.8</f>
        <v>17.5</v>
      </c>
    </row>
    <row r="11" spans="1:4" x14ac:dyDescent="0.25">
      <c r="A11" s="3" t="s">
        <v>2</v>
      </c>
      <c r="B11" s="3">
        <f>905.7-890</f>
        <v>15.700000000000045</v>
      </c>
      <c r="C11" s="3" t="s">
        <v>2</v>
      </c>
      <c r="D11" s="3">
        <f>905.7-890</f>
        <v>15.700000000000045</v>
      </c>
    </row>
    <row r="12" spans="1:4" x14ac:dyDescent="0.25">
      <c r="A12" s="3" t="s">
        <v>3</v>
      </c>
      <c r="B12" s="3">
        <f>963.2-942.1</f>
        <v>21.100000000000023</v>
      </c>
      <c r="C12" s="3" t="s">
        <v>3</v>
      </c>
      <c r="D12" s="3">
        <f>871.4-855.8</f>
        <v>15.600000000000023</v>
      </c>
    </row>
    <row r="13" spans="1:4" x14ac:dyDescent="0.25">
      <c r="A13" s="3" t="s">
        <v>3</v>
      </c>
      <c r="B13" s="3">
        <f>870.5-859.8</f>
        <v>10.700000000000045</v>
      </c>
      <c r="C13" s="3" t="s">
        <v>3</v>
      </c>
      <c r="D13" s="3">
        <f>910.8-894.4</f>
        <v>16.399999999999977</v>
      </c>
    </row>
    <row r="14" spans="1:4" x14ac:dyDescent="0.25">
      <c r="A14" s="3" t="s">
        <v>3</v>
      </c>
      <c r="B14" s="3">
        <f>893.7-878.3</f>
        <v>15.400000000000091</v>
      </c>
      <c r="C14" s="3" t="s">
        <v>3</v>
      </c>
      <c r="D14" s="3">
        <f>905.2-886.2</f>
        <v>19</v>
      </c>
    </row>
    <row r="15" spans="1:4" x14ac:dyDescent="0.25">
      <c r="A15" s="3" t="s">
        <v>3</v>
      </c>
      <c r="B15" s="3">
        <f>935.6-919.9</f>
        <v>15.700000000000045</v>
      </c>
      <c r="C15" s="3" t="s">
        <v>3</v>
      </c>
      <c r="D15" s="3">
        <f>907.6-884.4</f>
        <v>23.200000000000045</v>
      </c>
    </row>
    <row r="16" spans="1:4" x14ac:dyDescent="0.25">
      <c r="A16" s="3" t="s">
        <v>3</v>
      </c>
      <c r="B16" s="3">
        <f>892.9-876.3</f>
        <v>16.600000000000023</v>
      </c>
      <c r="C16" s="3" t="s">
        <v>3</v>
      </c>
      <c r="D16" s="3">
        <f>873.6-858.4</f>
        <v>15.200000000000045</v>
      </c>
    </row>
    <row r="17" spans="1:4" x14ac:dyDescent="0.25">
      <c r="A17" s="3" t="s">
        <v>3</v>
      </c>
      <c r="B17" s="3">
        <f>876-863.7</f>
        <v>12.299999999999955</v>
      </c>
      <c r="C17" s="3" t="s">
        <v>3</v>
      </c>
      <c r="D17" s="3">
        <f>901.4-888.1</f>
        <v>13.299999999999955</v>
      </c>
    </row>
    <row r="18" spans="1:4" x14ac:dyDescent="0.25">
      <c r="A18" s="3" t="s">
        <v>3</v>
      </c>
      <c r="B18" s="3">
        <f>883.1-868.6</f>
        <v>14.5</v>
      </c>
      <c r="C18" s="3" t="s">
        <v>3</v>
      </c>
      <c r="D18" s="3">
        <f>888.8-870.1</f>
        <v>18.699999999999932</v>
      </c>
    </row>
    <row r="19" spans="1:4" x14ac:dyDescent="0.25">
      <c r="A19" s="3" t="s">
        <v>3</v>
      </c>
      <c r="B19" s="3">
        <f>900.3-888.1</f>
        <v>12.199999999999932</v>
      </c>
      <c r="C19" s="3" t="s">
        <v>3</v>
      </c>
      <c r="D19" s="3">
        <f>881.6-869.2</f>
        <v>12.399999999999977</v>
      </c>
    </row>
    <row r="20" spans="1:4" x14ac:dyDescent="0.25">
      <c r="A20" s="3" t="s">
        <v>4</v>
      </c>
      <c r="B20" s="3">
        <f>894.5-885.3</f>
        <v>9.2000000000000455</v>
      </c>
      <c r="C20" s="3" t="s">
        <v>7</v>
      </c>
      <c r="D20" s="3">
        <f>911.3-884.2</f>
        <v>27.099999999999909</v>
      </c>
    </row>
    <row r="21" spans="1:4" x14ac:dyDescent="0.25">
      <c r="A21" s="3" t="s">
        <v>4</v>
      </c>
      <c r="B21" s="3">
        <f>901.8-891.7</f>
        <v>10.099999999999909</v>
      </c>
      <c r="C21" s="3" t="s">
        <v>7</v>
      </c>
      <c r="D21" s="3">
        <f>890.8-876</f>
        <v>14.799999999999955</v>
      </c>
    </row>
    <row r="22" spans="1:4" x14ac:dyDescent="0.25">
      <c r="A22" s="3" t="s">
        <v>4</v>
      </c>
      <c r="B22" s="3">
        <f>867.1-853.8</f>
        <v>13.300000000000068</v>
      </c>
      <c r="C22" s="3" t="s">
        <v>7</v>
      </c>
      <c r="D22" s="3">
        <f>921.7-905.7</f>
        <v>16</v>
      </c>
    </row>
    <row r="23" spans="1:4" x14ac:dyDescent="0.25">
      <c r="A23" s="3" t="s">
        <v>4</v>
      </c>
      <c r="B23" s="3">
        <f>896.4-887.4</f>
        <v>9</v>
      </c>
      <c r="C23" s="3" t="s">
        <v>7</v>
      </c>
      <c r="D23" s="3">
        <f>897.3-882</f>
        <v>15.299999999999955</v>
      </c>
    </row>
    <row r="24" spans="1:4" x14ac:dyDescent="0.25">
      <c r="A24" s="3" t="s">
        <v>4</v>
      </c>
      <c r="B24" s="3">
        <f>892.5-882.5</f>
        <v>10</v>
      </c>
      <c r="C24" s="3" t="s">
        <v>7</v>
      </c>
      <c r="D24" s="3">
        <f>883.4-863.8</f>
        <v>19.600000000000023</v>
      </c>
    </row>
    <row r="25" spans="1:4" x14ac:dyDescent="0.25">
      <c r="A25" s="3" t="s">
        <v>4</v>
      </c>
      <c r="B25" s="3">
        <f>893.4-882.5</f>
        <v>10.899999999999977</v>
      </c>
      <c r="C25" s="3" t="s">
        <v>7</v>
      </c>
      <c r="D25" s="3">
        <f>877.1-864.2</f>
        <v>12.899999999999977</v>
      </c>
    </row>
    <row r="26" spans="1:4" x14ac:dyDescent="0.25">
      <c r="A26" s="3" t="s">
        <v>4</v>
      </c>
      <c r="B26" s="3">
        <f>906.8-893.9</f>
        <v>12.899999999999977</v>
      </c>
      <c r="C26" s="3" t="s">
        <v>7</v>
      </c>
      <c r="D26" s="3">
        <f>916.1-900.3</f>
        <v>15.800000000000068</v>
      </c>
    </row>
    <row r="27" spans="1:4" x14ac:dyDescent="0.25">
      <c r="A27" s="3" t="s">
        <v>4</v>
      </c>
      <c r="B27" s="3">
        <f>891.5-879.4</f>
        <v>12.100000000000023</v>
      </c>
      <c r="C27" s="3" t="s">
        <v>7</v>
      </c>
      <c r="D27" s="3">
        <f>876.4-859.5</f>
        <v>16.899999999999977</v>
      </c>
    </row>
    <row r="28" spans="1:4" x14ac:dyDescent="0.25">
      <c r="A28" s="3" t="s">
        <v>6</v>
      </c>
      <c r="B28" s="3">
        <f>946.5-941.9</f>
        <v>4.6000000000000227</v>
      </c>
      <c r="C28" s="3" t="s">
        <v>8</v>
      </c>
      <c r="D28" s="3">
        <v>8.5</v>
      </c>
    </row>
    <row r="29" spans="1:4" x14ac:dyDescent="0.25">
      <c r="A29" s="3" t="s">
        <v>6</v>
      </c>
      <c r="B29" s="3">
        <f>903.6-894.7</f>
        <v>8.8999999999999773</v>
      </c>
      <c r="C29" s="3" t="s">
        <v>8</v>
      </c>
      <c r="D29" s="3">
        <v>11.6</v>
      </c>
    </row>
    <row r="30" spans="1:4" x14ac:dyDescent="0.25">
      <c r="A30" s="3" t="s">
        <v>5</v>
      </c>
      <c r="B30" s="3">
        <f>869.4-863.3</f>
        <v>6.1000000000000227</v>
      </c>
      <c r="C30" s="3" t="s">
        <v>8</v>
      </c>
      <c r="D30" s="3">
        <v>14.7</v>
      </c>
    </row>
    <row r="31" spans="1:4" x14ac:dyDescent="0.25">
      <c r="A31" s="3" t="s">
        <v>5</v>
      </c>
      <c r="B31" s="3">
        <f>845.9-837.9</f>
        <v>8</v>
      </c>
      <c r="C31" s="3" t="s">
        <v>8</v>
      </c>
      <c r="D31" s="3">
        <v>10.9</v>
      </c>
    </row>
    <row r="32" spans="1:4" x14ac:dyDescent="0.25">
      <c r="A32" s="3" t="s">
        <v>5</v>
      </c>
      <c r="B32" s="3">
        <f>890.7-885.7</f>
        <v>5</v>
      </c>
      <c r="C32" s="3" t="s">
        <v>8</v>
      </c>
      <c r="D32" s="3">
        <v>9.3000000000000007</v>
      </c>
    </row>
    <row r="33" spans="1:4" x14ac:dyDescent="0.25">
      <c r="A33" s="3" t="s">
        <v>5</v>
      </c>
      <c r="B33" s="3">
        <f>874-869.5</f>
        <v>4.5</v>
      </c>
      <c r="C33" s="3" t="s">
        <v>8</v>
      </c>
      <c r="D33" s="3">
        <v>14.1</v>
      </c>
    </row>
    <row r="34" spans="1:4" x14ac:dyDescent="0.25">
      <c r="A34" s="3" t="s">
        <v>5</v>
      </c>
      <c r="B34" s="3">
        <f>900.4-890.7</f>
        <v>9.6999999999999318</v>
      </c>
      <c r="C34" s="3"/>
    </row>
    <row r="35" spans="1:4" x14ac:dyDescent="0.25">
      <c r="A35" s="3" t="s">
        <v>5</v>
      </c>
      <c r="B35" s="3">
        <f>843.8-838.1</f>
        <v>5.6999999999999318</v>
      </c>
      <c r="C35" s="3"/>
    </row>
  </sheetData>
  <mergeCells count="2">
    <mergeCell ref="A1:B1"/>
    <mergeCell ref="C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4273-8526-4DEA-BC34-7258C6A61C82}">
  <dimension ref="A1:F39"/>
  <sheetViews>
    <sheetView topLeftCell="A12" workbookViewId="0">
      <selection activeCell="A12" sqref="A1:XFD1048576"/>
    </sheetView>
  </sheetViews>
  <sheetFormatPr defaultRowHeight="15" x14ac:dyDescent="0.25"/>
  <cols>
    <col min="1" max="1" width="9" style="3"/>
    <col min="2" max="2" width="13.875" style="3" customWidth="1"/>
    <col min="3" max="3" width="11.25" style="3" customWidth="1"/>
    <col min="4" max="4" width="11" style="3" customWidth="1"/>
    <col min="5" max="5" width="13.875" style="3" customWidth="1"/>
    <col min="6" max="6" width="12" style="1" customWidth="1"/>
    <col min="7" max="16384" width="9" style="1"/>
  </cols>
  <sheetData>
    <row r="1" spans="1:6" ht="17.25" x14ac:dyDescent="0.25">
      <c r="A1" s="7" t="s">
        <v>11</v>
      </c>
      <c r="B1" s="7"/>
      <c r="C1" s="7"/>
      <c r="D1" s="7" t="s">
        <v>12</v>
      </c>
      <c r="E1" s="7"/>
      <c r="F1" s="7"/>
    </row>
    <row r="2" spans="1:6" ht="29.25" x14ac:dyDescent="0.25">
      <c r="A2" s="5" t="s">
        <v>13</v>
      </c>
      <c r="B2" s="5" t="s">
        <v>14</v>
      </c>
      <c r="C2" s="5" t="s">
        <v>15</v>
      </c>
      <c r="D2" s="5" t="s">
        <v>13</v>
      </c>
      <c r="E2" s="5" t="s">
        <v>14</v>
      </c>
      <c r="F2" s="5" t="s">
        <v>15</v>
      </c>
    </row>
    <row r="3" spans="1:6" x14ac:dyDescent="0.25">
      <c r="A3" s="3" t="s">
        <v>2</v>
      </c>
      <c r="B3" s="3">
        <v>1.3448275862068968</v>
      </c>
      <c r="C3" s="3">
        <f>924.8-912.3</f>
        <v>12.5</v>
      </c>
      <c r="D3" s="3" t="s">
        <v>2</v>
      </c>
      <c r="E3" s="3">
        <v>1.3448275862068999</v>
      </c>
      <c r="F3" s="3">
        <f>924.8-912.3</f>
        <v>12.5</v>
      </c>
    </row>
    <row r="4" spans="1:6" x14ac:dyDescent="0.25">
      <c r="A4" s="3" t="s">
        <v>2</v>
      </c>
      <c r="B4" s="3">
        <v>1.8620689655172411</v>
      </c>
      <c r="C4" s="3">
        <f>932.9-914.3</f>
        <v>18.600000000000023</v>
      </c>
      <c r="D4" s="3" t="s">
        <v>2</v>
      </c>
      <c r="E4" s="3">
        <v>1.8620689655172411</v>
      </c>
      <c r="F4" s="3">
        <f>932.9-914.3</f>
        <v>18.600000000000023</v>
      </c>
    </row>
    <row r="5" spans="1:6" x14ac:dyDescent="0.25">
      <c r="A5" s="3" t="s">
        <v>2</v>
      </c>
      <c r="B5" s="3">
        <v>1.9195402298850575</v>
      </c>
      <c r="C5" s="3">
        <f>930.6-911.9</f>
        <v>18.700000000000045</v>
      </c>
      <c r="D5" s="3" t="s">
        <v>2</v>
      </c>
      <c r="E5" s="3">
        <v>1.9195402298850575</v>
      </c>
      <c r="F5" s="3">
        <f>930.6-911.9</f>
        <v>18.700000000000045</v>
      </c>
    </row>
    <row r="6" spans="1:6" x14ac:dyDescent="0.25">
      <c r="A6" s="3" t="s">
        <v>2</v>
      </c>
      <c r="B6" s="3">
        <v>2.1494252873563222</v>
      </c>
      <c r="C6" s="3">
        <f>977.1-945</f>
        <v>32.100000000000023</v>
      </c>
      <c r="D6" s="3" t="s">
        <v>2</v>
      </c>
      <c r="E6" s="3">
        <v>2.1494252873563222</v>
      </c>
      <c r="F6" s="3">
        <f>977.1-945</f>
        <v>32.100000000000023</v>
      </c>
    </row>
    <row r="7" spans="1:6" x14ac:dyDescent="0.25">
      <c r="A7" s="3" t="s">
        <v>2</v>
      </c>
      <c r="B7" s="3">
        <v>1.6321839080459766</v>
      </c>
      <c r="C7" s="3">
        <f>921.8-906.6</f>
        <v>15.199999999999932</v>
      </c>
      <c r="D7" s="3" t="s">
        <v>2</v>
      </c>
      <c r="E7" s="3">
        <v>1.6321839080459766</v>
      </c>
      <c r="F7" s="3">
        <f>921.8-906.6</f>
        <v>15.199999999999932</v>
      </c>
    </row>
    <row r="8" spans="1:6" x14ac:dyDescent="0.25">
      <c r="A8" s="3" t="s">
        <v>2</v>
      </c>
      <c r="B8" s="3">
        <v>2.4942528735632186</v>
      </c>
      <c r="C8" s="3">
        <f>985.5-951.8</f>
        <v>33.700000000000045</v>
      </c>
      <c r="D8" s="3" t="s">
        <v>2</v>
      </c>
      <c r="E8" s="3">
        <v>2.4942528735632186</v>
      </c>
      <c r="F8" s="3">
        <f>985.5-951.8</f>
        <v>33.700000000000045</v>
      </c>
    </row>
    <row r="9" spans="1:6" x14ac:dyDescent="0.25">
      <c r="A9" s="3" t="s">
        <v>2</v>
      </c>
      <c r="B9" s="3">
        <v>2.0919540229885061</v>
      </c>
      <c r="C9" s="3">
        <f>924.6-906.4</f>
        <v>18.200000000000045</v>
      </c>
      <c r="D9" s="3" t="s">
        <v>2</v>
      </c>
      <c r="E9" s="3">
        <v>2.0919540229885061</v>
      </c>
      <c r="F9" s="3">
        <f>924.6-906.4</f>
        <v>18.200000000000045</v>
      </c>
    </row>
    <row r="10" spans="1:6" x14ac:dyDescent="0.25">
      <c r="A10" s="3" t="s">
        <v>2</v>
      </c>
      <c r="B10" s="3">
        <v>3.1264367816091956</v>
      </c>
      <c r="C10" s="3">
        <f>939.7-906.6</f>
        <v>33.100000000000023</v>
      </c>
      <c r="D10" s="3" t="s">
        <v>2</v>
      </c>
      <c r="E10" s="3">
        <v>3.1264367816091956</v>
      </c>
      <c r="F10" s="3">
        <f>939.7-906.6</f>
        <v>33.100000000000023</v>
      </c>
    </row>
    <row r="11" spans="1:6" x14ac:dyDescent="0.25">
      <c r="A11" s="3" t="s">
        <v>2</v>
      </c>
      <c r="B11" s="3">
        <v>1.8620689655172411</v>
      </c>
      <c r="C11" s="3">
        <f>951.9-927.9</f>
        <v>24</v>
      </c>
      <c r="D11" s="3" t="s">
        <v>2</v>
      </c>
      <c r="E11" s="3">
        <v>1.8620689655172411</v>
      </c>
      <c r="F11" s="3">
        <f>951.9-927.9</f>
        <v>24</v>
      </c>
    </row>
    <row r="12" spans="1:6" x14ac:dyDescent="0.25">
      <c r="A12" s="3" t="s">
        <v>2</v>
      </c>
      <c r="B12" s="3">
        <v>2.0344827586206899</v>
      </c>
      <c r="C12" s="3">
        <f>961.1-938.4</f>
        <v>22.700000000000045</v>
      </c>
      <c r="D12" s="3" t="s">
        <v>2</v>
      </c>
      <c r="E12" s="3">
        <v>2.0344827586206899</v>
      </c>
      <c r="F12" s="3">
        <f>961.1-938.4</f>
        <v>22.700000000000045</v>
      </c>
    </row>
    <row r="13" spans="1:6" x14ac:dyDescent="0.25">
      <c r="A13" s="3" t="s">
        <v>2</v>
      </c>
      <c r="B13" s="3">
        <v>1.5747126436781613</v>
      </c>
      <c r="C13" s="3">
        <f>931.6-915.8</f>
        <v>15.800000000000068</v>
      </c>
      <c r="D13" s="3" t="s">
        <v>2</v>
      </c>
      <c r="E13" s="3">
        <v>1.5747126436781613</v>
      </c>
      <c r="F13" s="3">
        <f>931.6-915.8</f>
        <v>15.800000000000068</v>
      </c>
    </row>
    <row r="14" spans="1:6" x14ac:dyDescent="0.25">
      <c r="A14" s="3" t="s">
        <v>2</v>
      </c>
      <c r="B14" s="3">
        <v>1.4597701149425291</v>
      </c>
      <c r="C14" s="3">
        <f>925.8-912</f>
        <v>13.799999999999955</v>
      </c>
      <c r="D14" s="3" t="s">
        <v>2</v>
      </c>
      <c r="E14" s="3">
        <v>1.4597701149425291</v>
      </c>
      <c r="F14" s="3">
        <f>925.8-912</f>
        <v>13.799999999999955</v>
      </c>
    </row>
    <row r="15" spans="1:6" x14ac:dyDescent="0.25">
      <c r="A15" s="3" t="s">
        <v>2</v>
      </c>
      <c r="B15" s="3">
        <v>1.2298850574712645</v>
      </c>
      <c r="C15" s="3">
        <f>941.6-929.2</f>
        <v>12.399999999999977</v>
      </c>
      <c r="D15" s="3" t="s">
        <v>2</v>
      </c>
      <c r="E15" s="3">
        <v>1.2298850574712645</v>
      </c>
      <c r="F15" s="3">
        <f>941.6-929.2</f>
        <v>12.399999999999977</v>
      </c>
    </row>
    <row r="16" spans="1:6" x14ac:dyDescent="0.25">
      <c r="A16" s="3" t="s">
        <v>3</v>
      </c>
      <c r="B16" s="3">
        <v>1.6321839080459766</v>
      </c>
      <c r="C16" s="3">
        <f>963.2-942.1</f>
        <v>21.100000000000023</v>
      </c>
      <c r="D16" s="3" t="s">
        <v>3</v>
      </c>
      <c r="E16" s="3">
        <v>1.3430851063829792</v>
      </c>
      <c r="F16" s="3">
        <f>871.4-855.8</f>
        <v>15.600000000000023</v>
      </c>
    </row>
    <row r="17" spans="1:6" x14ac:dyDescent="0.25">
      <c r="A17" s="3" t="s">
        <v>3</v>
      </c>
      <c r="B17" s="3">
        <v>1.2873563218390809</v>
      </c>
      <c r="C17" s="3">
        <f>870.5-859.8</f>
        <v>10.700000000000045</v>
      </c>
      <c r="D17" s="3" t="s">
        <v>3</v>
      </c>
      <c r="E17" s="3">
        <v>1.4760638297872344</v>
      </c>
      <c r="F17" s="3">
        <f>910.8-894.4</f>
        <v>16.399999999999977</v>
      </c>
    </row>
    <row r="18" spans="1:6" x14ac:dyDescent="0.25">
      <c r="A18" s="3" t="s">
        <v>3</v>
      </c>
      <c r="B18" s="3">
        <v>1.5747126436781613</v>
      </c>
      <c r="C18" s="3">
        <f>893.7-878.3</f>
        <v>15.400000000000091</v>
      </c>
      <c r="D18" s="3" t="s">
        <v>3</v>
      </c>
      <c r="E18" s="3">
        <v>1.431737588652483</v>
      </c>
      <c r="F18" s="3">
        <f>905.2-886.2</f>
        <v>19</v>
      </c>
    </row>
    <row r="19" spans="1:6" x14ac:dyDescent="0.25">
      <c r="A19" s="3" t="s">
        <v>3</v>
      </c>
      <c r="B19" s="3">
        <v>1.5172413793103452</v>
      </c>
      <c r="C19" s="3">
        <f>935.6-919.9</f>
        <v>15.700000000000045</v>
      </c>
      <c r="D19" s="3" t="s">
        <v>3</v>
      </c>
      <c r="E19" s="3">
        <v>1.6533687943262414</v>
      </c>
      <c r="F19" s="3">
        <f>907.6-884.4</f>
        <v>23.200000000000045</v>
      </c>
    </row>
    <row r="20" spans="1:6" x14ac:dyDescent="0.25">
      <c r="A20" s="3" t="s">
        <v>3</v>
      </c>
      <c r="B20" s="3">
        <v>1.4597701149425291</v>
      </c>
      <c r="C20" s="3">
        <f>892.9-876.3</f>
        <v>16.600000000000023</v>
      </c>
      <c r="D20" s="3" t="s">
        <v>3</v>
      </c>
      <c r="E20" s="3">
        <v>1.0328014184397163</v>
      </c>
      <c r="F20" s="3">
        <f>873.6-858.4</f>
        <v>15.200000000000045</v>
      </c>
    </row>
    <row r="21" spans="1:6" x14ac:dyDescent="0.25">
      <c r="A21" s="3" t="s">
        <v>3</v>
      </c>
      <c r="B21" s="3">
        <v>1.5747126436781613</v>
      </c>
      <c r="C21" s="3">
        <f>876-863.7</f>
        <v>12.299999999999955</v>
      </c>
      <c r="D21" s="3" t="s">
        <v>3</v>
      </c>
      <c r="E21" s="3">
        <v>1.4760638297872344</v>
      </c>
      <c r="F21" s="3">
        <f>901.4-888.1</f>
        <v>13.299999999999955</v>
      </c>
    </row>
    <row r="22" spans="1:6" x14ac:dyDescent="0.25">
      <c r="A22" s="3" t="s">
        <v>3</v>
      </c>
      <c r="B22" s="3">
        <v>1.6321839080459766</v>
      </c>
      <c r="C22" s="3">
        <f>883.1-868.6</f>
        <v>14.5</v>
      </c>
      <c r="D22" s="3" t="s">
        <v>3</v>
      </c>
      <c r="E22" s="3">
        <v>1.697695035460993</v>
      </c>
      <c r="F22" s="3">
        <f>888.8-870.1</f>
        <v>18.699999999999932</v>
      </c>
    </row>
    <row r="23" spans="1:6" x14ac:dyDescent="0.25">
      <c r="A23" s="3" t="s">
        <v>3</v>
      </c>
      <c r="B23" s="3">
        <v>1.2873563218390809</v>
      </c>
      <c r="C23" s="3">
        <f>900.3-888.1</f>
        <v>12.199999999999932</v>
      </c>
      <c r="D23" s="3" t="s">
        <v>3</v>
      </c>
      <c r="E23" s="3">
        <v>1.2101063829787237</v>
      </c>
      <c r="F23" s="3">
        <f>881.6-869.2</f>
        <v>12.399999999999977</v>
      </c>
    </row>
    <row r="24" spans="1:6" x14ac:dyDescent="0.25">
      <c r="A24" s="3" t="s">
        <v>4</v>
      </c>
      <c r="B24" s="3">
        <v>0.88505747126436762</v>
      </c>
      <c r="C24" s="3">
        <f>894.5-885.3</f>
        <v>9.2000000000000455</v>
      </c>
      <c r="D24" s="3" t="s">
        <v>9</v>
      </c>
      <c r="E24" s="3">
        <v>2.0966312056737593</v>
      </c>
      <c r="F24" s="3">
        <f>911.3-884.2</f>
        <v>27.099999999999909</v>
      </c>
    </row>
    <row r="25" spans="1:6" x14ac:dyDescent="0.25">
      <c r="A25" s="3" t="s">
        <v>4</v>
      </c>
      <c r="B25" s="3">
        <v>1</v>
      </c>
      <c r="C25" s="3">
        <f>901.8-891.7</f>
        <v>10.099999999999909</v>
      </c>
      <c r="D25" s="3" t="s">
        <v>9</v>
      </c>
      <c r="E25" s="3">
        <v>1.431737588652483</v>
      </c>
      <c r="F25" s="3">
        <f>890.8-876</f>
        <v>14.799999999999955</v>
      </c>
    </row>
    <row r="26" spans="1:6" x14ac:dyDescent="0.25">
      <c r="A26" s="3" t="s">
        <v>4</v>
      </c>
      <c r="B26" s="3">
        <v>1.3448275862068968</v>
      </c>
      <c r="C26" s="3">
        <f>867.1-853.8</f>
        <v>13.300000000000068</v>
      </c>
      <c r="D26" s="3" t="s">
        <v>7</v>
      </c>
      <c r="E26" s="3">
        <v>1.6090425531914894</v>
      </c>
      <c r="F26" s="3">
        <f>921.7-905.7</f>
        <v>16</v>
      </c>
    </row>
    <row r="27" spans="1:6" x14ac:dyDescent="0.25">
      <c r="A27" s="3" t="s">
        <v>4</v>
      </c>
      <c r="B27" s="3">
        <v>1.2298850574712645</v>
      </c>
      <c r="C27" s="3">
        <f>896.4-887.4</f>
        <v>9</v>
      </c>
      <c r="D27" s="3" t="s">
        <v>7</v>
      </c>
      <c r="E27" s="3">
        <v>2.229609929078014</v>
      </c>
      <c r="F27" s="3">
        <f>897.3-882</f>
        <v>15.299999999999955</v>
      </c>
    </row>
    <row r="28" spans="1:6" x14ac:dyDescent="0.25">
      <c r="A28" s="3" t="s">
        <v>4</v>
      </c>
      <c r="B28" s="3">
        <v>1.1724137931034484</v>
      </c>
      <c r="C28" s="3">
        <f>892.5-882.5</f>
        <v>10</v>
      </c>
      <c r="D28" s="3" t="s">
        <v>7</v>
      </c>
      <c r="E28" s="3">
        <v>1.7863475177304966</v>
      </c>
      <c r="F28" s="3">
        <f>883.4-863.8</f>
        <v>19.600000000000023</v>
      </c>
    </row>
    <row r="29" spans="1:6" x14ac:dyDescent="0.25">
      <c r="A29" s="3" t="s">
        <v>4</v>
      </c>
      <c r="B29" s="3">
        <v>1.4022988505747129</v>
      </c>
      <c r="C29" s="3">
        <f>893.4-882.5</f>
        <v>10.899999999999977</v>
      </c>
      <c r="D29" s="3" t="s">
        <v>7</v>
      </c>
      <c r="E29" s="3">
        <v>1.5647163120567376</v>
      </c>
      <c r="F29" s="3">
        <f>877.1-864.2</f>
        <v>12.899999999999977</v>
      </c>
    </row>
    <row r="30" spans="1:6" x14ac:dyDescent="0.25">
      <c r="A30" s="3" t="s">
        <v>4</v>
      </c>
      <c r="B30" s="3">
        <v>1.5172413793103452</v>
      </c>
      <c r="C30" s="3">
        <f>906.8-893.9</f>
        <v>12.899999999999977</v>
      </c>
      <c r="D30" s="3" t="s">
        <v>7</v>
      </c>
      <c r="E30" s="3">
        <v>1.6533687943262414</v>
      </c>
      <c r="F30" s="3">
        <f>916.1-900.3</f>
        <v>15.800000000000068</v>
      </c>
    </row>
    <row r="31" spans="1:6" x14ac:dyDescent="0.25">
      <c r="A31" s="3" t="s">
        <v>4</v>
      </c>
      <c r="B31" s="3">
        <v>2.0919540229885061</v>
      </c>
      <c r="C31" s="3">
        <f>891.5-879.4</f>
        <v>12.100000000000023</v>
      </c>
      <c r="D31" s="3" t="s">
        <v>7</v>
      </c>
      <c r="E31" s="3">
        <v>1.9636524822695041</v>
      </c>
      <c r="F31" s="3">
        <f>876.4-859.5</f>
        <v>16.899999999999977</v>
      </c>
    </row>
    <row r="32" spans="1:6" x14ac:dyDescent="0.25">
      <c r="A32" s="3" t="s">
        <v>6</v>
      </c>
      <c r="B32" s="3">
        <v>0.48275862068965542</v>
      </c>
      <c r="C32" s="3">
        <f>946.5-941.9</f>
        <v>4.6000000000000227</v>
      </c>
      <c r="D32" s="3" t="s">
        <v>10</v>
      </c>
      <c r="E32" s="3">
        <v>0.89982269503546108</v>
      </c>
      <c r="F32" s="3">
        <v>8.5</v>
      </c>
    </row>
    <row r="33" spans="1:6" x14ac:dyDescent="0.25">
      <c r="A33" s="3" t="s">
        <v>6</v>
      </c>
      <c r="B33" s="3">
        <v>0.82758620689655149</v>
      </c>
      <c r="C33" s="3">
        <f>903.6-894.7</f>
        <v>8.8999999999999773</v>
      </c>
      <c r="D33" s="3" t="s">
        <v>10</v>
      </c>
      <c r="E33" s="3">
        <v>1.1657801418439717</v>
      </c>
      <c r="F33" s="3">
        <v>11.6</v>
      </c>
    </row>
    <row r="34" spans="1:6" x14ac:dyDescent="0.25">
      <c r="A34" s="3" t="s">
        <v>5</v>
      </c>
      <c r="B34" s="3">
        <v>0.59770114942528785</v>
      </c>
      <c r="C34" s="3">
        <f>869.4-863.3</f>
        <v>6.1000000000000227</v>
      </c>
      <c r="D34" s="3" t="s">
        <v>8</v>
      </c>
      <c r="E34" s="3">
        <v>1.6533687943262414</v>
      </c>
      <c r="F34" s="3">
        <v>14.7</v>
      </c>
    </row>
    <row r="35" spans="1:6" x14ac:dyDescent="0.25">
      <c r="A35" s="3" t="s">
        <v>5</v>
      </c>
      <c r="B35" s="3">
        <v>0.77011494252873536</v>
      </c>
      <c r="C35" s="3">
        <f>845.9-837.9</f>
        <v>8</v>
      </c>
      <c r="D35" s="3" t="s">
        <v>8</v>
      </c>
      <c r="E35" s="3">
        <v>1.1214539007092199</v>
      </c>
      <c r="F35" s="3">
        <v>10.9</v>
      </c>
    </row>
    <row r="36" spans="1:6" x14ac:dyDescent="0.25">
      <c r="A36" s="3" t="s">
        <v>5</v>
      </c>
      <c r="B36" s="3">
        <v>1.5172413793103452</v>
      </c>
      <c r="C36" s="3">
        <f>890.7-885.7</f>
        <v>5</v>
      </c>
      <c r="D36" s="3" t="s">
        <v>8</v>
      </c>
      <c r="E36" s="3">
        <v>1.0771276595744681</v>
      </c>
      <c r="F36" s="3">
        <v>9.3000000000000007</v>
      </c>
    </row>
    <row r="37" spans="1:6" x14ac:dyDescent="0.25">
      <c r="A37" s="3" t="s">
        <v>5</v>
      </c>
      <c r="B37" s="3">
        <v>0.59770114942528785</v>
      </c>
      <c r="C37" s="3">
        <f>874-869.5</f>
        <v>4.5</v>
      </c>
      <c r="D37" s="3" t="s">
        <v>8</v>
      </c>
      <c r="E37" s="3">
        <v>1.387411347517731</v>
      </c>
      <c r="F37" s="3">
        <v>14.1</v>
      </c>
    </row>
    <row r="38" spans="1:6" x14ac:dyDescent="0.25">
      <c r="A38" s="3" t="s">
        <v>5</v>
      </c>
      <c r="B38" s="3">
        <v>0.88505747126436762</v>
      </c>
      <c r="C38" s="3">
        <f>900.4-890.7</f>
        <v>9.6999999999999318</v>
      </c>
    </row>
    <row r="39" spans="1:6" x14ac:dyDescent="0.25">
      <c r="A39" s="3" t="s">
        <v>5</v>
      </c>
      <c r="B39" s="3">
        <v>0.94252873563218376</v>
      </c>
      <c r="C39" s="3">
        <f>843.8-838.1</f>
        <v>5.6999999999999318</v>
      </c>
    </row>
  </sheetData>
  <mergeCells count="2">
    <mergeCell ref="A1:C1"/>
    <mergeCell ref="D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B3EC-085E-4A9F-B118-18D788721A95}">
  <dimension ref="A1:F39"/>
  <sheetViews>
    <sheetView workbookViewId="0">
      <selection sqref="A1:XFD1048576"/>
    </sheetView>
  </sheetViews>
  <sheetFormatPr defaultRowHeight="15" x14ac:dyDescent="0.25"/>
  <cols>
    <col min="1" max="1" width="9" style="3"/>
    <col min="2" max="2" width="13.875" style="3" customWidth="1"/>
    <col min="3" max="3" width="11.25" style="3" customWidth="1"/>
    <col min="4" max="4" width="11" style="3" customWidth="1"/>
    <col min="5" max="5" width="13.875" style="3" customWidth="1"/>
    <col min="6" max="6" width="12" style="1" customWidth="1"/>
    <col min="7" max="16384" width="9" style="1"/>
  </cols>
  <sheetData>
    <row r="1" spans="1:6" ht="17.25" x14ac:dyDescent="0.25">
      <c r="A1" s="7" t="s">
        <v>11</v>
      </c>
      <c r="B1" s="7"/>
      <c r="C1" s="7"/>
      <c r="D1" s="7" t="s">
        <v>12</v>
      </c>
      <c r="E1" s="7"/>
      <c r="F1" s="7"/>
    </row>
    <row r="2" spans="1:6" ht="29.25" x14ac:dyDescent="0.25">
      <c r="A2" s="5" t="s">
        <v>13</v>
      </c>
      <c r="B2" s="5" t="s">
        <v>14</v>
      </c>
      <c r="C2" s="5" t="s">
        <v>15</v>
      </c>
      <c r="D2" s="5" t="s">
        <v>13</v>
      </c>
      <c r="E2" s="5" t="s">
        <v>14</v>
      </c>
      <c r="F2" s="5" t="s">
        <v>15</v>
      </c>
    </row>
    <row r="3" spans="1:6" x14ac:dyDescent="0.25">
      <c r="A3" s="3" t="s">
        <v>2</v>
      </c>
      <c r="B3" s="3">
        <v>5.7989999999999977E-3</v>
      </c>
      <c r="C3" s="3">
        <v>12.5</v>
      </c>
      <c r="D3" s="3" t="s">
        <v>2</v>
      </c>
      <c r="E3" s="3">
        <v>5.7989999999999977E-3</v>
      </c>
      <c r="F3" s="3">
        <v>12.5</v>
      </c>
    </row>
    <row r="4" spans="1:6" x14ac:dyDescent="0.25">
      <c r="A4" s="3" t="s">
        <v>2</v>
      </c>
      <c r="B4" s="3">
        <v>0.19325699999999998</v>
      </c>
      <c r="C4" s="3">
        <v>18.600000000000023</v>
      </c>
      <c r="D4" s="3" t="s">
        <v>2</v>
      </c>
      <c r="E4" s="3">
        <v>0.19325699999999998</v>
      </c>
      <c r="F4" s="3">
        <v>18.600000000000023</v>
      </c>
    </row>
    <row r="5" spans="1:6" x14ac:dyDescent="0.25">
      <c r="A5" s="3" t="s">
        <v>2</v>
      </c>
      <c r="B5" s="3">
        <v>6.3731999999999997E-2</v>
      </c>
      <c r="C5" s="3">
        <v>18.700000000000045</v>
      </c>
      <c r="D5" s="3" t="s">
        <v>2</v>
      </c>
      <c r="E5" s="3">
        <v>6.3731999999999997E-2</v>
      </c>
      <c r="F5" s="3">
        <v>18.700000000000045</v>
      </c>
    </row>
    <row r="6" spans="1:6" x14ac:dyDescent="0.25">
      <c r="A6" s="3" t="s">
        <v>2</v>
      </c>
      <c r="B6" s="3">
        <v>0.52515500000000004</v>
      </c>
      <c r="C6" s="3">
        <v>32.100000000000023</v>
      </c>
      <c r="D6" s="3" t="s">
        <v>2</v>
      </c>
      <c r="E6" s="3">
        <v>0.52515500000000004</v>
      </c>
      <c r="F6" s="3">
        <v>32.100000000000023</v>
      </c>
    </row>
    <row r="7" spans="1:6" x14ac:dyDescent="0.25">
      <c r="A7" s="3" t="s">
        <v>2</v>
      </c>
      <c r="B7" s="3">
        <v>4.4106999999999986E-2</v>
      </c>
      <c r="C7" s="3">
        <v>15.199999999999932</v>
      </c>
      <c r="D7" s="3" t="s">
        <v>2</v>
      </c>
      <c r="E7" s="3">
        <v>4.4106999999999986E-2</v>
      </c>
      <c r="F7" s="3">
        <v>15.199999999999932</v>
      </c>
    </row>
    <row r="8" spans="1:6" x14ac:dyDescent="0.25">
      <c r="A8" s="3" t="s">
        <v>2</v>
      </c>
      <c r="B8" s="3">
        <v>0.24553799999999995</v>
      </c>
      <c r="C8" s="3">
        <v>33.700000000000045</v>
      </c>
      <c r="D8" s="3" t="s">
        <v>2</v>
      </c>
      <c r="E8" s="3">
        <v>0.24553799999999995</v>
      </c>
      <c r="F8" s="3">
        <v>33.700000000000045</v>
      </c>
    </row>
    <row r="9" spans="1:6" x14ac:dyDescent="0.25">
      <c r="A9" s="3" t="s">
        <v>2</v>
      </c>
      <c r="B9" s="3">
        <v>7.8018999999999991E-2</v>
      </c>
      <c r="C9" s="3">
        <v>18.200000000000045</v>
      </c>
      <c r="D9" s="3" t="s">
        <v>2</v>
      </c>
      <c r="E9" s="3">
        <v>7.8018999999999991E-2</v>
      </c>
      <c r="F9" s="3">
        <v>18.200000000000045</v>
      </c>
    </row>
    <row r="10" spans="1:6" x14ac:dyDescent="0.25">
      <c r="A10" s="3" t="s">
        <v>2</v>
      </c>
      <c r="B10" s="3">
        <v>0.26249399999999995</v>
      </c>
      <c r="C10" s="3">
        <v>33.100000000000023</v>
      </c>
      <c r="D10" s="3" t="s">
        <v>2</v>
      </c>
      <c r="E10" s="3">
        <v>0.26249399999999995</v>
      </c>
      <c r="F10" s="3">
        <v>33.100000000000023</v>
      </c>
    </row>
    <row r="11" spans="1:6" x14ac:dyDescent="0.25">
      <c r="A11" s="3" t="s">
        <v>2</v>
      </c>
      <c r="B11" s="3">
        <v>0.15023899999999998</v>
      </c>
      <c r="C11" s="3">
        <v>24</v>
      </c>
      <c r="D11" s="3" t="s">
        <v>2</v>
      </c>
      <c r="E11" s="3">
        <v>0.15023899999999998</v>
      </c>
      <c r="F11" s="3">
        <v>24</v>
      </c>
    </row>
    <row r="12" spans="1:6" x14ac:dyDescent="0.25">
      <c r="A12" s="3" t="s">
        <v>2</v>
      </c>
      <c r="B12" s="3">
        <v>0.21413799999999997</v>
      </c>
      <c r="C12" s="3">
        <v>22.700000000000045</v>
      </c>
      <c r="D12" s="3" t="s">
        <v>2</v>
      </c>
      <c r="E12" s="3">
        <v>0.21413799999999997</v>
      </c>
      <c r="F12" s="3">
        <v>22.700000000000045</v>
      </c>
    </row>
    <row r="13" spans="1:6" x14ac:dyDescent="0.25">
      <c r="A13" s="3" t="s">
        <v>2</v>
      </c>
      <c r="B13" s="3">
        <v>3.0761999999999994E-2</v>
      </c>
      <c r="C13" s="3">
        <v>15.800000000000068</v>
      </c>
      <c r="D13" s="3" t="s">
        <v>2</v>
      </c>
      <c r="E13" s="3">
        <v>3.0761999999999994E-2</v>
      </c>
      <c r="F13" s="3">
        <v>15.800000000000068</v>
      </c>
    </row>
    <row r="14" spans="1:6" x14ac:dyDescent="0.25">
      <c r="A14" s="3" t="s">
        <v>2</v>
      </c>
      <c r="B14" s="3">
        <v>5.274199999999999E-2</v>
      </c>
      <c r="C14" s="3">
        <v>13.799999999999955</v>
      </c>
      <c r="D14" s="3" t="s">
        <v>2</v>
      </c>
      <c r="E14" s="3">
        <v>5.274199999999999E-2</v>
      </c>
      <c r="F14" s="3">
        <v>13.799999999999955</v>
      </c>
    </row>
    <row r="15" spans="1:6" x14ac:dyDescent="0.25">
      <c r="A15" s="3" t="s">
        <v>2</v>
      </c>
      <c r="B15" s="3">
        <v>9.7239999999999965E-3</v>
      </c>
      <c r="C15" s="3">
        <v>12.399999999999977</v>
      </c>
      <c r="D15" s="3" t="s">
        <v>2</v>
      </c>
      <c r="E15" s="3">
        <v>9.7239999999999965E-3</v>
      </c>
      <c r="F15" s="3">
        <v>12.399999999999977</v>
      </c>
    </row>
    <row r="16" spans="1:6" x14ac:dyDescent="0.25">
      <c r="A16" s="3" t="s">
        <v>3</v>
      </c>
      <c r="B16" s="3">
        <v>0.12103699999999999</v>
      </c>
      <c r="C16" s="3">
        <v>21.100000000000023</v>
      </c>
      <c r="D16" s="3" t="s">
        <v>3</v>
      </c>
      <c r="E16" s="3">
        <v>5.5705000000000011E-2</v>
      </c>
      <c r="F16" s="3">
        <v>15.600000000000023</v>
      </c>
    </row>
    <row r="17" spans="1:6" x14ac:dyDescent="0.25">
      <c r="A17" s="3" t="s">
        <v>3</v>
      </c>
      <c r="B17" s="3">
        <v>0.163741</v>
      </c>
      <c r="C17" s="3">
        <v>10.700000000000045</v>
      </c>
      <c r="D17" s="3" t="s">
        <v>3</v>
      </c>
      <c r="E17" s="3">
        <v>9.0760000000000007E-2</v>
      </c>
      <c r="F17" s="3">
        <v>16.399999999999977</v>
      </c>
    </row>
    <row r="18" spans="1:6" x14ac:dyDescent="0.25">
      <c r="A18" s="3" t="s">
        <v>3</v>
      </c>
      <c r="B18" s="3">
        <v>4.9602E-2</v>
      </c>
      <c r="C18" s="3">
        <v>15.400000000000091</v>
      </c>
      <c r="D18" s="3" t="s">
        <v>3</v>
      </c>
      <c r="E18" s="3">
        <v>5.6702499999999989E-2</v>
      </c>
      <c r="F18" s="3">
        <v>19</v>
      </c>
    </row>
    <row r="19" spans="1:6" x14ac:dyDescent="0.25">
      <c r="A19" s="3" t="s">
        <v>3</v>
      </c>
      <c r="B19" s="3">
        <v>0.17959800000000001</v>
      </c>
      <c r="C19" s="3">
        <v>15.700000000000045</v>
      </c>
      <c r="D19" s="3" t="s">
        <v>3</v>
      </c>
      <c r="E19" s="3">
        <v>0.13479250000000001</v>
      </c>
      <c r="F19" s="3">
        <v>23.200000000000045</v>
      </c>
    </row>
    <row r="20" spans="1:6" x14ac:dyDescent="0.25">
      <c r="A20" s="3" t="s">
        <v>3</v>
      </c>
      <c r="B20" s="3">
        <v>0.20063600000000001</v>
      </c>
      <c r="C20" s="3">
        <v>16.600000000000023</v>
      </c>
      <c r="D20" s="3" t="s">
        <v>3</v>
      </c>
      <c r="E20" s="3">
        <v>5.9125000000000011E-2</v>
      </c>
      <c r="F20" s="3">
        <v>15.200000000000045</v>
      </c>
    </row>
    <row r="21" spans="1:6" x14ac:dyDescent="0.25">
      <c r="A21" s="3" t="s">
        <v>3</v>
      </c>
      <c r="B21" s="3">
        <v>1.7259999999999994E-2</v>
      </c>
      <c r="C21" s="3">
        <v>12.299999999999955</v>
      </c>
      <c r="D21" s="3" t="s">
        <v>3</v>
      </c>
      <c r="E21" s="3">
        <v>5.2712500000000002E-2</v>
      </c>
      <c r="F21" s="3">
        <v>13.299999999999955</v>
      </c>
    </row>
    <row r="22" spans="1:6" x14ac:dyDescent="0.25">
      <c r="A22" s="3" t="s">
        <v>3</v>
      </c>
      <c r="B22" s="3">
        <v>4.9758999999999998E-2</v>
      </c>
      <c r="C22" s="3">
        <v>14.5</v>
      </c>
      <c r="D22" s="3" t="s">
        <v>3</v>
      </c>
      <c r="E22" s="3">
        <v>7.0525000000000004E-2</v>
      </c>
      <c r="F22" s="3">
        <v>18.699999999999932</v>
      </c>
    </row>
    <row r="23" spans="1:6" x14ac:dyDescent="0.25">
      <c r="A23" s="3" t="s">
        <v>3</v>
      </c>
      <c r="B23" s="3">
        <v>4.3949999999999989E-2</v>
      </c>
      <c r="C23" s="3">
        <v>12.199999999999932</v>
      </c>
      <c r="D23" s="3" t="s">
        <v>3</v>
      </c>
      <c r="E23" s="3">
        <v>3.30475E-2</v>
      </c>
      <c r="F23" s="3">
        <v>12.399999999999977</v>
      </c>
    </row>
    <row r="24" spans="1:6" x14ac:dyDescent="0.25">
      <c r="A24" s="3" t="s">
        <v>4</v>
      </c>
      <c r="B24" s="3">
        <v>2.5266999999999998E-2</v>
      </c>
      <c r="C24" s="3">
        <v>9.2000000000000455</v>
      </c>
      <c r="D24" s="3" t="s">
        <v>9</v>
      </c>
      <c r="E24" s="3">
        <v>0.15417250000000002</v>
      </c>
      <c r="F24" s="3">
        <f>911.3-884.2</f>
        <v>27.099999999999909</v>
      </c>
    </row>
    <row r="25" spans="1:6" x14ac:dyDescent="0.25">
      <c r="A25" s="3" t="s">
        <v>4</v>
      </c>
      <c r="B25" s="3">
        <v>9.4099999999999965E-3</v>
      </c>
      <c r="C25" s="3">
        <v>10.099999999999909</v>
      </c>
      <c r="D25" s="3" t="s">
        <v>9</v>
      </c>
      <c r="E25" s="3">
        <v>5.3139999999999993E-2</v>
      </c>
      <c r="F25" s="3">
        <f>890.8-876</f>
        <v>14.799999999999955</v>
      </c>
    </row>
    <row r="26" spans="1:6" x14ac:dyDescent="0.25">
      <c r="A26" s="3" t="s">
        <v>4</v>
      </c>
      <c r="B26" s="3">
        <v>3.1546999999999999E-2</v>
      </c>
      <c r="C26" s="3">
        <v>13.300000000000068</v>
      </c>
      <c r="D26" s="3" t="s">
        <v>7</v>
      </c>
      <c r="E26" s="3">
        <v>9.5604999999999996E-2</v>
      </c>
      <c r="F26" s="3">
        <f>921.7-905.7</f>
        <v>16</v>
      </c>
    </row>
    <row r="27" spans="1:6" x14ac:dyDescent="0.25">
      <c r="A27" s="3" t="s">
        <v>4</v>
      </c>
      <c r="B27" s="3">
        <v>9.4099999999999965E-3</v>
      </c>
      <c r="C27" s="3">
        <v>9</v>
      </c>
      <c r="D27" s="3" t="s">
        <v>7</v>
      </c>
      <c r="E27" s="3">
        <v>6.2402499999999993E-2</v>
      </c>
      <c r="F27" s="3">
        <f>897.3-882</f>
        <v>15.299999999999955</v>
      </c>
    </row>
    <row r="28" spans="1:6" x14ac:dyDescent="0.25">
      <c r="A28" s="3" t="s">
        <v>4</v>
      </c>
      <c r="B28" s="3">
        <v>5.7989999999999977E-3</v>
      </c>
      <c r="C28" s="3">
        <v>10</v>
      </c>
      <c r="D28" s="3" t="s">
        <v>7</v>
      </c>
      <c r="E28" s="3">
        <v>7.8219999999999998E-2</v>
      </c>
      <c r="F28" s="3">
        <f>883.4-863.8</f>
        <v>19.600000000000023</v>
      </c>
    </row>
    <row r="29" spans="1:6" x14ac:dyDescent="0.25">
      <c r="A29" s="3" t="s">
        <v>4</v>
      </c>
      <c r="B29" s="3">
        <v>7.3689999999999997E-3</v>
      </c>
      <c r="C29" s="3">
        <v>10.899999999999977</v>
      </c>
      <c r="D29" s="3" t="s">
        <v>7</v>
      </c>
      <c r="E29" s="3">
        <v>4.8009999999999997E-2</v>
      </c>
      <c r="F29" s="3">
        <f>877.1-864.2</f>
        <v>12.899999999999977</v>
      </c>
    </row>
    <row r="30" spans="1:6" x14ac:dyDescent="0.25">
      <c r="A30" s="3" t="s">
        <v>4</v>
      </c>
      <c r="B30" s="3">
        <v>3.1703999999999989E-2</v>
      </c>
      <c r="C30" s="3">
        <v>12.899999999999977</v>
      </c>
      <c r="D30" s="3" t="s">
        <v>7</v>
      </c>
      <c r="E30" s="3">
        <v>0.10942750000000001</v>
      </c>
      <c r="F30" s="3">
        <f>916.1-900.3</f>
        <v>15.800000000000068</v>
      </c>
    </row>
    <row r="31" spans="1:6" x14ac:dyDescent="0.25">
      <c r="A31" s="3" t="s">
        <v>4</v>
      </c>
      <c r="B31" s="3">
        <v>2.9348999999999997E-2</v>
      </c>
      <c r="C31" s="3">
        <v>12.100000000000023</v>
      </c>
      <c r="D31" s="3" t="s">
        <v>7</v>
      </c>
      <c r="E31" s="3">
        <v>9.5889999999999975E-2</v>
      </c>
      <c r="F31" s="3">
        <f>876.4-859.5</f>
        <v>16.899999999999977</v>
      </c>
    </row>
    <row r="32" spans="1:6" x14ac:dyDescent="0.25">
      <c r="A32" s="3" t="s">
        <v>6</v>
      </c>
      <c r="B32" s="3">
        <v>1.0889999999999988E-3</v>
      </c>
      <c r="C32" s="3">
        <v>4.6000000000000227</v>
      </c>
      <c r="D32" s="3" t="s">
        <v>10</v>
      </c>
      <c r="E32" s="3">
        <v>6.400000000000002E-3</v>
      </c>
      <c r="F32" s="3">
        <v>8.5</v>
      </c>
    </row>
    <row r="33" spans="1:6" x14ac:dyDescent="0.25">
      <c r="A33" s="3" t="s">
        <v>6</v>
      </c>
      <c r="B33" s="3">
        <v>5.0139999999999968E-3</v>
      </c>
      <c r="C33" s="3">
        <v>8.8999999999999773</v>
      </c>
      <c r="D33" s="3" t="s">
        <v>10</v>
      </c>
      <c r="E33" s="3">
        <v>2.4212499999999998E-2</v>
      </c>
      <c r="F33" s="3">
        <v>11.6</v>
      </c>
    </row>
    <row r="34" spans="1:6" x14ac:dyDescent="0.25">
      <c r="A34" s="3" t="s">
        <v>5</v>
      </c>
      <c r="B34" s="3">
        <v>4.6099999999999874E-4</v>
      </c>
      <c r="C34" s="3">
        <v>6.1000000000000227</v>
      </c>
      <c r="D34" s="3" t="s">
        <v>8</v>
      </c>
      <c r="E34" s="3">
        <v>5.3567500000000011E-2</v>
      </c>
      <c r="F34" s="3">
        <v>14.7</v>
      </c>
    </row>
    <row r="35" spans="1:6" x14ac:dyDescent="0.25">
      <c r="A35" s="3" t="s">
        <v>5</v>
      </c>
      <c r="B35" s="3">
        <v>2.5110000000000004E-2</v>
      </c>
      <c r="C35" s="3">
        <v>8</v>
      </c>
      <c r="D35" s="3" t="s">
        <v>8</v>
      </c>
      <c r="E35" s="3">
        <v>1.1387500000000004E-2</v>
      </c>
      <c r="F35" s="3">
        <v>10.9</v>
      </c>
    </row>
    <row r="36" spans="1:6" x14ac:dyDescent="0.25">
      <c r="A36" s="3" t="s">
        <v>5</v>
      </c>
      <c r="B36" s="3">
        <v>1.0351999999999998E-2</v>
      </c>
      <c r="C36" s="3">
        <v>5</v>
      </c>
      <c r="D36" s="3" t="s">
        <v>8</v>
      </c>
      <c r="E36" s="3">
        <v>9.107500000000001E-3</v>
      </c>
      <c r="F36" s="3">
        <v>9.3000000000000007</v>
      </c>
    </row>
    <row r="37" spans="1:6" x14ac:dyDescent="0.25">
      <c r="A37" s="3" t="s">
        <v>5</v>
      </c>
      <c r="B37" s="3">
        <v>7.0549999999999996E-3</v>
      </c>
      <c r="C37" s="3">
        <v>4.5</v>
      </c>
      <c r="D37" s="3" t="s">
        <v>8</v>
      </c>
      <c r="E37" s="3">
        <v>9.432249999999999E-2</v>
      </c>
      <c r="F37" s="3">
        <v>14.1</v>
      </c>
    </row>
    <row r="38" spans="1:6" x14ac:dyDescent="0.25">
      <c r="A38" s="3" t="s">
        <v>5</v>
      </c>
      <c r="B38" s="3">
        <v>3.1860999999999993E-2</v>
      </c>
      <c r="C38" s="3">
        <v>9.6999999999999318</v>
      </c>
    </row>
    <row r="39" spans="1:6" x14ac:dyDescent="0.25">
      <c r="A39" s="3" t="s">
        <v>5</v>
      </c>
      <c r="B39" s="3">
        <v>4.5429999999999993E-3</v>
      </c>
      <c r="C39" s="3">
        <v>5.6999999999999318</v>
      </c>
    </row>
  </sheetData>
  <mergeCells count="2">
    <mergeCell ref="A1:C1"/>
    <mergeCell ref="D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10B5-C8AB-4F64-8973-9D3BA958011F}">
  <dimension ref="A1:F41"/>
  <sheetViews>
    <sheetView workbookViewId="0">
      <selection activeCell="D47" sqref="D47"/>
    </sheetView>
  </sheetViews>
  <sheetFormatPr defaultRowHeight="15" x14ac:dyDescent="0.25"/>
  <cols>
    <col min="1" max="1" width="9" style="3"/>
    <col min="2" max="2" width="13.875" style="3" customWidth="1"/>
    <col min="3" max="3" width="11.25" style="3" customWidth="1"/>
    <col min="4" max="4" width="11" style="3" customWidth="1"/>
    <col min="5" max="5" width="13.875" style="3" customWidth="1"/>
    <col min="6" max="6" width="12" style="1" customWidth="1"/>
    <col min="7" max="16384" width="9" style="1"/>
  </cols>
  <sheetData>
    <row r="1" spans="1:6" ht="17.25" x14ac:dyDescent="0.25">
      <c r="A1" s="7" t="s">
        <v>11</v>
      </c>
      <c r="B1" s="7"/>
      <c r="C1" s="7"/>
      <c r="D1" s="7" t="s">
        <v>12</v>
      </c>
      <c r="E1" s="7"/>
      <c r="F1" s="7"/>
    </row>
    <row r="2" spans="1:6" ht="29.25" x14ac:dyDescent="0.25">
      <c r="A2" s="5" t="s">
        <v>13</v>
      </c>
      <c r="B2" s="5" t="s">
        <v>14</v>
      </c>
      <c r="C2" s="5" t="s">
        <v>15</v>
      </c>
      <c r="D2" s="5" t="s">
        <v>13</v>
      </c>
      <c r="E2" s="5" t="s">
        <v>14</v>
      </c>
      <c r="F2" s="5" t="s">
        <v>15</v>
      </c>
    </row>
    <row r="3" spans="1:6" x14ac:dyDescent="0.25">
      <c r="A3" s="3" t="s">
        <v>2</v>
      </c>
      <c r="B3" s="3">
        <v>0.82351785123966925</v>
      </c>
      <c r="C3" s="3">
        <v>12.5</v>
      </c>
      <c r="D3" s="3" t="s">
        <v>2</v>
      </c>
      <c r="E3" s="3">
        <v>0.82351785123966925</v>
      </c>
      <c r="F3" s="3">
        <v>12.5</v>
      </c>
    </row>
    <row r="4" spans="1:6" x14ac:dyDescent="0.25">
      <c r="A4" s="3" t="s">
        <v>2</v>
      </c>
      <c r="B4" s="3">
        <v>0.91303066115702469</v>
      </c>
      <c r="C4" s="3">
        <v>18.600000000000023</v>
      </c>
      <c r="D4" s="3" t="s">
        <v>2</v>
      </c>
      <c r="E4" s="3">
        <v>0.91303066115702469</v>
      </c>
      <c r="F4" s="3">
        <v>18.600000000000023</v>
      </c>
    </row>
    <row r="5" spans="1:6" x14ac:dyDescent="0.25">
      <c r="A5" s="3" t="s">
        <v>2</v>
      </c>
      <c r="B5" s="3">
        <v>0.78472896694214855</v>
      </c>
      <c r="C5" s="3">
        <v>18.700000000000045</v>
      </c>
      <c r="D5" s="3" t="s">
        <v>2</v>
      </c>
      <c r="E5" s="3">
        <v>0.78472896694214855</v>
      </c>
      <c r="F5" s="3">
        <v>18.700000000000045</v>
      </c>
    </row>
    <row r="6" spans="1:6" x14ac:dyDescent="0.25">
      <c r="A6" s="3" t="s">
        <v>2</v>
      </c>
      <c r="B6" s="3">
        <v>0.55497942148760326</v>
      </c>
      <c r="C6" s="3">
        <v>32.100000000000023</v>
      </c>
      <c r="D6" s="3" t="s">
        <v>2</v>
      </c>
      <c r="E6" s="3">
        <v>0.55497942148760326</v>
      </c>
      <c r="F6" s="3">
        <v>32.100000000000023</v>
      </c>
    </row>
    <row r="7" spans="1:6" x14ac:dyDescent="0.25">
      <c r="A7" s="3" t="s">
        <v>2</v>
      </c>
      <c r="B7" s="3">
        <v>0.42966148760330569</v>
      </c>
      <c r="C7" s="3">
        <v>15.199999999999932</v>
      </c>
      <c r="D7" s="3" t="s">
        <v>2</v>
      </c>
      <c r="E7" s="3">
        <v>0.42966148760330569</v>
      </c>
      <c r="F7" s="3">
        <v>15.199999999999932</v>
      </c>
    </row>
    <row r="8" spans="1:6" x14ac:dyDescent="0.25">
      <c r="A8" s="3" t="s">
        <v>2</v>
      </c>
      <c r="B8" s="3">
        <v>0.99359219008264421</v>
      </c>
      <c r="C8" s="3">
        <v>33.700000000000045</v>
      </c>
      <c r="D8" s="3" t="s">
        <v>2</v>
      </c>
      <c r="E8" s="3">
        <v>0.99359219008264421</v>
      </c>
      <c r="F8" s="3">
        <v>33.700000000000045</v>
      </c>
    </row>
    <row r="9" spans="1:6" x14ac:dyDescent="0.25">
      <c r="A9" s="3" t="s">
        <v>2</v>
      </c>
      <c r="B9" s="3">
        <v>0.49530421487603293</v>
      </c>
      <c r="C9" s="3">
        <v>18.200000000000045</v>
      </c>
      <c r="D9" s="3" t="s">
        <v>2</v>
      </c>
      <c r="E9" s="3">
        <v>0.49530421487603293</v>
      </c>
      <c r="F9" s="3">
        <v>18.200000000000045</v>
      </c>
    </row>
    <row r="10" spans="1:6" x14ac:dyDescent="0.25">
      <c r="A10" s="3" t="s">
        <v>2</v>
      </c>
      <c r="B10" s="3">
        <v>0.39684012396694207</v>
      </c>
      <c r="C10" s="3">
        <v>33.100000000000023</v>
      </c>
      <c r="D10" s="3" t="s">
        <v>2</v>
      </c>
      <c r="E10" s="3">
        <v>0.39684012396694207</v>
      </c>
      <c r="F10" s="3">
        <v>33.100000000000023</v>
      </c>
    </row>
    <row r="11" spans="1:6" x14ac:dyDescent="0.25">
      <c r="A11" s="3" t="s">
        <v>2</v>
      </c>
      <c r="B11" s="3">
        <v>0.59675206611570231</v>
      </c>
      <c r="C11" s="3">
        <v>24</v>
      </c>
      <c r="D11" s="3" t="s">
        <v>2</v>
      </c>
      <c r="E11" s="3">
        <v>0.59675206611570231</v>
      </c>
      <c r="F11" s="3">
        <v>24</v>
      </c>
    </row>
    <row r="12" spans="1:6" x14ac:dyDescent="0.25">
      <c r="A12" s="3" t="s">
        <v>2</v>
      </c>
      <c r="B12" s="3">
        <v>0.74295632231404951</v>
      </c>
      <c r="C12" s="3">
        <v>22.700000000000045</v>
      </c>
      <c r="D12" s="3" t="s">
        <v>2</v>
      </c>
      <c r="E12" s="3">
        <v>0.74295632231404951</v>
      </c>
      <c r="F12" s="3">
        <v>22.700000000000045</v>
      </c>
    </row>
    <row r="13" spans="1:6" x14ac:dyDescent="0.25">
      <c r="A13" s="3" t="s">
        <v>2</v>
      </c>
      <c r="B13" s="3">
        <v>0.42966148760330569</v>
      </c>
      <c r="C13" s="3">
        <v>15.800000000000068</v>
      </c>
      <c r="D13" s="3" t="s">
        <v>2</v>
      </c>
      <c r="E13" s="3">
        <v>0.42966148760330569</v>
      </c>
      <c r="F13" s="3">
        <v>15.800000000000068</v>
      </c>
    </row>
    <row r="14" spans="1:6" x14ac:dyDescent="0.25">
      <c r="A14" s="3" t="s">
        <v>2</v>
      </c>
      <c r="B14" s="3">
        <v>0.67134607438016514</v>
      </c>
      <c r="C14" s="3">
        <v>13.799999999999955</v>
      </c>
      <c r="D14" s="3" t="s">
        <v>2</v>
      </c>
      <c r="E14" s="3">
        <v>0.67134607438016514</v>
      </c>
      <c r="F14" s="3">
        <v>13.799999999999955</v>
      </c>
    </row>
    <row r="15" spans="1:6" x14ac:dyDescent="0.25">
      <c r="A15" s="3" t="s">
        <v>2</v>
      </c>
      <c r="B15" s="3">
        <v>0.31329483471074376</v>
      </c>
      <c r="C15" s="3">
        <v>12.399999999999977</v>
      </c>
      <c r="D15" s="3" t="s">
        <v>2</v>
      </c>
      <c r="E15" s="3">
        <v>0.31329483471074376</v>
      </c>
      <c r="F15" s="3">
        <v>12.399999999999977</v>
      </c>
    </row>
    <row r="16" spans="1:6" x14ac:dyDescent="0.25">
      <c r="A16" s="3" t="s">
        <v>2</v>
      </c>
      <c r="B16" s="3">
        <v>0.33119739669421483</v>
      </c>
      <c r="C16" s="3">
        <v>8.7999999999999545</v>
      </c>
      <c r="D16" s="3" t="s">
        <v>2</v>
      </c>
      <c r="E16" s="3">
        <v>0.33119739669421483</v>
      </c>
      <c r="F16" s="3">
        <v>8.7999999999999545</v>
      </c>
    </row>
    <row r="17" spans="1:6" x14ac:dyDescent="0.25">
      <c r="A17" s="3" t="s">
        <v>3</v>
      </c>
      <c r="B17" s="3">
        <v>0.34611619834710727</v>
      </c>
      <c r="C17" s="3">
        <v>21.100000000000023</v>
      </c>
      <c r="D17" s="3" t="s">
        <v>3</v>
      </c>
      <c r="E17" s="3">
        <v>0.58516376146788984</v>
      </c>
      <c r="F17" s="3">
        <v>15.600000000000023</v>
      </c>
    </row>
    <row r="18" spans="1:6" x14ac:dyDescent="0.25">
      <c r="A18" s="3" t="s">
        <v>3</v>
      </c>
      <c r="B18" s="3">
        <v>0.43861276859504117</v>
      </c>
      <c r="C18" s="3">
        <v>10.700000000000045</v>
      </c>
      <c r="D18" s="3" t="s">
        <v>3</v>
      </c>
      <c r="E18" s="3">
        <v>0.41071871559633022</v>
      </c>
      <c r="F18" s="3">
        <v>16.399999999999977</v>
      </c>
    </row>
    <row r="19" spans="1:6" x14ac:dyDescent="0.25">
      <c r="A19" s="3" t="s">
        <v>3</v>
      </c>
      <c r="B19" s="3">
        <v>0.36998628099173542</v>
      </c>
      <c r="C19" s="3">
        <v>15.400000000000091</v>
      </c>
      <c r="D19" s="3" t="s">
        <v>3</v>
      </c>
      <c r="E19" s="3">
        <v>0.47254733944954125</v>
      </c>
      <c r="F19" s="3">
        <v>19</v>
      </c>
    </row>
    <row r="20" spans="1:6" x14ac:dyDescent="0.25">
      <c r="A20" s="3" t="s">
        <v>3</v>
      </c>
      <c r="B20" s="3">
        <v>0.60570334710743778</v>
      </c>
      <c r="C20" s="3">
        <v>15.700000000000045</v>
      </c>
      <c r="D20" s="3" t="s">
        <v>3</v>
      </c>
      <c r="E20" s="3">
        <v>0.77064963302752287</v>
      </c>
      <c r="F20" s="3">
        <v>23.200000000000045</v>
      </c>
    </row>
    <row r="21" spans="1:6" x14ac:dyDescent="0.25">
      <c r="A21" s="3" t="s">
        <v>3</v>
      </c>
      <c r="B21" s="3">
        <v>0.60271958677685933</v>
      </c>
      <c r="C21" s="3">
        <v>16.600000000000023</v>
      </c>
      <c r="D21" s="3" t="s">
        <v>3</v>
      </c>
      <c r="E21" s="3">
        <v>0.48800449541284396</v>
      </c>
      <c r="F21" s="3">
        <v>15.200000000000045</v>
      </c>
    </row>
    <row r="22" spans="1:6" x14ac:dyDescent="0.25">
      <c r="A22" s="3" t="s">
        <v>3</v>
      </c>
      <c r="B22" s="3">
        <v>0.52514181818181815</v>
      </c>
      <c r="C22" s="3">
        <v>12.299999999999955</v>
      </c>
      <c r="D22" s="3" t="s">
        <v>3</v>
      </c>
      <c r="E22" s="3">
        <v>0.61828623853210996</v>
      </c>
      <c r="F22" s="3">
        <v>13.299999999999955</v>
      </c>
    </row>
    <row r="23" spans="1:6" x14ac:dyDescent="0.25">
      <c r="A23" s="3" t="s">
        <v>3</v>
      </c>
      <c r="B23" s="3">
        <v>0.37595380165289249</v>
      </c>
      <c r="C23" s="3">
        <v>14.5</v>
      </c>
      <c r="D23" s="3" t="s">
        <v>3</v>
      </c>
      <c r="E23" s="3">
        <v>0.67790669724770636</v>
      </c>
      <c r="F23" s="3">
        <v>18.699999999999932</v>
      </c>
    </row>
    <row r="24" spans="1:6" x14ac:dyDescent="0.25">
      <c r="A24" s="3" t="s">
        <v>3</v>
      </c>
      <c r="B24" s="3">
        <v>0.51022301652892543</v>
      </c>
      <c r="C24" s="3">
        <v>12.199999999999932</v>
      </c>
      <c r="D24" s="3" t="s">
        <v>3</v>
      </c>
      <c r="E24" s="3">
        <v>0.46813100917431183</v>
      </c>
      <c r="F24" s="3">
        <v>12.399999999999977</v>
      </c>
    </row>
    <row r="25" spans="1:6" x14ac:dyDescent="0.25">
      <c r="A25" s="3" t="s">
        <v>4</v>
      </c>
      <c r="B25" s="3">
        <v>0.23273330578512394</v>
      </c>
      <c r="C25" s="3">
        <v>9.2000000000000455</v>
      </c>
      <c r="D25" s="3" t="s">
        <v>9</v>
      </c>
      <c r="E25" s="3">
        <v>1.1084988990825686</v>
      </c>
      <c r="F25" s="3">
        <f>911.3-884.2</f>
        <v>27.099999999999909</v>
      </c>
    </row>
    <row r="26" spans="1:6" x14ac:dyDescent="0.25">
      <c r="A26" s="3" t="s">
        <v>4</v>
      </c>
      <c r="B26" s="3">
        <v>0.24466834710743798</v>
      </c>
      <c r="C26" s="3">
        <v>10.099999999999909</v>
      </c>
      <c r="D26" s="3" t="s">
        <v>9</v>
      </c>
      <c r="E26" s="3">
        <v>0.61828623853210996</v>
      </c>
      <c r="F26" s="3">
        <f>890.8-876</f>
        <v>14.799999999999955</v>
      </c>
    </row>
    <row r="27" spans="1:6" x14ac:dyDescent="0.25">
      <c r="A27" s="3" t="s">
        <v>4</v>
      </c>
      <c r="B27" s="3">
        <v>0.30732731404958669</v>
      </c>
      <c r="C27" s="3">
        <v>13.300000000000068</v>
      </c>
      <c r="D27" s="3" t="s">
        <v>7</v>
      </c>
      <c r="E27" s="3">
        <v>0.51229431192660546</v>
      </c>
      <c r="F27" s="3">
        <f>921.7-905.7</f>
        <v>16</v>
      </c>
    </row>
    <row r="28" spans="1:6" x14ac:dyDescent="0.25">
      <c r="A28" s="3" t="s">
        <v>4</v>
      </c>
      <c r="B28" s="3">
        <v>0.29539227272727264</v>
      </c>
      <c r="C28" s="3">
        <v>9</v>
      </c>
      <c r="D28" s="3" t="s">
        <v>7</v>
      </c>
      <c r="E28" s="3">
        <v>0.71544550458715583</v>
      </c>
      <c r="F28" s="3">
        <f>897.3-882</f>
        <v>15.299999999999955</v>
      </c>
    </row>
    <row r="29" spans="1:6" x14ac:dyDescent="0.25">
      <c r="A29" s="3" t="s">
        <v>4</v>
      </c>
      <c r="B29" s="3">
        <v>0.26257090909090902</v>
      </c>
      <c r="C29" s="3">
        <v>10</v>
      </c>
      <c r="D29" s="3" t="s">
        <v>7</v>
      </c>
      <c r="E29" s="3">
        <v>0.45046568807339443</v>
      </c>
      <c r="F29" s="3">
        <f>883.4-863.8</f>
        <v>19.600000000000023</v>
      </c>
    </row>
    <row r="30" spans="1:6" x14ac:dyDescent="0.25">
      <c r="A30" s="3" t="s">
        <v>4</v>
      </c>
      <c r="B30" s="3">
        <v>0.22974954545454543</v>
      </c>
      <c r="C30" s="3">
        <v>10.899999999999977</v>
      </c>
      <c r="D30" s="3" t="s">
        <v>7</v>
      </c>
      <c r="E30" s="3">
        <v>0.43942486238532097</v>
      </c>
      <c r="F30" s="3">
        <f>877.1-864.2</f>
        <v>12.899999999999977</v>
      </c>
    </row>
    <row r="31" spans="1:6" x14ac:dyDescent="0.25">
      <c r="A31" s="3" t="s">
        <v>4</v>
      </c>
      <c r="B31" s="3">
        <v>0.36401876033057839</v>
      </c>
      <c r="C31" s="3">
        <v>12.899999999999977</v>
      </c>
      <c r="D31" s="3" t="s">
        <v>7</v>
      </c>
      <c r="E31" s="3">
        <v>0.56529027522935771</v>
      </c>
      <c r="F31" s="3">
        <f>916.1-900.3</f>
        <v>15.800000000000068</v>
      </c>
    </row>
    <row r="32" spans="1:6" x14ac:dyDescent="0.25">
      <c r="A32" s="3" t="s">
        <v>4</v>
      </c>
      <c r="B32" s="3">
        <v>0.30135979338842966</v>
      </c>
      <c r="C32" s="3">
        <v>12.100000000000023</v>
      </c>
      <c r="D32" s="3" t="s">
        <v>7</v>
      </c>
      <c r="E32" s="3">
        <v>0.83247825688073385</v>
      </c>
      <c r="F32" s="3">
        <f>876.4-859.5</f>
        <v>16.899999999999977</v>
      </c>
    </row>
    <row r="33" spans="1:6" x14ac:dyDescent="0.25">
      <c r="A33" s="3" t="s">
        <v>6</v>
      </c>
      <c r="B33" s="3">
        <v>8.3545289256198349E-2</v>
      </c>
      <c r="C33" s="3">
        <v>4.6000000000000227</v>
      </c>
      <c r="D33" s="3" t="s">
        <v>10</v>
      </c>
      <c r="E33" s="3">
        <v>0.543208623853211</v>
      </c>
      <c r="F33" s="3">
        <v>8.5</v>
      </c>
    </row>
    <row r="34" spans="1:6" x14ac:dyDescent="0.25">
      <c r="A34" s="3" t="s">
        <v>6</v>
      </c>
      <c r="B34" s="3">
        <v>0.13426921487603305</v>
      </c>
      <c r="C34" s="3">
        <v>8.8999999999999773</v>
      </c>
      <c r="D34" s="3" t="s">
        <v>10</v>
      </c>
      <c r="E34" s="3">
        <v>0.33343293577981648</v>
      </c>
      <c r="F34" s="3">
        <v>11.6</v>
      </c>
    </row>
    <row r="35" spans="1:6" x14ac:dyDescent="0.25">
      <c r="A35" s="3" t="s">
        <v>5</v>
      </c>
      <c r="B35" s="3">
        <v>8.6529049586776818E-2</v>
      </c>
      <c r="C35" s="3">
        <v>6.1000000000000227</v>
      </c>
      <c r="D35" s="3" t="s">
        <v>8</v>
      </c>
      <c r="E35" s="3">
        <v>0.47475550458715593</v>
      </c>
      <c r="F35" s="3">
        <v>14.7</v>
      </c>
    </row>
    <row r="36" spans="1:6" x14ac:dyDescent="0.25">
      <c r="A36" s="3" t="s">
        <v>5</v>
      </c>
      <c r="B36" s="3">
        <v>0.1820093801652892</v>
      </c>
      <c r="C36" s="3">
        <v>8</v>
      </c>
      <c r="D36" s="3" t="s">
        <v>8</v>
      </c>
      <c r="E36" s="3">
        <v>0.59178825688073389</v>
      </c>
      <c r="F36" s="3">
        <v>10.9</v>
      </c>
    </row>
    <row r="37" spans="1:6" x14ac:dyDescent="0.25">
      <c r="A37" s="3" t="s">
        <v>5</v>
      </c>
      <c r="B37" s="3">
        <v>2.3870082644628116E-2</v>
      </c>
      <c r="C37" s="3">
        <v>5</v>
      </c>
      <c r="D37" s="3" t="s">
        <v>8</v>
      </c>
      <c r="E37" s="3">
        <v>0.32460027522935775</v>
      </c>
      <c r="F37" s="3">
        <v>9.3000000000000007</v>
      </c>
    </row>
    <row r="38" spans="1:6" x14ac:dyDescent="0.25">
      <c r="A38" s="3" t="s">
        <v>5</v>
      </c>
      <c r="B38" s="3">
        <v>3.5805123966942173E-2</v>
      </c>
      <c r="C38" s="3">
        <v>4.5</v>
      </c>
      <c r="D38" s="3" t="s">
        <v>8</v>
      </c>
      <c r="E38" s="3">
        <v>0.74856798165137595</v>
      </c>
      <c r="F38" s="3">
        <v>14.1</v>
      </c>
    </row>
    <row r="39" spans="1:6" x14ac:dyDescent="0.25">
      <c r="A39" s="3" t="s">
        <v>5</v>
      </c>
      <c r="B39" s="3">
        <v>0.17007433884297513</v>
      </c>
      <c r="C39" s="3">
        <v>9.6999999999999318</v>
      </c>
    </row>
    <row r="40" spans="1:6" x14ac:dyDescent="0.25">
      <c r="A40" s="3" t="s">
        <v>5</v>
      </c>
      <c r="B40" s="3">
        <v>8.9512809917355357E-2</v>
      </c>
      <c r="C40" s="3">
        <v>5.6999999999999318</v>
      </c>
    </row>
    <row r="41" spans="1:6" ht="14.25" customHeight="1" x14ac:dyDescent="0.25">
      <c r="A41" s="4"/>
    </row>
  </sheetData>
  <mergeCells count="2">
    <mergeCell ref="A1:C1"/>
    <mergeCell ref="D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4C6C-CE1E-4C8F-8B2A-B5DF4AD5FE09}">
  <dimension ref="A1:L51"/>
  <sheetViews>
    <sheetView workbookViewId="0">
      <selection sqref="A1:XFD1048576"/>
    </sheetView>
  </sheetViews>
  <sheetFormatPr defaultRowHeight="15" x14ac:dyDescent="0.2"/>
  <cols>
    <col min="1" max="1" width="14.125" style="6" customWidth="1"/>
    <col min="2" max="2" width="14.625" style="6" customWidth="1"/>
    <col min="3" max="3" width="16.375" style="6" customWidth="1"/>
    <col min="4" max="16384" width="9" style="6"/>
  </cols>
  <sheetData>
    <row r="1" spans="1:12" x14ac:dyDescent="0.2">
      <c r="A1" s="8" t="s">
        <v>20</v>
      </c>
      <c r="B1" s="9"/>
      <c r="C1" s="9"/>
      <c r="D1" s="9"/>
      <c r="E1" s="9"/>
      <c r="F1" s="9"/>
      <c r="G1" s="8" t="s">
        <v>21</v>
      </c>
      <c r="H1" s="9"/>
      <c r="I1" s="9"/>
      <c r="J1" s="9"/>
      <c r="K1" s="9"/>
      <c r="L1" s="9"/>
    </row>
    <row r="2" spans="1:12" ht="42.75" x14ac:dyDescent="0.2">
      <c r="A2" s="10" t="s">
        <v>18</v>
      </c>
      <c r="B2" s="10" t="s">
        <v>15</v>
      </c>
      <c r="C2" s="10" t="s">
        <v>19</v>
      </c>
      <c r="D2" s="11" t="s">
        <v>17</v>
      </c>
      <c r="E2" s="11" t="s">
        <v>16</v>
      </c>
      <c r="F2" s="11" t="s">
        <v>1</v>
      </c>
      <c r="G2" s="10" t="s">
        <v>18</v>
      </c>
      <c r="H2" s="10" t="s">
        <v>15</v>
      </c>
      <c r="I2" s="10" t="s">
        <v>19</v>
      </c>
      <c r="J2" s="11" t="s">
        <v>17</v>
      </c>
      <c r="K2" s="11" t="s">
        <v>16</v>
      </c>
      <c r="L2" s="11" t="s">
        <v>1</v>
      </c>
    </row>
    <row r="3" spans="1:12" x14ac:dyDescent="0.2">
      <c r="A3" s="6">
        <v>400.4</v>
      </c>
      <c r="B3" s="6">
        <f>912.9-894.5</f>
        <v>18.399999999999977</v>
      </c>
      <c r="C3" s="6">
        <f>983.8-860</f>
        <v>123.79999999999995</v>
      </c>
      <c r="D3" s="6">
        <f>B3/A3</f>
        <v>4.5954045954045897E-2</v>
      </c>
      <c r="E3" s="6">
        <f>B3/C3</f>
        <v>0.14862681744749584</v>
      </c>
      <c r="F3" s="6" t="s">
        <v>2</v>
      </c>
      <c r="G3" s="6">
        <v>448.2</v>
      </c>
      <c r="H3" s="6">
        <f>887.9-876.2</f>
        <v>11.699999999999932</v>
      </c>
      <c r="I3" s="6">
        <f>1008.8-872.5</f>
        <v>136.29999999999995</v>
      </c>
      <c r="J3" s="6">
        <f>H3/G3</f>
        <v>2.610441767068258E-2</v>
      </c>
      <c r="K3" s="6">
        <f>H3/I3</f>
        <v>8.5840058694056753E-2</v>
      </c>
      <c r="L3" s="6" t="s">
        <v>2</v>
      </c>
    </row>
    <row r="4" spans="1:12" x14ac:dyDescent="0.2">
      <c r="A4" s="6">
        <v>377.8</v>
      </c>
      <c r="B4" s="6">
        <f>899.5-878.7</f>
        <v>20.799999999999955</v>
      </c>
      <c r="C4" s="6">
        <f>1007.9-890.2</f>
        <v>117.69999999999993</v>
      </c>
      <c r="D4" s="6">
        <f t="shared" ref="D4:D11" si="0">B4/A4</f>
        <v>5.505558496559014E-2</v>
      </c>
      <c r="E4" s="6">
        <f t="shared" ref="E4:E11" si="1">B4/C4</f>
        <v>0.17672047578589606</v>
      </c>
      <c r="F4" s="6" t="s">
        <v>2</v>
      </c>
      <c r="G4" s="6">
        <v>406.1</v>
      </c>
      <c r="H4" s="6">
        <f>896.4-883.1</f>
        <v>13.299999999999955</v>
      </c>
      <c r="I4" s="6">
        <f>985.1-861.4</f>
        <v>123.70000000000005</v>
      </c>
      <c r="J4" s="6">
        <f t="shared" ref="J4:J16" si="2">H4/G4</f>
        <v>3.2750554050726306E-2</v>
      </c>
      <c r="K4" s="6">
        <f t="shared" ref="K4:K16" si="3">H4/I4</f>
        <v>0.10751818916733993</v>
      </c>
      <c r="L4" s="6" t="s">
        <v>2</v>
      </c>
    </row>
    <row r="5" spans="1:12" x14ac:dyDescent="0.2">
      <c r="A5" s="6">
        <v>311.7</v>
      </c>
      <c r="B5" s="6">
        <f>913.3-898.9</f>
        <v>14.399999999999977</v>
      </c>
      <c r="C5" s="6">
        <f>1022.1-931</f>
        <v>91.100000000000023</v>
      </c>
      <c r="D5" s="6">
        <f t="shared" si="0"/>
        <v>4.6198267564966242E-2</v>
      </c>
      <c r="E5" s="6">
        <f t="shared" si="1"/>
        <v>0.15806805708013144</v>
      </c>
      <c r="F5" s="6" t="s">
        <v>2</v>
      </c>
      <c r="G5" s="6">
        <v>335.5</v>
      </c>
      <c r="H5" s="6">
        <f>891.4-882.4</f>
        <v>9</v>
      </c>
      <c r="I5" s="6">
        <f>991.4-889.8</f>
        <v>101.60000000000002</v>
      </c>
      <c r="J5" s="6">
        <f t="shared" si="2"/>
        <v>2.6825633383010434E-2</v>
      </c>
      <c r="K5" s="6">
        <f t="shared" si="3"/>
        <v>8.8582677165354312E-2</v>
      </c>
      <c r="L5" s="6" t="s">
        <v>2</v>
      </c>
    </row>
    <row r="6" spans="1:12" x14ac:dyDescent="0.2">
      <c r="A6" s="6">
        <v>295.60000000000002</v>
      </c>
      <c r="B6" s="6">
        <f>908.1-893.8</f>
        <v>14.300000000000068</v>
      </c>
      <c r="C6" s="6">
        <f>981.8-898.1</f>
        <v>83.699999999999932</v>
      </c>
      <c r="D6" s="6">
        <f t="shared" si="0"/>
        <v>4.8376184032476545E-2</v>
      </c>
      <c r="E6" s="6">
        <f t="shared" si="1"/>
        <v>0.17084826762246214</v>
      </c>
      <c r="F6" s="6" t="s">
        <v>2</v>
      </c>
      <c r="G6" s="6">
        <v>398.9</v>
      </c>
      <c r="H6" s="6">
        <f>888.8-879.1</f>
        <v>9.6999999999999318</v>
      </c>
      <c r="I6" s="6">
        <f>993.7-872.5</f>
        <v>121.20000000000005</v>
      </c>
      <c r="J6" s="6">
        <f t="shared" si="2"/>
        <v>2.4316871396339767E-2</v>
      </c>
      <c r="K6" s="6">
        <f t="shared" si="3"/>
        <v>8.0033003300329433E-2</v>
      </c>
      <c r="L6" s="6" t="s">
        <v>2</v>
      </c>
    </row>
    <row r="7" spans="1:12" x14ac:dyDescent="0.2">
      <c r="A7" s="6">
        <v>400</v>
      </c>
      <c r="B7" s="6">
        <f>906-886.1</f>
        <v>19.899999999999977</v>
      </c>
      <c r="C7" s="6">
        <f>991.4-877.6</f>
        <v>113.79999999999995</v>
      </c>
      <c r="D7" s="6">
        <f t="shared" si="0"/>
        <v>4.974999999999994E-2</v>
      </c>
      <c r="E7" s="6">
        <f t="shared" si="1"/>
        <v>0.17486818980667826</v>
      </c>
      <c r="F7" s="6" t="s">
        <v>2</v>
      </c>
      <c r="G7" s="6">
        <v>481.6</v>
      </c>
      <c r="H7" s="6">
        <f>907.8-892.4</f>
        <v>15.399999999999977</v>
      </c>
      <c r="I7" s="6">
        <f>1020.9-885.9</f>
        <v>135</v>
      </c>
      <c r="J7" s="6">
        <f t="shared" si="2"/>
        <v>3.1976744186046464E-2</v>
      </c>
      <c r="K7" s="6">
        <f t="shared" si="3"/>
        <v>0.11407407407407391</v>
      </c>
      <c r="L7" s="6" t="s">
        <v>2</v>
      </c>
    </row>
    <row r="8" spans="1:12" x14ac:dyDescent="0.2">
      <c r="A8" s="6">
        <v>367</v>
      </c>
      <c r="B8" s="6">
        <f>880.2-857.1</f>
        <v>23.100000000000023</v>
      </c>
      <c r="C8" s="6">
        <f>1008.7-889.3</f>
        <v>119.40000000000009</v>
      </c>
      <c r="D8" s="6">
        <f t="shared" si="0"/>
        <v>6.2942779291553189E-2</v>
      </c>
      <c r="E8" s="6">
        <f t="shared" si="1"/>
        <v>0.19346733668341712</v>
      </c>
      <c r="F8" s="6" t="s">
        <v>2</v>
      </c>
      <c r="G8" s="6">
        <v>268.3</v>
      </c>
      <c r="H8" s="6">
        <f>885.6-879.6</f>
        <v>6</v>
      </c>
      <c r="I8" s="6">
        <f>968.3-873</f>
        <v>95.299999999999955</v>
      </c>
      <c r="J8" s="6">
        <f t="shared" si="2"/>
        <v>2.2363026462914645E-2</v>
      </c>
      <c r="K8" s="6">
        <f t="shared" si="3"/>
        <v>6.2959076600209898E-2</v>
      </c>
      <c r="L8" s="6" t="s">
        <v>2</v>
      </c>
    </row>
    <row r="9" spans="1:12" x14ac:dyDescent="0.2">
      <c r="A9" s="6">
        <v>380.2</v>
      </c>
      <c r="B9" s="6">
        <f>904-886.6</f>
        <v>17.399999999999977</v>
      </c>
      <c r="C9" s="6">
        <f>987.9-878.4</f>
        <v>109.5</v>
      </c>
      <c r="D9" s="6">
        <f t="shared" si="0"/>
        <v>4.5765386638611197E-2</v>
      </c>
      <c r="E9" s="6">
        <f t="shared" si="1"/>
        <v>0.15890410958904089</v>
      </c>
      <c r="F9" s="6" t="s">
        <v>2</v>
      </c>
      <c r="G9" s="6">
        <v>401.9</v>
      </c>
      <c r="H9" s="6">
        <f>906.3-893.3</f>
        <v>13</v>
      </c>
      <c r="I9" s="6">
        <f>1019.6-890</f>
        <v>129.60000000000002</v>
      </c>
      <c r="J9" s="6">
        <f t="shared" si="2"/>
        <v>3.234635481463051E-2</v>
      </c>
      <c r="K9" s="6">
        <f t="shared" si="3"/>
        <v>0.10030864197530863</v>
      </c>
      <c r="L9" s="6" t="s">
        <v>2</v>
      </c>
    </row>
    <row r="10" spans="1:12" x14ac:dyDescent="0.2">
      <c r="A10" s="6">
        <v>398.3</v>
      </c>
      <c r="B10" s="6">
        <f>878.3-860.8</f>
        <v>17.5</v>
      </c>
      <c r="C10" s="6">
        <f>1013-899.4</f>
        <v>113.60000000000002</v>
      </c>
      <c r="D10" s="6">
        <f t="shared" si="0"/>
        <v>4.3936731107205626E-2</v>
      </c>
      <c r="E10" s="6">
        <f t="shared" si="1"/>
        <v>0.15404929577464785</v>
      </c>
      <c r="F10" s="6" t="s">
        <v>2</v>
      </c>
      <c r="G10" s="6">
        <v>397</v>
      </c>
      <c r="H10" s="6">
        <f>883-873.8</f>
        <v>9.2000000000000455</v>
      </c>
      <c r="I10" s="6">
        <f>1018.9-890.5</f>
        <v>128.39999999999998</v>
      </c>
      <c r="J10" s="6">
        <f t="shared" si="2"/>
        <v>2.3173803526448478E-2</v>
      </c>
      <c r="K10" s="6">
        <f t="shared" si="3"/>
        <v>7.1651090342679497E-2</v>
      </c>
      <c r="L10" s="6" t="s">
        <v>2</v>
      </c>
    </row>
    <row r="11" spans="1:12" x14ac:dyDescent="0.2">
      <c r="A11" s="6">
        <v>321.89999999999998</v>
      </c>
      <c r="B11" s="6">
        <f>905.7-890</f>
        <v>15.700000000000045</v>
      </c>
      <c r="C11" s="6">
        <f>974.7-889.1</f>
        <v>85.600000000000023</v>
      </c>
      <c r="D11" s="6">
        <f t="shared" si="0"/>
        <v>4.8772910841876502E-2</v>
      </c>
      <c r="E11" s="6">
        <f t="shared" si="1"/>
        <v>0.18341121495327151</v>
      </c>
      <c r="F11" s="6" t="s">
        <v>2</v>
      </c>
      <c r="G11" s="6">
        <v>266.60000000000002</v>
      </c>
      <c r="H11" s="6">
        <f>890.4-885.7</f>
        <v>4.6999999999999318</v>
      </c>
      <c r="I11" s="6">
        <f>969.3-889.1</f>
        <v>80.199999999999932</v>
      </c>
      <c r="J11" s="6">
        <f t="shared" si="2"/>
        <v>1.7629407351837701E-2</v>
      </c>
      <c r="K11" s="6">
        <f t="shared" si="3"/>
        <v>5.8603491271819651E-2</v>
      </c>
      <c r="L11" s="6" t="s">
        <v>2</v>
      </c>
    </row>
    <row r="12" spans="1:12" x14ac:dyDescent="0.2">
      <c r="A12" s="6">
        <v>378.3</v>
      </c>
      <c r="B12" s="6">
        <f>963.2-942.1</f>
        <v>21.100000000000023</v>
      </c>
      <c r="C12" s="6">
        <f>980.1-864.1</f>
        <v>116</v>
      </c>
      <c r="D12" s="6">
        <f>B12/A12</f>
        <v>5.5775839280993979E-2</v>
      </c>
      <c r="E12" s="6">
        <f>B12/C12</f>
        <v>0.18189655172413813</v>
      </c>
      <c r="F12" s="6" t="s">
        <v>3</v>
      </c>
      <c r="G12" s="6">
        <v>306</v>
      </c>
      <c r="H12" s="6">
        <f>856.9-849.3</f>
        <v>7.6000000000000227</v>
      </c>
      <c r="I12" s="6">
        <f>991.1-899.1</f>
        <v>92</v>
      </c>
      <c r="J12" s="6">
        <f t="shared" si="2"/>
        <v>2.4836601307189617E-2</v>
      </c>
      <c r="K12" s="6">
        <f t="shared" si="3"/>
        <v>8.2608695652174158E-2</v>
      </c>
      <c r="L12" s="6" t="s">
        <v>2</v>
      </c>
    </row>
    <row r="13" spans="1:12" x14ac:dyDescent="0.2">
      <c r="A13" s="6">
        <v>303</v>
      </c>
      <c r="B13" s="6">
        <f>870.5-859.8</f>
        <v>10.700000000000045</v>
      </c>
      <c r="C13" s="6">
        <f>965.5-880.6</f>
        <v>84.899999999999977</v>
      </c>
      <c r="D13" s="6">
        <f t="shared" ref="D13:D19" si="4">B13/A13</f>
        <v>3.5313531353135461E-2</v>
      </c>
      <c r="E13" s="6">
        <f t="shared" ref="E13:E19" si="5">B13/C13</f>
        <v>0.12603062426384037</v>
      </c>
      <c r="F13" s="6" t="s">
        <v>3</v>
      </c>
      <c r="G13" s="6">
        <v>388.9</v>
      </c>
      <c r="H13" s="6">
        <f>890.9-883.4</f>
        <v>7.5</v>
      </c>
      <c r="I13" s="6">
        <f>982.5-897.7</f>
        <v>84.799999999999955</v>
      </c>
      <c r="J13" s="6">
        <f t="shared" si="2"/>
        <v>1.9285163281049116E-2</v>
      </c>
      <c r="K13" s="6">
        <f t="shared" si="3"/>
        <v>8.8443396226415144E-2</v>
      </c>
      <c r="L13" s="6" t="s">
        <v>2</v>
      </c>
    </row>
    <row r="14" spans="1:12" x14ac:dyDescent="0.2">
      <c r="A14" s="6">
        <v>300.60000000000002</v>
      </c>
      <c r="B14" s="6">
        <f>893.7-878.3</f>
        <v>15.400000000000091</v>
      </c>
      <c r="C14" s="6">
        <f>969.5-882.2</f>
        <v>87.299999999999955</v>
      </c>
      <c r="D14" s="6">
        <f t="shared" si="4"/>
        <v>5.1230871590153326E-2</v>
      </c>
      <c r="E14" s="6">
        <f t="shared" si="5"/>
        <v>0.1764032073310435</v>
      </c>
      <c r="F14" s="6" t="s">
        <v>3</v>
      </c>
      <c r="G14" s="6">
        <v>299</v>
      </c>
      <c r="H14" s="6">
        <f>876.8-868.8</f>
        <v>8</v>
      </c>
      <c r="I14" s="6">
        <f>999.1-899.1</f>
        <v>100</v>
      </c>
      <c r="J14" s="6">
        <f t="shared" si="2"/>
        <v>2.6755852842809364E-2</v>
      </c>
      <c r="K14" s="6">
        <f t="shared" si="3"/>
        <v>0.08</v>
      </c>
      <c r="L14" s="6" t="s">
        <v>2</v>
      </c>
    </row>
    <row r="15" spans="1:12" x14ac:dyDescent="0.2">
      <c r="A15" s="6">
        <v>370.7</v>
      </c>
      <c r="B15" s="6">
        <f>935.6-919.9</f>
        <v>15.700000000000045</v>
      </c>
      <c r="C15" s="6">
        <f>1024.9-904.6</f>
        <v>120.30000000000007</v>
      </c>
      <c r="D15" s="6">
        <f t="shared" si="4"/>
        <v>4.235230644726206E-2</v>
      </c>
      <c r="E15" s="6">
        <f t="shared" si="5"/>
        <v>0.13050706566916073</v>
      </c>
      <c r="F15" s="6" t="s">
        <v>3</v>
      </c>
      <c r="G15" s="6">
        <v>317.7</v>
      </c>
      <c r="H15" s="6">
        <f>897.7-885.6</f>
        <v>12.100000000000023</v>
      </c>
      <c r="I15" s="6">
        <f>988.6-878.5</f>
        <v>110.10000000000002</v>
      </c>
      <c r="J15" s="6">
        <f t="shared" si="2"/>
        <v>3.8086244885111815E-2</v>
      </c>
      <c r="K15" s="6">
        <f t="shared" si="3"/>
        <v>0.10990009082652152</v>
      </c>
      <c r="L15" s="6" t="s">
        <v>2</v>
      </c>
    </row>
    <row r="16" spans="1:12" x14ac:dyDescent="0.2">
      <c r="A16" s="6">
        <v>326.2</v>
      </c>
      <c r="B16" s="6">
        <f>892.9-876.3</f>
        <v>16.600000000000023</v>
      </c>
      <c r="C16" s="6">
        <f>1002.1-895.9</f>
        <v>106.20000000000005</v>
      </c>
      <c r="D16" s="6">
        <f t="shared" si="4"/>
        <v>5.0889025137952251E-2</v>
      </c>
      <c r="E16" s="6">
        <f t="shared" si="5"/>
        <v>0.15630885122410562</v>
      </c>
      <c r="F16" s="6" t="s">
        <v>3</v>
      </c>
      <c r="G16" s="6">
        <v>360.1</v>
      </c>
      <c r="H16" s="6">
        <f>910.6-898.5</f>
        <v>12.100000000000023</v>
      </c>
      <c r="I16" s="6">
        <f>1006.2-889.1</f>
        <v>117.10000000000002</v>
      </c>
      <c r="J16" s="6">
        <f t="shared" si="2"/>
        <v>3.3601777284087815E-2</v>
      </c>
      <c r="K16" s="6">
        <f t="shared" si="3"/>
        <v>0.10333048676345022</v>
      </c>
      <c r="L16" s="6" t="s">
        <v>2</v>
      </c>
    </row>
    <row r="17" spans="1:12" x14ac:dyDescent="0.2">
      <c r="A17" s="6">
        <v>294.7</v>
      </c>
      <c r="B17" s="6">
        <f>876-863.7</f>
        <v>12.299999999999955</v>
      </c>
      <c r="C17" s="6">
        <f>1019.5-932.6</f>
        <v>86.899999999999977</v>
      </c>
      <c r="D17" s="6">
        <f t="shared" si="4"/>
        <v>4.1737360027146099E-2</v>
      </c>
      <c r="E17" s="6">
        <f t="shared" si="5"/>
        <v>0.1415420023014955</v>
      </c>
      <c r="F17" s="6" t="s">
        <v>3</v>
      </c>
      <c r="G17" s="6">
        <v>284.5</v>
      </c>
      <c r="H17" s="6">
        <f>873.4-866.4</f>
        <v>7</v>
      </c>
      <c r="I17" s="6">
        <f>996.6-919.1</f>
        <v>77.5</v>
      </c>
      <c r="J17" s="6">
        <f>H17/G17</f>
        <v>2.4604569420035149E-2</v>
      </c>
      <c r="K17" s="6">
        <f>H17/I17</f>
        <v>9.0322580645161285E-2</v>
      </c>
      <c r="L17" s="6" t="s">
        <v>3</v>
      </c>
    </row>
    <row r="18" spans="1:12" x14ac:dyDescent="0.2">
      <c r="A18" s="6">
        <v>337.5</v>
      </c>
      <c r="B18" s="6">
        <f>883.1-868.6</f>
        <v>14.5</v>
      </c>
      <c r="C18" s="6">
        <f>975.3-878.8</f>
        <v>96.5</v>
      </c>
      <c r="D18" s="6">
        <f t="shared" si="4"/>
        <v>4.296296296296296E-2</v>
      </c>
      <c r="E18" s="6">
        <f t="shared" si="5"/>
        <v>0.15025906735751296</v>
      </c>
      <c r="F18" s="6" t="s">
        <v>3</v>
      </c>
      <c r="G18" s="6">
        <v>323.7</v>
      </c>
      <c r="H18" s="6">
        <f>895.1-887.5</f>
        <v>7.6000000000000227</v>
      </c>
      <c r="I18" s="6">
        <f>1002-903.6</f>
        <v>98.399999999999977</v>
      </c>
      <c r="J18" s="6">
        <f t="shared" ref="J18:J24" si="6">H18/G18</f>
        <v>2.347852950262596E-2</v>
      </c>
      <c r="K18" s="6">
        <f t="shared" ref="K18:K24" si="7">H18/I18</f>
        <v>7.7235772357723831E-2</v>
      </c>
      <c r="L18" s="6" t="s">
        <v>3</v>
      </c>
    </row>
    <row r="19" spans="1:12" x14ac:dyDescent="0.2">
      <c r="A19" s="6">
        <v>274.3</v>
      </c>
      <c r="B19" s="6">
        <f>900.3-888.1</f>
        <v>12.199999999999932</v>
      </c>
      <c r="C19" s="6">
        <f>973.6-887.6</f>
        <v>86</v>
      </c>
      <c r="D19" s="6">
        <f t="shared" si="4"/>
        <v>4.4476850164053706E-2</v>
      </c>
      <c r="E19" s="6">
        <f t="shared" si="5"/>
        <v>0.14186046511627828</v>
      </c>
      <c r="F19" s="6" t="s">
        <v>3</v>
      </c>
      <c r="G19" s="6">
        <v>364</v>
      </c>
      <c r="H19" s="6">
        <f>894.3-885.1</f>
        <v>9.1999999999999318</v>
      </c>
      <c r="I19" s="6">
        <f>992.2-878.3</f>
        <v>113.90000000000009</v>
      </c>
      <c r="J19" s="6">
        <f t="shared" si="6"/>
        <v>2.5274725274725088E-2</v>
      </c>
      <c r="K19" s="6">
        <f t="shared" si="7"/>
        <v>8.0772607550482212E-2</v>
      </c>
      <c r="L19" s="6" t="s">
        <v>3</v>
      </c>
    </row>
    <row r="20" spans="1:12" x14ac:dyDescent="0.2">
      <c r="A20" s="6">
        <v>274.60000000000002</v>
      </c>
      <c r="B20" s="6">
        <f>894.5-885.3</f>
        <v>9.2000000000000455</v>
      </c>
      <c r="C20" s="6">
        <f>981.3-903</f>
        <v>78.299999999999955</v>
      </c>
      <c r="D20" s="6">
        <f>B20/A20</f>
        <v>3.3503277494537673E-2</v>
      </c>
      <c r="E20" s="6">
        <f>B20/C20</f>
        <v>0.11749680715198021</v>
      </c>
      <c r="F20" s="6" t="s">
        <v>4</v>
      </c>
      <c r="G20" s="6">
        <v>276.5</v>
      </c>
      <c r="H20" s="6">
        <f>896.2-890.2</f>
        <v>6</v>
      </c>
      <c r="I20" s="6">
        <f>985-894.4</f>
        <v>90.600000000000023</v>
      </c>
      <c r="J20" s="6">
        <f t="shared" si="6"/>
        <v>2.1699819168173599E-2</v>
      </c>
      <c r="K20" s="6">
        <f t="shared" si="7"/>
        <v>6.6225165562913885E-2</v>
      </c>
      <c r="L20" s="6" t="s">
        <v>3</v>
      </c>
    </row>
    <row r="21" spans="1:12" x14ac:dyDescent="0.2">
      <c r="A21" s="6">
        <v>204</v>
      </c>
      <c r="B21" s="6">
        <f>901.8-891.7</f>
        <v>10.099999999999909</v>
      </c>
      <c r="C21" s="6">
        <f>961.1-898.7</f>
        <v>62.399999999999977</v>
      </c>
      <c r="D21" s="6">
        <f t="shared" ref="D21:D27" si="8">B21/A21</f>
        <v>4.9509803921568181E-2</v>
      </c>
      <c r="E21" s="6">
        <f t="shared" ref="E21:E27" si="9">B21/C21</f>
        <v>0.16185897435897295</v>
      </c>
      <c r="F21" s="6" t="s">
        <v>4</v>
      </c>
      <c r="G21" s="6">
        <v>293.10000000000002</v>
      </c>
      <c r="H21" s="6">
        <f>895.3-887.8</f>
        <v>7.5</v>
      </c>
      <c r="I21" s="6">
        <f>963.8-869.9</f>
        <v>93.899999999999977</v>
      </c>
      <c r="J21" s="6">
        <f t="shared" si="6"/>
        <v>2.5588536335721595E-2</v>
      </c>
      <c r="K21" s="6">
        <f t="shared" si="7"/>
        <v>7.9872204472843475E-2</v>
      </c>
      <c r="L21" s="6" t="s">
        <v>3</v>
      </c>
    </row>
    <row r="22" spans="1:12" x14ac:dyDescent="0.2">
      <c r="A22" s="6">
        <v>279.2</v>
      </c>
      <c r="B22" s="6">
        <f>867.1-853.8</f>
        <v>13.300000000000068</v>
      </c>
      <c r="C22" s="6">
        <f>969.2-872.1</f>
        <v>97.100000000000023</v>
      </c>
      <c r="D22" s="6">
        <f t="shared" si="8"/>
        <v>4.7636103151862709E-2</v>
      </c>
      <c r="E22" s="6">
        <f t="shared" si="9"/>
        <v>0.13697219361483073</v>
      </c>
      <c r="F22" s="6" t="s">
        <v>4</v>
      </c>
      <c r="G22" s="6">
        <v>314.2</v>
      </c>
      <c r="H22" s="6">
        <f>902.9-895.5</f>
        <v>7.3999999999999773</v>
      </c>
      <c r="I22" s="6">
        <f>977.1-879.8</f>
        <v>97.300000000000068</v>
      </c>
      <c r="J22" s="6">
        <f t="shared" si="6"/>
        <v>2.3551877784850343E-2</v>
      </c>
      <c r="K22" s="6">
        <f t="shared" si="7"/>
        <v>7.6053442959917492E-2</v>
      </c>
      <c r="L22" s="6" t="s">
        <v>3</v>
      </c>
    </row>
    <row r="23" spans="1:12" x14ac:dyDescent="0.2">
      <c r="A23" s="6">
        <v>191.5</v>
      </c>
      <c r="B23" s="6">
        <f>896.4-887.4</f>
        <v>9</v>
      </c>
      <c r="C23" s="6">
        <f>933.4-868.8</f>
        <v>64.600000000000023</v>
      </c>
      <c r="D23" s="6">
        <f t="shared" si="8"/>
        <v>4.6997389033942558E-2</v>
      </c>
      <c r="E23" s="6">
        <f t="shared" si="9"/>
        <v>0.13931888544891635</v>
      </c>
      <c r="F23" s="6" t="s">
        <v>4</v>
      </c>
      <c r="G23" s="6">
        <v>427.9</v>
      </c>
      <c r="H23" s="6">
        <f>903.9-892</f>
        <v>11.899999999999977</v>
      </c>
      <c r="I23" s="6">
        <f>1037.5-890.5</f>
        <v>147</v>
      </c>
      <c r="J23" s="6">
        <f t="shared" si="6"/>
        <v>2.7810236036457065E-2</v>
      </c>
      <c r="K23" s="6">
        <f t="shared" si="7"/>
        <v>8.0952380952380804E-2</v>
      </c>
      <c r="L23" s="6" t="s">
        <v>3</v>
      </c>
    </row>
    <row r="24" spans="1:12" x14ac:dyDescent="0.2">
      <c r="A24" s="6">
        <v>274.89999999999998</v>
      </c>
      <c r="B24" s="6">
        <f>892.5-882.5</f>
        <v>10</v>
      </c>
      <c r="C24" s="6">
        <f>980.4-891.2</f>
        <v>89.199999999999932</v>
      </c>
      <c r="D24" s="6">
        <f t="shared" si="8"/>
        <v>3.6376864314296112E-2</v>
      </c>
      <c r="E24" s="6">
        <f t="shared" si="9"/>
        <v>0.11210762331838574</v>
      </c>
      <c r="F24" s="6" t="s">
        <v>4</v>
      </c>
      <c r="G24" s="6">
        <v>271.2</v>
      </c>
      <c r="H24" s="6">
        <f>891.3-885.8</f>
        <v>5.5</v>
      </c>
      <c r="I24" s="6">
        <f>935.9-847.6</f>
        <v>88.299999999999955</v>
      </c>
      <c r="J24" s="6">
        <f t="shared" si="6"/>
        <v>2.0280235988200591E-2</v>
      </c>
      <c r="K24" s="6">
        <f t="shared" si="7"/>
        <v>6.2287655719139329E-2</v>
      </c>
      <c r="L24" s="6" t="s">
        <v>3</v>
      </c>
    </row>
    <row r="25" spans="1:12" x14ac:dyDescent="0.2">
      <c r="A25" s="6">
        <v>244.3</v>
      </c>
      <c r="B25" s="6">
        <f>893.4-882.5</f>
        <v>10.899999999999977</v>
      </c>
      <c r="C25" s="6">
        <f>962.4-881.7</f>
        <v>80.699999999999932</v>
      </c>
      <c r="D25" s="6">
        <f t="shared" si="8"/>
        <v>4.4617273843634779E-2</v>
      </c>
      <c r="E25" s="6">
        <f t="shared" si="9"/>
        <v>0.13506815365551408</v>
      </c>
      <c r="F25" s="6" t="s">
        <v>4</v>
      </c>
      <c r="G25" s="6">
        <v>353.2</v>
      </c>
      <c r="H25" s="6">
        <f>858.3-850.9</f>
        <v>7.3999999999999773</v>
      </c>
      <c r="I25" s="6">
        <f>964-868</f>
        <v>96</v>
      </c>
      <c r="J25" s="6">
        <f>H25/G25</f>
        <v>2.0951302378255883E-2</v>
      </c>
      <c r="K25" s="6">
        <f>H25/I25</f>
        <v>7.7083333333333101E-2</v>
      </c>
      <c r="L25" s="6" t="s">
        <v>4</v>
      </c>
    </row>
    <row r="26" spans="1:12" x14ac:dyDescent="0.2">
      <c r="A26" s="6">
        <v>260.60000000000002</v>
      </c>
      <c r="B26" s="6">
        <f>906.8-893.9</f>
        <v>12.899999999999977</v>
      </c>
      <c r="C26" s="6">
        <f>985-893.6</f>
        <v>91.399999999999977</v>
      </c>
      <c r="D26" s="6">
        <f t="shared" si="8"/>
        <v>4.9501151189562456E-2</v>
      </c>
      <c r="E26" s="6">
        <f t="shared" si="9"/>
        <v>0.14113785557986849</v>
      </c>
      <c r="F26" s="6" t="s">
        <v>4</v>
      </c>
      <c r="G26" s="6">
        <v>393.3</v>
      </c>
      <c r="H26" s="6">
        <f>896.7-886.1</f>
        <v>10.600000000000023</v>
      </c>
      <c r="I26" s="6">
        <f>1005.8-888.3</f>
        <v>117.5</v>
      </c>
      <c r="J26" s="6">
        <f t="shared" ref="J26:J35" si="10">H26/G26</f>
        <v>2.6951436562420602E-2</v>
      </c>
      <c r="K26" s="6">
        <f t="shared" ref="K26:K35" si="11">H26/I26</f>
        <v>9.0212765957446997E-2</v>
      </c>
      <c r="L26" s="6" t="s">
        <v>4</v>
      </c>
    </row>
    <row r="27" spans="1:12" x14ac:dyDescent="0.2">
      <c r="A27" s="6">
        <v>268.7</v>
      </c>
      <c r="B27" s="6">
        <f>891.5-879.4</f>
        <v>12.100000000000023</v>
      </c>
      <c r="C27" s="6">
        <f>966.6-893.6</f>
        <v>73</v>
      </c>
      <c r="D27" s="6">
        <f t="shared" si="8"/>
        <v>4.5031633792333541E-2</v>
      </c>
      <c r="E27" s="6">
        <f t="shared" si="9"/>
        <v>0.16575342465753456</v>
      </c>
      <c r="F27" s="6" t="s">
        <v>4</v>
      </c>
      <c r="G27" s="6">
        <v>261.39999999999998</v>
      </c>
      <c r="H27" s="6">
        <f>882.7-877.3</f>
        <v>5.4000000000000909</v>
      </c>
      <c r="I27" s="6">
        <f>960.3-884.3</f>
        <v>76</v>
      </c>
      <c r="J27" s="6">
        <f t="shared" si="10"/>
        <v>2.0657995409334703E-2</v>
      </c>
      <c r="K27" s="6">
        <f t="shared" si="11"/>
        <v>7.1052631578948561E-2</v>
      </c>
      <c r="L27" s="6" t="s">
        <v>4</v>
      </c>
    </row>
    <row r="28" spans="1:12" x14ac:dyDescent="0.2">
      <c r="A28" s="6">
        <v>220.9</v>
      </c>
      <c r="B28" s="6">
        <f>946.5-941.9</f>
        <v>4.6000000000000227</v>
      </c>
      <c r="C28" s="6">
        <f>957.2-894</f>
        <v>63.200000000000045</v>
      </c>
      <c r="D28" s="6">
        <f>B28/A28</f>
        <v>2.0823902218198381E-2</v>
      </c>
      <c r="E28" s="6">
        <f>B28/C28</f>
        <v>7.2784810126582583E-2</v>
      </c>
      <c r="F28" s="6" t="s">
        <v>5</v>
      </c>
      <c r="G28" s="6">
        <v>315.39999999999998</v>
      </c>
      <c r="H28" s="6">
        <f>884.2-878.2</f>
        <v>6</v>
      </c>
      <c r="I28" s="6">
        <f>987.8-895.2</f>
        <v>92.599999999999909</v>
      </c>
      <c r="J28" s="6">
        <f t="shared" si="10"/>
        <v>1.9023462270133167E-2</v>
      </c>
      <c r="K28" s="6">
        <f t="shared" si="11"/>
        <v>6.4794816414686887E-2</v>
      </c>
      <c r="L28" s="6" t="s">
        <v>4</v>
      </c>
    </row>
    <row r="29" spans="1:12" x14ac:dyDescent="0.2">
      <c r="A29" s="6">
        <v>293.5</v>
      </c>
      <c r="B29" s="6">
        <f>903.6-894.7</f>
        <v>8.8999999999999773</v>
      </c>
      <c r="C29" s="6">
        <f>981.1-894.8</f>
        <v>86.300000000000068</v>
      </c>
      <c r="D29" s="6">
        <f t="shared" ref="D29:D35" si="12">B29/A29</f>
        <v>3.032367972742752E-2</v>
      </c>
      <c r="E29" s="6">
        <f t="shared" ref="E29:E35" si="13">B29/C29</f>
        <v>0.1031286210892233</v>
      </c>
      <c r="F29" s="6" t="s">
        <v>5</v>
      </c>
      <c r="G29" s="6">
        <v>264.7</v>
      </c>
      <c r="H29" s="6">
        <f>880.3-874.3</f>
        <v>6</v>
      </c>
      <c r="I29" s="6">
        <f>962.4-886</f>
        <v>76.399999999999977</v>
      </c>
      <c r="J29" s="6">
        <f t="shared" si="10"/>
        <v>2.2667170381564034E-2</v>
      </c>
      <c r="K29" s="6">
        <f t="shared" si="11"/>
        <v>7.8534031413612593E-2</v>
      </c>
      <c r="L29" s="6" t="s">
        <v>4</v>
      </c>
    </row>
    <row r="30" spans="1:12" x14ac:dyDescent="0.2">
      <c r="A30" s="6">
        <v>259.2</v>
      </c>
      <c r="B30" s="6">
        <f>869.4-863.3</f>
        <v>6.1000000000000227</v>
      </c>
      <c r="C30" s="6">
        <f>940.3-861.8</f>
        <v>78.5</v>
      </c>
      <c r="D30" s="6">
        <f t="shared" si="12"/>
        <v>2.3533950617284038E-2</v>
      </c>
      <c r="E30" s="6">
        <f t="shared" si="13"/>
        <v>7.770700636942704E-2</v>
      </c>
      <c r="F30" s="6" t="s">
        <v>5</v>
      </c>
      <c r="G30" s="6">
        <v>475.7</v>
      </c>
      <c r="H30" s="6">
        <f>875.8-863.7</f>
        <v>12.099999999999909</v>
      </c>
      <c r="I30" s="6">
        <f>1019.6-881.3</f>
        <v>138.30000000000007</v>
      </c>
      <c r="J30" s="6">
        <f t="shared" si="10"/>
        <v>2.5436199285263632E-2</v>
      </c>
      <c r="K30" s="6">
        <f t="shared" si="11"/>
        <v>8.7490961677511955E-2</v>
      </c>
      <c r="L30" s="6" t="s">
        <v>4</v>
      </c>
    </row>
    <row r="31" spans="1:12" x14ac:dyDescent="0.2">
      <c r="A31" s="6">
        <v>299.3</v>
      </c>
      <c r="B31" s="6">
        <f>845.9-837.9</f>
        <v>8</v>
      </c>
      <c r="C31" s="6">
        <f>968.3-883.2</f>
        <v>85.099999999999909</v>
      </c>
      <c r="D31" s="6">
        <f t="shared" si="12"/>
        <v>2.6729034413631808E-2</v>
      </c>
      <c r="E31" s="6">
        <f t="shared" si="13"/>
        <v>9.4007050528789757E-2</v>
      </c>
      <c r="F31" s="6" t="s">
        <v>5</v>
      </c>
      <c r="G31" s="6">
        <v>360.1</v>
      </c>
      <c r="H31" s="6">
        <f>889.7-882.4</f>
        <v>7.3000000000000682</v>
      </c>
      <c r="I31" s="6">
        <f>1010.8-895.1</f>
        <v>115.69999999999993</v>
      </c>
      <c r="J31" s="6">
        <f t="shared" si="10"/>
        <v>2.0272146625937428E-2</v>
      </c>
      <c r="K31" s="6">
        <f t="shared" si="11"/>
        <v>6.3094209161625517E-2</v>
      </c>
      <c r="L31" s="6" t="s">
        <v>4</v>
      </c>
    </row>
    <row r="32" spans="1:12" x14ac:dyDescent="0.2">
      <c r="A32" s="6">
        <v>281.39999999999998</v>
      </c>
      <c r="B32" s="6">
        <f>890.7-885.7</f>
        <v>5</v>
      </c>
      <c r="C32" s="6">
        <f>1033-941.9</f>
        <v>91.100000000000023</v>
      </c>
      <c r="D32" s="6">
        <f t="shared" si="12"/>
        <v>1.7768301350390904E-2</v>
      </c>
      <c r="E32" s="6">
        <f t="shared" si="13"/>
        <v>5.4884742041712391E-2</v>
      </c>
      <c r="F32" s="6" t="s">
        <v>5</v>
      </c>
      <c r="G32" s="6">
        <v>310.5</v>
      </c>
      <c r="H32" s="6">
        <f>886.8-881.6</f>
        <v>5.1999999999999318</v>
      </c>
      <c r="I32" s="6">
        <f>955.1-858.6</f>
        <v>96.5</v>
      </c>
      <c r="J32" s="6">
        <f t="shared" si="10"/>
        <v>1.674718196457305E-2</v>
      </c>
      <c r="K32" s="6">
        <f t="shared" si="11"/>
        <v>5.3886010362693595E-2</v>
      </c>
      <c r="L32" s="6" t="s">
        <v>4</v>
      </c>
    </row>
    <row r="33" spans="1:12" x14ac:dyDescent="0.2">
      <c r="A33" s="6">
        <v>245</v>
      </c>
      <c r="B33" s="6">
        <f>874-869.5</f>
        <v>4.5</v>
      </c>
      <c r="C33" s="6">
        <f>921.7-850.3</f>
        <v>71.400000000000091</v>
      </c>
      <c r="D33" s="6">
        <f t="shared" si="12"/>
        <v>1.8367346938775512E-2</v>
      </c>
      <c r="E33" s="6">
        <f t="shared" si="13"/>
        <v>6.3025210084033528E-2</v>
      </c>
      <c r="F33" s="6" t="s">
        <v>5</v>
      </c>
      <c r="G33" s="6">
        <v>240.6</v>
      </c>
      <c r="H33" s="6">
        <f>901.5-894.7</f>
        <v>6.7999999999999545</v>
      </c>
      <c r="I33" s="6">
        <f>947.3-870.6</f>
        <v>76.699999999999932</v>
      </c>
      <c r="J33" s="6">
        <f t="shared" si="10"/>
        <v>2.8262676641728823E-2</v>
      </c>
      <c r="K33" s="6">
        <f t="shared" si="11"/>
        <v>8.8657105606257641E-2</v>
      </c>
      <c r="L33" s="6" t="s">
        <v>4</v>
      </c>
    </row>
    <row r="34" spans="1:12" x14ac:dyDescent="0.2">
      <c r="A34" s="6">
        <v>264.89999999999998</v>
      </c>
      <c r="B34" s="6">
        <f>900.4-890.7</f>
        <v>9.6999999999999318</v>
      </c>
      <c r="C34" s="6">
        <f>959.8-884</f>
        <v>75.799999999999955</v>
      </c>
      <c r="D34" s="6">
        <f t="shared" si="12"/>
        <v>3.6617591543978603E-2</v>
      </c>
      <c r="E34" s="6">
        <f t="shared" si="13"/>
        <v>0.12796833773086988</v>
      </c>
      <c r="F34" s="6" t="s">
        <v>5</v>
      </c>
      <c r="G34" s="6">
        <v>297.89999999999998</v>
      </c>
      <c r="H34" s="6">
        <f>870.9-864.1</f>
        <v>6.7999999999999545</v>
      </c>
      <c r="I34" s="6">
        <f>985.9-892.4</f>
        <v>93.5</v>
      </c>
      <c r="J34" s="6">
        <f t="shared" si="10"/>
        <v>2.2826451829472828E-2</v>
      </c>
      <c r="K34" s="6">
        <f t="shared" si="11"/>
        <v>7.2727272727272238E-2</v>
      </c>
      <c r="L34" s="6" t="s">
        <v>4</v>
      </c>
    </row>
    <row r="35" spans="1:12" x14ac:dyDescent="0.2">
      <c r="A35" s="6">
        <v>247.7</v>
      </c>
      <c r="B35" s="6">
        <f>843.8-838.1</f>
        <v>5.6999999999999318</v>
      </c>
      <c r="C35" s="6">
        <f>972-890.5</f>
        <v>81.5</v>
      </c>
      <c r="D35" s="6">
        <f t="shared" si="12"/>
        <v>2.3011707710940379E-2</v>
      </c>
      <c r="E35" s="6">
        <f t="shared" si="13"/>
        <v>6.9938650306747632E-2</v>
      </c>
      <c r="F35" s="6" t="s">
        <v>5</v>
      </c>
      <c r="G35" s="6">
        <v>265.8</v>
      </c>
      <c r="H35" s="6">
        <f>895.5-890.3</f>
        <v>5.2000000000000455</v>
      </c>
      <c r="I35" s="6">
        <f>951.4-876.7</f>
        <v>74.699999999999932</v>
      </c>
      <c r="J35" s="6">
        <f t="shared" si="10"/>
        <v>1.9563581640331246E-2</v>
      </c>
      <c r="K35" s="6">
        <f t="shared" si="11"/>
        <v>6.961178045515462E-2</v>
      </c>
      <c r="L35" s="6" t="s">
        <v>4</v>
      </c>
    </row>
    <row r="36" spans="1:12" x14ac:dyDescent="0.2">
      <c r="G36" s="6">
        <v>343.4</v>
      </c>
      <c r="H36" s="6">
        <f>873.2-866.4</f>
        <v>6.8000000000000682</v>
      </c>
      <c r="I36" s="6">
        <f>979.3-868</f>
        <v>111.29999999999995</v>
      </c>
      <c r="J36" s="6">
        <f>H36/G36</f>
        <v>1.9801980198020003E-2</v>
      </c>
      <c r="K36" s="6">
        <f>H36/I36</f>
        <v>6.1096136567835316E-2</v>
      </c>
      <c r="L36" s="6" t="s">
        <v>5</v>
      </c>
    </row>
    <row r="37" spans="1:12" x14ac:dyDescent="0.2">
      <c r="G37" s="6">
        <v>261.60000000000002</v>
      </c>
      <c r="H37" s="6">
        <f>885-881.9</f>
        <v>3.1000000000000227</v>
      </c>
      <c r="I37" s="6">
        <f>972.4-892</f>
        <v>80.399999999999977</v>
      </c>
      <c r="J37" s="6">
        <f t="shared" ref="J37:J51" si="14">H37/G37</f>
        <v>1.1850152905198863E-2</v>
      </c>
      <c r="K37" s="6">
        <f t="shared" ref="K37:K51" si="15">H37/I37</f>
        <v>3.8557213930348555E-2</v>
      </c>
      <c r="L37" s="6" t="s">
        <v>5</v>
      </c>
    </row>
    <row r="38" spans="1:12" x14ac:dyDescent="0.2">
      <c r="G38" s="6">
        <v>366.7</v>
      </c>
      <c r="H38" s="6">
        <f>901.4-894.3</f>
        <v>7.1000000000000227</v>
      </c>
      <c r="I38" s="6">
        <f>996.8-873.9</f>
        <v>122.89999999999998</v>
      </c>
      <c r="J38" s="6">
        <f t="shared" si="14"/>
        <v>1.9361876193073418E-2</v>
      </c>
      <c r="K38" s="6">
        <f t="shared" si="15"/>
        <v>5.7770545158665774E-2</v>
      </c>
      <c r="L38" s="6" t="s">
        <v>5</v>
      </c>
    </row>
    <row r="39" spans="1:12" x14ac:dyDescent="0.2">
      <c r="G39" s="6">
        <v>275.3</v>
      </c>
      <c r="H39" s="6">
        <f>883.1-879.3</f>
        <v>3.8000000000000682</v>
      </c>
      <c r="I39" s="6">
        <f>976.4-893.2</f>
        <v>83.199999999999932</v>
      </c>
      <c r="J39" s="6">
        <f t="shared" si="14"/>
        <v>1.3803123864874929E-2</v>
      </c>
      <c r="K39" s="6">
        <f t="shared" si="15"/>
        <v>4.5673076923077781E-2</v>
      </c>
      <c r="L39" s="6" t="s">
        <v>5</v>
      </c>
    </row>
    <row r="40" spans="1:12" x14ac:dyDescent="0.2">
      <c r="G40" s="6">
        <v>275.60000000000002</v>
      </c>
      <c r="H40" s="6">
        <f>889.2-885.9</f>
        <v>3.3000000000000682</v>
      </c>
      <c r="I40" s="6">
        <f>975.1-890.2</f>
        <v>84.899999999999977</v>
      </c>
      <c r="J40" s="6">
        <f t="shared" si="14"/>
        <v>1.1973875181422598E-2</v>
      </c>
      <c r="K40" s="6">
        <f t="shared" si="15"/>
        <v>3.8869257950530846E-2</v>
      </c>
      <c r="L40" s="6" t="s">
        <v>5</v>
      </c>
    </row>
    <row r="41" spans="1:12" x14ac:dyDescent="0.2">
      <c r="G41" s="6">
        <v>311.7</v>
      </c>
      <c r="H41" s="6">
        <f>853.8-849.5</f>
        <v>4.2999999999999545</v>
      </c>
      <c r="I41" s="6">
        <f>942.1-849.5</f>
        <v>92.600000000000023</v>
      </c>
      <c r="J41" s="6">
        <f t="shared" si="14"/>
        <v>1.3795316008982851E-2</v>
      </c>
      <c r="K41" s="6">
        <f t="shared" si="15"/>
        <v>4.6436285097191721E-2</v>
      </c>
      <c r="L41" s="6" t="s">
        <v>5</v>
      </c>
    </row>
    <row r="42" spans="1:12" x14ac:dyDescent="0.2">
      <c r="G42" s="6">
        <v>270.89999999999998</v>
      </c>
      <c r="H42" s="6">
        <f>891.9-887.3</f>
        <v>4.6000000000000227</v>
      </c>
      <c r="I42" s="6">
        <f>974.1-893.1</f>
        <v>81</v>
      </c>
      <c r="J42" s="6">
        <f t="shared" si="14"/>
        <v>1.6980435585086832E-2</v>
      </c>
      <c r="K42" s="6">
        <f t="shared" si="15"/>
        <v>5.6790123456790402E-2</v>
      </c>
      <c r="L42" s="6" t="s">
        <v>5</v>
      </c>
    </row>
    <row r="43" spans="1:12" x14ac:dyDescent="0.2">
      <c r="G43" s="6">
        <v>276.60000000000002</v>
      </c>
      <c r="H43" s="6">
        <f>864.8-860.3</f>
        <v>4.5</v>
      </c>
      <c r="I43" s="6">
        <f>953.6-865.5</f>
        <v>88.100000000000023</v>
      </c>
      <c r="J43" s="6">
        <f t="shared" si="14"/>
        <v>1.6268980477223426E-2</v>
      </c>
      <c r="K43" s="6">
        <f t="shared" si="15"/>
        <v>5.1078320090805887E-2</v>
      </c>
      <c r="L43" s="6" t="s">
        <v>5</v>
      </c>
    </row>
    <row r="44" spans="1:12" x14ac:dyDescent="0.2">
      <c r="G44" s="6">
        <v>305.39999999999998</v>
      </c>
      <c r="H44" s="6">
        <f>871.3-866.4</f>
        <v>4.8999999999999773</v>
      </c>
      <c r="I44" s="6">
        <f>962.5-872.1</f>
        <v>90.399999999999977</v>
      </c>
      <c r="J44" s="6">
        <f t="shared" si="14"/>
        <v>1.6044531761624025E-2</v>
      </c>
      <c r="K44" s="6">
        <f t="shared" si="15"/>
        <v>5.4203539823008615E-2</v>
      </c>
      <c r="L44" s="6" t="s">
        <v>5</v>
      </c>
    </row>
    <row r="45" spans="1:12" x14ac:dyDescent="0.2">
      <c r="G45" s="6">
        <v>258.39999999999998</v>
      </c>
      <c r="H45" s="6">
        <f>902.6-899.2</f>
        <v>3.3999999999999773</v>
      </c>
      <c r="I45" s="6">
        <f>978.6-894.5</f>
        <v>84.100000000000023</v>
      </c>
      <c r="J45" s="6">
        <f t="shared" si="14"/>
        <v>1.3157894736842018E-2</v>
      </c>
      <c r="K45" s="6">
        <f t="shared" si="15"/>
        <v>4.0428061831153106E-2</v>
      </c>
      <c r="L45" s="6" t="s">
        <v>5</v>
      </c>
    </row>
    <row r="46" spans="1:12" x14ac:dyDescent="0.2">
      <c r="G46" s="6">
        <v>276.7</v>
      </c>
      <c r="H46" s="6">
        <f>863.1-860.1</f>
        <v>3</v>
      </c>
      <c r="I46" s="6">
        <f>961.8-881.8</f>
        <v>80</v>
      </c>
      <c r="J46" s="6">
        <f t="shared" si="14"/>
        <v>1.084206722081677E-2</v>
      </c>
      <c r="K46" s="6">
        <f t="shared" si="15"/>
        <v>3.7499999999999999E-2</v>
      </c>
      <c r="L46" s="6" t="s">
        <v>5</v>
      </c>
    </row>
    <row r="47" spans="1:12" x14ac:dyDescent="0.2">
      <c r="G47" s="6">
        <v>300.60000000000002</v>
      </c>
      <c r="H47" s="6">
        <f>839.4-836</f>
        <v>3.3999999999999773</v>
      </c>
      <c r="I47" s="6">
        <f>1001.8-897.6</f>
        <v>104.19999999999993</v>
      </c>
      <c r="J47" s="6">
        <f t="shared" si="14"/>
        <v>1.1310711909514229E-2</v>
      </c>
      <c r="K47" s="6">
        <f t="shared" si="15"/>
        <v>3.2629558541266597E-2</v>
      </c>
      <c r="L47" s="6" t="s">
        <v>5</v>
      </c>
    </row>
    <row r="48" spans="1:12" x14ac:dyDescent="0.2">
      <c r="G48" s="6">
        <v>333.9</v>
      </c>
      <c r="H48" s="6">
        <f>897.9-893</f>
        <v>4.8999999999999773</v>
      </c>
      <c r="I48" s="6">
        <f>960.6-859.8</f>
        <v>100.80000000000007</v>
      </c>
      <c r="J48" s="6">
        <f t="shared" si="14"/>
        <v>1.4675052410901401E-2</v>
      </c>
      <c r="K48" s="6">
        <f t="shared" si="15"/>
        <v>4.8611111111110855E-2</v>
      </c>
      <c r="L48" s="6" t="s">
        <v>5</v>
      </c>
    </row>
    <row r="49" spans="7:12" x14ac:dyDescent="0.2">
      <c r="G49" s="6">
        <v>286.89999999999998</v>
      </c>
      <c r="H49" s="6">
        <f>904.4-901.1</f>
        <v>3.2999999999999545</v>
      </c>
      <c r="I49" s="6">
        <f>992.7-892.1</f>
        <v>100.60000000000002</v>
      </c>
      <c r="J49" s="6">
        <f t="shared" si="14"/>
        <v>1.1502265597769099E-2</v>
      </c>
      <c r="K49" s="6">
        <f t="shared" si="15"/>
        <v>3.280318091451246E-2</v>
      </c>
      <c r="L49" s="6" t="s">
        <v>5</v>
      </c>
    </row>
    <row r="50" spans="7:12" x14ac:dyDescent="0.2">
      <c r="G50" s="6">
        <v>264.10000000000002</v>
      </c>
      <c r="H50" s="6">
        <f>896.3-893.1</f>
        <v>3.1999999999999318</v>
      </c>
      <c r="I50" s="6">
        <f>954.9-865.4</f>
        <v>89.5</v>
      </c>
      <c r="J50" s="6">
        <f t="shared" si="14"/>
        <v>1.2116622491480241E-2</v>
      </c>
      <c r="K50" s="6">
        <f t="shared" si="15"/>
        <v>3.5754189944133319E-2</v>
      </c>
      <c r="L50" s="6" t="s">
        <v>5</v>
      </c>
    </row>
    <row r="51" spans="7:12" x14ac:dyDescent="0.2">
      <c r="G51" s="6">
        <v>281.2</v>
      </c>
      <c r="H51" s="6">
        <f>860.8-857.2</f>
        <v>3.5999999999999091</v>
      </c>
      <c r="I51" s="6">
        <f>963.9-880.9</f>
        <v>83</v>
      </c>
      <c r="J51" s="6">
        <f t="shared" si="14"/>
        <v>1.2802275960170374E-2</v>
      </c>
      <c r="K51" s="6">
        <f t="shared" si="15"/>
        <v>4.3373493975902518E-2</v>
      </c>
      <c r="L51" s="6" t="s">
        <v>5</v>
      </c>
    </row>
  </sheetData>
  <mergeCells count="2">
    <mergeCell ref="A1:F1"/>
    <mergeCell ref="G1:L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D5F4-8D68-401A-99E3-852318659D21}">
  <dimension ref="A1:L55"/>
  <sheetViews>
    <sheetView tabSelected="1" workbookViewId="0">
      <selection activeCell="O7" sqref="O7"/>
    </sheetView>
  </sheetViews>
  <sheetFormatPr defaultRowHeight="14.25" x14ac:dyDescent="0.2"/>
  <cols>
    <col min="1" max="1" width="14.125" style="6" customWidth="1"/>
    <col min="2" max="2" width="14.625" style="6" customWidth="1"/>
    <col min="3" max="3" width="16.375" style="6" customWidth="1"/>
    <col min="4" max="16384" width="9" style="6"/>
  </cols>
  <sheetData>
    <row r="1" spans="1:12" ht="15" x14ac:dyDescent="0.2">
      <c r="A1" s="8" t="s">
        <v>20</v>
      </c>
      <c r="B1" s="8"/>
      <c r="C1" s="8"/>
      <c r="D1" s="8"/>
      <c r="E1" s="8"/>
      <c r="F1" s="8"/>
      <c r="G1" s="8" t="s">
        <v>21</v>
      </c>
      <c r="H1" s="8"/>
      <c r="I1" s="8"/>
      <c r="J1" s="8"/>
      <c r="K1" s="8"/>
      <c r="L1" s="8"/>
    </row>
    <row r="2" spans="1:12" ht="42.75" x14ac:dyDescent="0.2">
      <c r="A2" s="10" t="s">
        <v>18</v>
      </c>
      <c r="B2" s="10" t="s">
        <v>15</v>
      </c>
      <c r="C2" s="10" t="s">
        <v>19</v>
      </c>
      <c r="D2" s="11" t="s">
        <v>17</v>
      </c>
      <c r="E2" s="11" t="s">
        <v>16</v>
      </c>
      <c r="F2" s="10" t="s">
        <v>13</v>
      </c>
      <c r="G2" s="10" t="s">
        <v>18</v>
      </c>
      <c r="H2" s="10" t="s">
        <v>15</v>
      </c>
      <c r="I2" s="10" t="s">
        <v>19</v>
      </c>
      <c r="J2" s="11" t="s">
        <v>17</v>
      </c>
      <c r="K2" s="11" t="s">
        <v>16</v>
      </c>
      <c r="L2" s="10" t="s">
        <v>13</v>
      </c>
    </row>
    <row r="3" spans="1:12" ht="15" x14ac:dyDescent="0.25">
      <c r="A3" s="3">
        <v>400.4</v>
      </c>
      <c r="B3" s="3">
        <f>912.9-894.5</f>
        <v>18.399999999999977</v>
      </c>
      <c r="C3" s="3">
        <f>983.8-860</f>
        <v>123.79999999999995</v>
      </c>
      <c r="D3" s="3">
        <f>B3/A3</f>
        <v>4.5954045954045897E-2</v>
      </c>
      <c r="E3" s="3">
        <f>B3/C3</f>
        <v>0.14862681744749584</v>
      </c>
      <c r="F3" s="3" t="s">
        <v>2</v>
      </c>
      <c r="G3" s="3">
        <v>448.2</v>
      </c>
      <c r="H3" s="3">
        <f>887.9-876.2</f>
        <v>11.699999999999932</v>
      </c>
      <c r="I3" s="3">
        <f>1008.8-872.5</f>
        <v>136.29999999999995</v>
      </c>
      <c r="J3" s="3">
        <f>H3/G3</f>
        <v>2.610441767068258E-2</v>
      </c>
      <c r="K3" s="3">
        <f>H3/I3</f>
        <v>8.5840058694056753E-2</v>
      </c>
      <c r="L3" s="3" t="s">
        <v>2</v>
      </c>
    </row>
    <row r="4" spans="1:12" ht="15" x14ac:dyDescent="0.25">
      <c r="A4" s="3">
        <v>377.8</v>
      </c>
      <c r="B4" s="3">
        <f>899.5-878.7</f>
        <v>20.799999999999955</v>
      </c>
      <c r="C4" s="3">
        <f>1007.9-890.2</f>
        <v>117.69999999999993</v>
      </c>
      <c r="D4" s="3">
        <f t="shared" ref="D4:D11" si="0">B4/A4</f>
        <v>5.505558496559014E-2</v>
      </c>
      <c r="E4" s="3">
        <f t="shared" ref="E4:E11" si="1">B4/C4</f>
        <v>0.17672047578589606</v>
      </c>
      <c r="F4" s="3" t="s">
        <v>2</v>
      </c>
      <c r="G4" s="3">
        <v>406.1</v>
      </c>
      <c r="H4" s="3">
        <f>896.4-883.1</f>
        <v>13.299999999999955</v>
      </c>
      <c r="I4" s="3">
        <f>985.1-861.4</f>
        <v>123.70000000000005</v>
      </c>
      <c r="J4" s="3">
        <f t="shared" ref="J4:J16" si="2">H4/G4</f>
        <v>3.2750554050726306E-2</v>
      </c>
      <c r="K4" s="3">
        <f t="shared" ref="K4:K16" si="3">H4/I4</f>
        <v>0.10751818916733993</v>
      </c>
      <c r="L4" s="3" t="s">
        <v>2</v>
      </c>
    </row>
    <row r="5" spans="1:12" ht="15" x14ac:dyDescent="0.25">
      <c r="A5" s="3">
        <v>311.7</v>
      </c>
      <c r="B5" s="3">
        <f>913.3-898.9</f>
        <v>14.399999999999977</v>
      </c>
      <c r="C5" s="3">
        <f>1022.1-931</f>
        <v>91.100000000000023</v>
      </c>
      <c r="D5" s="3">
        <f t="shared" si="0"/>
        <v>4.6198267564966242E-2</v>
      </c>
      <c r="E5" s="3">
        <f t="shared" si="1"/>
        <v>0.15806805708013144</v>
      </c>
      <c r="F5" s="3" t="s">
        <v>2</v>
      </c>
      <c r="G5" s="3">
        <v>335.5</v>
      </c>
      <c r="H5" s="3">
        <f>891.4-882.4</f>
        <v>9</v>
      </c>
      <c r="I5" s="3">
        <f>991.4-889.8</f>
        <v>101.60000000000002</v>
      </c>
      <c r="J5" s="3">
        <f t="shared" si="2"/>
        <v>2.6825633383010434E-2</v>
      </c>
      <c r="K5" s="3">
        <f t="shared" si="3"/>
        <v>8.8582677165354312E-2</v>
      </c>
      <c r="L5" s="3" t="s">
        <v>2</v>
      </c>
    </row>
    <row r="6" spans="1:12" ht="15" x14ac:dyDescent="0.25">
      <c r="A6" s="3">
        <v>295.60000000000002</v>
      </c>
      <c r="B6" s="3">
        <f>908.1-893.8</f>
        <v>14.300000000000068</v>
      </c>
      <c r="C6" s="3">
        <f>981.8-898.1</f>
        <v>83.699999999999932</v>
      </c>
      <c r="D6" s="3">
        <f t="shared" si="0"/>
        <v>4.8376184032476545E-2</v>
      </c>
      <c r="E6" s="3">
        <f t="shared" si="1"/>
        <v>0.17084826762246214</v>
      </c>
      <c r="F6" s="3" t="s">
        <v>2</v>
      </c>
      <c r="G6" s="3">
        <v>398.9</v>
      </c>
      <c r="H6" s="3">
        <f>888.8-879.1</f>
        <v>9.6999999999999318</v>
      </c>
      <c r="I6" s="3">
        <f>993.7-872.5</f>
        <v>121.20000000000005</v>
      </c>
      <c r="J6" s="3">
        <f t="shared" si="2"/>
        <v>2.4316871396339767E-2</v>
      </c>
      <c r="K6" s="3">
        <f t="shared" si="3"/>
        <v>8.0033003300329433E-2</v>
      </c>
      <c r="L6" s="3" t="s">
        <v>2</v>
      </c>
    </row>
    <row r="7" spans="1:12" ht="15" x14ac:dyDescent="0.25">
      <c r="A7" s="3">
        <v>400</v>
      </c>
      <c r="B7" s="3">
        <f>906-886.1</f>
        <v>19.899999999999977</v>
      </c>
      <c r="C7" s="3">
        <f>991.4-877.6</f>
        <v>113.79999999999995</v>
      </c>
      <c r="D7" s="3">
        <f t="shared" si="0"/>
        <v>4.974999999999994E-2</v>
      </c>
      <c r="E7" s="3">
        <f t="shared" si="1"/>
        <v>0.17486818980667826</v>
      </c>
      <c r="F7" s="3" t="s">
        <v>2</v>
      </c>
      <c r="G7" s="3">
        <v>481.6</v>
      </c>
      <c r="H7" s="3">
        <f>907.8-892.4</f>
        <v>15.399999999999977</v>
      </c>
      <c r="I7" s="3">
        <f>1020.9-885.9</f>
        <v>135</v>
      </c>
      <c r="J7" s="3">
        <f t="shared" si="2"/>
        <v>3.1976744186046464E-2</v>
      </c>
      <c r="K7" s="3">
        <f t="shared" si="3"/>
        <v>0.11407407407407391</v>
      </c>
      <c r="L7" s="3" t="s">
        <v>2</v>
      </c>
    </row>
    <row r="8" spans="1:12" ht="15" x14ac:dyDescent="0.25">
      <c r="A8" s="3">
        <v>367</v>
      </c>
      <c r="B8" s="3">
        <f>880.2-857.1</f>
        <v>23.100000000000023</v>
      </c>
      <c r="C8" s="3">
        <f>1008.7-889.3</f>
        <v>119.40000000000009</v>
      </c>
      <c r="D8" s="3">
        <f t="shared" si="0"/>
        <v>6.2942779291553189E-2</v>
      </c>
      <c r="E8" s="3">
        <f t="shared" si="1"/>
        <v>0.19346733668341712</v>
      </c>
      <c r="F8" s="3" t="s">
        <v>2</v>
      </c>
      <c r="G8" s="3">
        <v>268.3</v>
      </c>
      <c r="H8" s="3">
        <f>885.6-879.6</f>
        <v>6</v>
      </c>
      <c r="I8" s="3">
        <f>968.3-873</f>
        <v>95.299999999999955</v>
      </c>
      <c r="J8" s="3">
        <f t="shared" si="2"/>
        <v>2.2363026462914645E-2</v>
      </c>
      <c r="K8" s="3">
        <f t="shared" si="3"/>
        <v>6.2959076600209898E-2</v>
      </c>
      <c r="L8" s="3" t="s">
        <v>2</v>
      </c>
    </row>
    <row r="9" spans="1:12" ht="15" x14ac:dyDescent="0.25">
      <c r="A9" s="3">
        <v>380.2</v>
      </c>
      <c r="B9" s="3">
        <f>904-886.6</f>
        <v>17.399999999999977</v>
      </c>
      <c r="C9" s="3">
        <f>987.9-878.4</f>
        <v>109.5</v>
      </c>
      <c r="D9" s="3">
        <f t="shared" si="0"/>
        <v>4.5765386638611197E-2</v>
      </c>
      <c r="E9" s="3">
        <f t="shared" si="1"/>
        <v>0.15890410958904089</v>
      </c>
      <c r="F9" s="3" t="s">
        <v>2</v>
      </c>
      <c r="G9" s="3">
        <v>401.9</v>
      </c>
      <c r="H9" s="3">
        <f>906.3-893.3</f>
        <v>13</v>
      </c>
      <c r="I9" s="3">
        <f>1019.6-890</f>
        <v>129.60000000000002</v>
      </c>
      <c r="J9" s="3">
        <f t="shared" si="2"/>
        <v>3.234635481463051E-2</v>
      </c>
      <c r="K9" s="3">
        <f t="shared" si="3"/>
        <v>0.10030864197530863</v>
      </c>
      <c r="L9" s="3" t="s">
        <v>2</v>
      </c>
    </row>
    <row r="10" spans="1:12" ht="15" x14ac:dyDescent="0.25">
      <c r="A10" s="3">
        <v>398.3</v>
      </c>
      <c r="B10" s="3">
        <f>878.3-860.8</f>
        <v>17.5</v>
      </c>
      <c r="C10" s="3">
        <f>1013-899.4</f>
        <v>113.60000000000002</v>
      </c>
      <c r="D10" s="3">
        <f t="shared" si="0"/>
        <v>4.3936731107205626E-2</v>
      </c>
      <c r="E10" s="3">
        <f t="shared" si="1"/>
        <v>0.15404929577464785</v>
      </c>
      <c r="F10" s="3" t="s">
        <v>2</v>
      </c>
      <c r="G10" s="3">
        <v>397</v>
      </c>
      <c r="H10" s="3">
        <f>883-873.8</f>
        <v>9.2000000000000455</v>
      </c>
      <c r="I10" s="3">
        <f>1018.9-890.5</f>
        <v>128.39999999999998</v>
      </c>
      <c r="J10" s="3">
        <f t="shared" si="2"/>
        <v>2.3173803526448478E-2</v>
      </c>
      <c r="K10" s="3">
        <f t="shared" si="3"/>
        <v>7.1651090342679497E-2</v>
      </c>
      <c r="L10" s="3" t="s">
        <v>2</v>
      </c>
    </row>
    <row r="11" spans="1:12" ht="15" x14ac:dyDescent="0.25">
      <c r="A11" s="3">
        <v>321.89999999999998</v>
      </c>
      <c r="B11" s="3">
        <f>905.7-890</f>
        <v>15.700000000000045</v>
      </c>
      <c r="C11" s="3">
        <f>974.7-889.1</f>
        <v>85.600000000000023</v>
      </c>
      <c r="D11" s="3">
        <f t="shared" si="0"/>
        <v>4.8772910841876502E-2</v>
      </c>
      <c r="E11" s="3">
        <f t="shared" si="1"/>
        <v>0.18341121495327151</v>
      </c>
      <c r="F11" s="3" t="s">
        <v>2</v>
      </c>
      <c r="G11" s="3">
        <v>266.60000000000002</v>
      </c>
      <c r="H11" s="3">
        <f>890.4-885.7</f>
        <v>4.6999999999999318</v>
      </c>
      <c r="I11" s="3">
        <f>969.3-889.1</f>
        <v>80.199999999999932</v>
      </c>
      <c r="J11" s="3">
        <f t="shared" si="2"/>
        <v>1.7629407351837701E-2</v>
      </c>
      <c r="K11" s="3">
        <f t="shared" si="3"/>
        <v>5.8603491271819651E-2</v>
      </c>
      <c r="L11" s="3" t="s">
        <v>2</v>
      </c>
    </row>
    <row r="12" spans="1:12" ht="15" x14ac:dyDescent="0.25">
      <c r="A12" s="3">
        <v>380.8</v>
      </c>
      <c r="B12" s="3">
        <f>871.4-855.8</f>
        <v>15.600000000000023</v>
      </c>
      <c r="C12" s="3">
        <f>991.4-874.9</f>
        <v>116.5</v>
      </c>
      <c r="D12" s="3">
        <f>B12/A12</f>
        <v>4.0966386554621904E-2</v>
      </c>
      <c r="E12" s="3">
        <f>B12/C12</f>
        <v>0.13390557939914183</v>
      </c>
      <c r="F12" s="3" t="s">
        <v>3</v>
      </c>
      <c r="G12" s="3">
        <v>306</v>
      </c>
      <c r="H12" s="3">
        <f>856.9-849.3</f>
        <v>7.6000000000000227</v>
      </c>
      <c r="I12" s="3">
        <f>991.1-899.1</f>
        <v>92</v>
      </c>
      <c r="J12" s="3">
        <f t="shared" si="2"/>
        <v>2.4836601307189617E-2</v>
      </c>
      <c r="K12" s="3">
        <f t="shared" si="3"/>
        <v>8.2608695652174158E-2</v>
      </c>
      <c r="L12" s="3" t="s">
        <v>2</v>
      </c>
    </row>
    <row r="13" spans="1:12" ht="15" x14ac:dyDescent="0.25">
      <c r="A13" s="3">
        <v>386.3</v>
      </c>
      <c r="B13" s="3">
        <f>910.8-894.4</f>
        <v>16.399999999999977</v>
      </c>
      <c r="C13" s="3">
        <f>1004.4-891.5</f>
        <v>112.89999999999998</v>
      </c>
      <c r="D13" s="3">
        <f t="shared" ref="D13:D19" si="4">B13/A13</f>
        <v>4.2454051255500849E-2</v>
      </c>
      <c r="E13" s="3">
        <f t="shared" ref="E13:E19" si="5">B13/C13</f>
        <v>0.14526129317980496</v>
      </c>
      <c r="F13" s="3" t="s">
        <v>3</v>
      </c>
      <c r="G13" s="3">
        <v>388.9</v>
      </c>
      <c r="H13" s="3">
        <f>890.9-883.4</f>
        <v>7.5</v>
      </c>
      <c r="I13" s="3">
        <f>982.5-897.7</f>
        <v>84.799999999999955</v>
      </c>
      <c r="J13" s="3">
        <f t="shared" si="2"/>
        <v>1.9285163281049116E-2</v>
      </c>
      <c r="K13" s="3">
        <f t="shared" si="3"/>
        <v>8.8443396226415144E-2</v>
      </c>
      <c r="L13" s="3" t="s">
        <v>2</v>
      </c>
    </row>
    <row r="14" spans="1:12" ht="15" x14ac:dyDescent="0.25">
      <c r="A14" s="3">
        <v>415.9</v>
      </c>
      <c r="B14" s="3">
        <f>905.2-886.2</f>
        <v>19</v>
      </c>
      <c r="C14" s="3">
        <f>985.8-883.2</f>
        <v>102.59999999999991</v>
      </c>
      <c r="D14" s="3">
        <f t="shared" si="4"/>
        <v>4.5684058667949029E-2</v>
      </c>
      <c r="E14" s="3">
        <f t="shared" si="5"/>
        <v>0.18518518518518534</v>
      </c>
      <c r="F14" s="3" t="s">
        <v>3</v>
      </c>
      <c r="G14" s="3">
        <v>299</v>
      </c>
      <c r="H14" s="3">
        <f>876.8-868.8</f>
        <v>8</v>
      </c>
      <c r="I14" s="3">
        <f>999.1-899.1</f>
        <v>100</v>
      </c>
      <c r="J14" s="3">
        <f t="shared" si="2"/>
        <v>2.6755852842809364E-2</v>
      </c>
      <c r="K14" s="3">
        <f t="shared" si="3"/>
        <v>0.08</v>
      </c>
      <c r="L14" s="3" t="s">
        <v>2</v>
      </c>
    </row>
    <row r="15" spans="1:12" ht="15" x14ac:dyDescent="0.25">
      <c r="A15" s="3">
        <v>421.6</v>
      </c>
      <c r="B15" s="3">
        <f>907.6-884.4</f>
        <v>23.200000000000045</v>
      </c>
      <c r="C15" s="3">
        <f>991.7-880.3</f>
        <v>111.40000000000009</v>
      </c>
      <c r="D15" s="3">
        <f t="shared" si="4"/>
        <v>5.5028462998102573E-2</v>
      </c>
      <c r="E15" s="3">
        <f t="shared" si="5"/>
        <v>0.20825852782764837</v>
      </c>
      <c r="F15" s="3" t="s">
        <v>3</v>
      </c>
      <c r="G15" s="3">
        <v>317.7</v>
      </c>
      <c r="H15" s="3">
        <f>897.7-885.6</f>
        <v>12.100000000000023</v>
      </c>
      <c r="I15" s="3">
        <f>988.6-878.5</f>
        <v>110.10000000000002</v>
      </c>
      <c r="J15" s="3">
        <f t="shared" si="2"/>
        <v>3.8086244885111815E-2</v>
      </c>
      <c r="K15" s="3">
        <f t="shared" si="3"/>
        <v>0.10990009082652152</v>
      </c>
      <c r="L15" s="3" t="s">
        <v>2</v>
      </c>
    </row>
    <row r="16" spans="1:12" ht="15" x14ac:dyDescent="0.25">
      <c r="A16" s="3">
        <v>248.7</v>
      </c>
      <c r="B16" s="3">
        <f>873.6-858.4</f>
        <v>15.200000000000045</v>
      </c>
      <c r="C16" s="3">
        <f>948.2-883.2</f>
        <v>65</v>
      </c>
      <c r="D16" s="3">
        <f t="shared" si="4"/>
        <v>6.1117812625653585E-2</v>
      </c>
      <c r="E16" s="3">
        <f t="shared" si="5"/>
        <v>0.23384615384615454</v>
      </c>
      <c r="F16" s="3" t="s">
        <v>3</v>
      </c>
      <c r="G16" s="3">
        <v>360.1</v>
      </c>
      <c r="H16" s="3">
        <f>910.6-898.5</f>
        <v>12.100000000000023</v>
      </c>
      <c r="I16" s="3">
        <f>1006.2-889.1</f>
        <v>117.10000000000002</v>
      </c>
      <c r="J16" s="3">
        <f t="shared" si="2"/>
        <v>3.3601777284087815E-2</v>
      </c>
      <c r="K16" s="3">
        <f t="shared" si="3"/>
        <v>0.10333048676345022</v>
      </c>
      <c r="L16" s="3" t="s">
        <v>2</v>
      </c>
    </row>
    <row r="17" spans="1:12" ht="15" x14ac:dyDescent="0.25">
      <c r="A17" s="3">
        <v>361.5</v>
      </c>
      <c r="B17" s="3">
        <f>901.4-888.1</f>
        <v>13.299999999999955</v>
      </c>
      <c r="C17" s="3">
        <f>952.7-864</f>
        <v>88.700000000000045</v>
      </c>
      <c r="D17" s="3">
        <f t="shared" si="4"/>
        <v>3.6791147994467373E-2</v>
      </c>
      <c r="E17" s="3">
        <f t="shared" si="5"/>
        <v>0.14994363021420459</v>
      </c>
      <c r="F17" s="3" t="s">
        <v>3</v>
      </c>
      <c r="G17" s="3">
        <v>351</v>
      </c>
      <c r="H17" s="3">
        <f>910.7-900.7</f>
        <v>10</v>
      </c>
      <c r="I17" s="3">
        <f>984.3-877.2</f>
        <v>107.09999999999991</v>
      </c>
      <c r="J17" s="3">
        <f>H17/G17</f>
        <v>2.8490028490028491E-2</v>
      </c>
      <c r="K17" s="3">
        <f>H17/I17</f>
        <v>9.3370681605975808E-2</v>
      </c>
      <c r="L17" s="3" t="s">
        <v>3</v>
      </c>
    </row>
    <row r="18" spans="1:12" ht="15" x14ac:dyDescent="0.25">
      <c r="A18" s="3">
        <v>402.8</v>
      </c>
      <c r="B18" s="3">
        <f>888.8-870.1</f>
        <v>18.699999999999932</v>
      </c>
      <c r="C18" s="3">
        <f>978.3-880.2</f>
        <v>98.099999999999909</v>
      </c>
      <c r="D18" s="3">
        <f t="shared" si="4"/>
        <v>4.6425024826216313E-2</v>
      </c>
      <c r="E18" s="3">
        <f t="shared" si="5"/>
        <v>0.19062181447502496</v>
      </c>
      <c r="F18" s="3" t="s">
        <v>3</v>
      </c>
      <c r="G18" s="3">
        <v>365.8</v>
      </c>
      <c r="H18" s="3">
        <f>885-878.2</f>
        <v>6.7999999999999545</v>
      </c>
      <c r="I18" s="3">
        <f>993.9-894.7</f>
        <v>99.199999999999932</v>
      </c>
      <c r="J18" s="3">
        <f t="shared" ref="J18:J28" si="6">H18/G18</f>
        <v>1.8589393110989488E-2</v>
      </c>
      <c r="K18" s="3">
        <f t="shared" ref="K18:K28" si="7">H18/I18</f>
        <v>6.8548387096773786E-2</v>
      </c>
      <c r="L18" s="3" t="s">
        <v>3</v>
      </c>
    </row>
    <row r="19" spans="1:12" ht="15" x14ac:dyDescent="0.25">
      <c r="A19" s="3">
        <v>360.1</v>
      </c>
      <c r="B19" s="3">
        <f>881.6-869.2</f>
        <v>12.399999999999977</v>
      </c>
      <c r="C19" s="3">
        <f>994.5-892.2</f>
        <v>102.29999999999995</v>
      </c>
      <c r="D19" s="3">
        <f t="shared" si="4"/>
        <v>3.4434879200222097E-2</v>
      </c>
      <c r="E19" s="3">
        <f t="shared" si="5"/>
        <v>0.12121212121212105</v>
      </c>
      <c r="F19" s="3" t="s">
        <v>3</v>
      </c>
      <c r="G19" s="3">
        <v>380.9</v>
      </c>
      <c r="H19" s="3">
        <f>885.1-874.5</f>
        <v>10.600000000000023</v>
      </c>
      <c r="I19" s="3">
        <f>972.7-863.5</f>
        <v>109.20000000000005</v>
      </c>
      <c r="J19" s="3">
        <f t="shared" si="6"/>
        <v>2.7828826463638812E-2</v>
      </c>
      <c r="K19" s="3">
        <f t="shared" si="7"/>
        <v>9.7069597069597238E-2</v>
      </c>
      <c r="L19" s="3" t="s">
        <v>3</v>
      </c>
    </row>
    <row r="20" spans="1:12" ht="15" x14ac:dyDescent="0.25">
      <c r="A20" s="3">
        <v>389</v>
      </c>
      <c r="B20" s="3">
        <f>911.3-884.2</f>
        <v>27.099999999999909</v>
      </c>
      <c r="C20" s="3">
        <f>997.9-882.8</f>
        <v>115.10000000000002</v>
      </c>
      <c r="D20" s="3">
        <f>B20/A20</f>
        <v>6.9665809768637302E-2</v>
      </c>
      <c r="E20" s="3">
        <f>B20/C20</f>
        <v>0.2354474370112937</v>
      </c>
      <c r="F20" s="3" t="s">
        <v>7</v>
      </c>
      <c r="G20" s="3">
        <v>297.60000000000002</v>
      </c>
      <c r="H20" s="3">
        <f>857.1-850.9</f>
        <v>6.2000000000000455</v>
      </c>
      <c r="I20" s="3">
        <f>939.6-850.8</f>
        <v>88.800000000000068</v>
      </c>
      <c r="J20" s="3">
        <f t="shared" si="6"/>
        <v>2.0833333333333485E-2</v>
      </c>
      <c r="K20" s="3">
        <f t="shared" si="7"/>
        <v>6.9819819819820272E-2</v>
      </c>
      <c r="L20" s="3" t="s">
        <v>3</v>
      </c>
    </row>
    <row r="21" spans="1:12" ht="15" x14ac:dyDescent="0.25">
      <c r="A21" s="3">
        <v>299.10000000000002</v>
      </c>
      <c r="B21" s="3">
        <f>890.8-876</f>
        <v>14.799999999999955</v>
      </c>
      <c r="C21" s="3">
        <f>943.1-855.3</f>
        <v>87.800000000000068</v>
      </c>
      <c r="D21" s="3">
        <f t="shared" ref="D21:D27" si="8">B21/A21</f>
        <v>4.9481778669341205E-2</v>
      </c>
      <c r="E21" s="3">
        <f t="shared" ref="E21:E27" si="9">B21/C21</f>
        <v>0.16856492027334788</v>
      </c>
      <c r="F21" s="3" t="s">
        <v>7</v>
      </c>
      <c r="G21" s="3">
        <v>343.2</v>
      </c>
      <c r="H21" s="3">
        <f>888.2-882.2</f>
        <v>6</v>
      </c>
      <c r="I21" s="3">
        <f>973.1-869.3</f>
        <v>103.80000000000007</v>
      </c>
      <c r="J21" s="3">
        <f t="shared" si="6"/>
        <v>1.7482517482517484E-2</v>
      </c>
      <c r="K21" s="3">
        <f t="shared" si="7"/>
        <v>5.780346820809245E-2</v>
      </c>
      <c r="L21" s="3" t="s">
        <v>3</v>
      </c>
    </row>
    <row r="22" spans="1:12" ht="15" x14ac:dyDescent="0.25">
      <c r="A22" s="3">
        <v>299.5</v>
      </c>
      <c r="B22" s="3">
        <f>921.7-905.7</f>
        <v>16</v>
      </c>
      <c r="C22" s="3">
        <f>962.1-885.6</f>
        <v>76.5</v>
      </c>
      <c r="D22" s="3">
        <f t="shared" si="8"/>
        <v>5.3422370617696162E-2</v>
      </c>
      <c r="E22" s="3">
        <f t="shared" si="9"/>
        <v>0.20915032679738563</v>
      </c>
      <c r="F22" s="3" t="s">
        <v>7</v>
      </c>
      <c r="G22" s="3">
        <v>398</v>
      </c>
      <c r="H22" s="3">
        <f>916.1-904.1</f>
        <v>12</v>
      </c>
      <c r="I22" s="3">
        <f>1008.7-885.7</f>
        <v>123</v>
      </c>
      <c r="J22" s="3">
        <f t="shared" si="6"/>
        <v>3.015075376884422E-2</v>
      </c>
      <c r="K22" s="3">
        <f t="shared" si="7"/>
        <v>9.7560975609756101E-2</v>
      </c>
      <c r="L22" s="3" t="s">
        <v>3</v>
      </c>
    </row>
    <row r="23" spans="1:12" ht="15" x14ac:dyDescent="0.25">
      <c r="A23" s="3">
        <v>350.8</v>
      </c>
      <c r="B23" s="3">
        <f>897.3-882</f>
        <v>15.299999999999955</v>
      </c>
      <c r="C23" s="3">
        <f>1021.6-905.7</f>
        <v>115.89999999999998</v>
      </c>
      <c r="D23" s="3">
        <f t="shared" si="8"/>
        <v>4.361459521094628E-2</v>
      </c>
      <c r="E23" s="3">
        <f t="shared" si="9"/>
        <v>0.13201035375323519</v>
      </c>
      <c r="F23" s="3" t="s">
        <v>7</v>
      </c>
      <c r="G23" s="3">
        <v>288.5</v>
      </c>
      <c r="H23" s="3">
        <f>876.6-870</f>
        <v>6.6000000000000227</v>
      </c>
      <c r="I23" s="3">
        <f>971.2-895.5</f>
        <v>75.700000000000045</v>
      </c>
      <c r="J23" s="3">
        <f t="shared" si="6"/>
        <v>2.2876949740034742E-2</v>
      </c>
      <c r="K23" s="3">
        <f t="shared" si="7"/>
        <v>8.7186261558784922E-2</v>
      </c>
      <c r="L23" s="3" t="s">
        <v>3</v>
      </c>
    </row>
    <row r="24" spans="1:12" ht="15" x14ac:dyDescent="0.25">
      <c r="A24" s="3">
        <v>395.2</v>
      </c>
      <c r="B24" s="3">
        <f>883.4-863.8</f>
        <v>19.600000000000023</v>
      </c>
      <c r="C24" s="3">
        <f>999.4-874.5</f>
        <v>124.89999999999998</v>
      </c>
      <c r="D24" s="3">
        <f t="shared" si="8"/>
        <v>4.9595141700404917E-2</v>
      </c>
      <c r="E24" s="3">
        <f t="shared" si="9"/>
        <v>0.15692554043234608</v>
      </c>
      <c r="F24" s="3" t="s">
        <v>7</v>
      </c>
      <c r="G24" s="3">
        <v>317.2</v>
      </c>
      <c r="H24" s="3">
        <f>902.4-896</f>
        <v>6.3999999999999773</v>
      </c>
      <c r="I24" s="3">
        <f>977.5-880.1</f>
        <v>97.399999999999977</v>
      </c>
      <c r="J24" s="3">
        <f t="shared" si="6"/>
        <v>2.0176544766708632E-2</v>
      </c>
      <c r="K24" s="3">
        <f t="shared" si="7"/>
        <v>6.5708418891170212E-2</v>
      </c>
      <c r="L24" s="3" t="s">
        <v>3</v>
      </c>
    </row>
    <row r="25" spans="1:12" ht="15" x14ac:dyDescent="0.25">
      <c r="A25" s="3">
        <v>293.5</v>
      </c>
      <c r="B25" s="3">
        <f>877.1-864.2</f>
        <v>12.899999999999977</v>
      </c>
      <c r="C25" s="3">
        <f>959.6-879.8</f>
        <v>79.800000000000068</v>
      </c>
      <c r="D25" s="3">
        <f t="shared" si="8"/>
        <v>4.3952299829642175E-2</v>
      </c>
      <c r="E25" s="3">
        <f t="shared" si="9"/>
        <v>0.16165413533834544</v>
      </c>
      <c r="F25" s="3" t="s">
        <v>7</v>
      </c>
      <c r="G25" s="3">
        <v>294.10000000000002</v>
      </c>
      <c r="H25" s="3">
        <f>857.5-850.6</f>
        <v>6.8999999999999773</v>
      </c>
      <c r="I25" s="3">
        <f>946.8-858.8</f>
        <v>88</v>
      </c>
      <c r="J25" s="3">
        <f t="shared" si="6"/>
        <v>2.3461407684460988E-2</v>
      </c>
      <c r="K25" s="3">
        <f t="shared" si="7"/>
        <v>7.8409090909090651E-2</v>
      </c>
      <c r="L25" s="3" t="s">
        <v>3</v>
      </c>
    </row>
    <row r="26" spans="1:12" ht="15" x14ac:dyDescent="0.25">
      <c r="A26" s="3">
        <v>332.4</v>
      </c>
      <c r="B26" s="3">
        <f>916.1-900.3</f>
        <v>15.800000000000068</v>
      </c>
      <c r="C26" s="3">
        <f>991.5-888</f>
        <v>103.5</v>
      </c>
      <c r="D26" s="3">
        <f t="shared" si="8"/>
        <v>4.7533092659446656E-2</v>
      </c>
      <c r="E26" s="3">
        <f t="shared" si="9"/>
        <v>0.15265700483091854</v>
      </c>
      <c r="F26" s="3" t="s">
        <v>7</v>
      </c>
      <c r="G26" s="3">
        <v>310.89999999999998</v>
      </c>
      <c r="H26" s="3">
        <f>884.6-876.6</f>
        <v>8</v>
      </c>
      <c r="I26" s="3">
        <f>975.7-880.2</f>
        <v>95.5</v>
      </c>
      <c r="J26" s="3">
        <f t="shared" si="6"/>
        <v>2.5731746542296562E-2</v>
      </c>
      <c r="K26" s="3">
        <f t="shared" si="7"/>
        <v>8.3769633507853408E-2</v>
      </c>
      <c r="L26" s="3" t="s">
        <v>3</v>
      </c>
    </row>
    <row r="27" spans="1:12" ht="15" x14ac:dyDescent="0.25">
      <c r="A27" s="3">
        <v>374.1</v>
      </c>
      <c r="B27" s="3">
        <f>876.4-859.5</f>
        <v>16.899999999999977</v>
      </c>
      <c r="C27" s="3">
        <f>1059.6-942</f>
        <v>117.59999999999991</v>
      </c>
      <c r="D27" s="3">
        <f t="shared" si="8"/>
        <v>4.5175086875167005E-2</v>
      </c>
      <c r="E27" s="3">
        <f t="shared" si="9"/>
        <v>0.14370748299319719</v>
      </c>
      <c r="F27" s="3" t="s">
        <v>7</v>
      </c>
      <c r="G27" s="3">
        <v>272.3</v>
      </c>
      <c r="H27" s="3">
        <f>882.7-876.8</f>
        <v>5.9000000000000909</v>
      </c>
      <c r="I27" s="3">
        <f>963.1-877</f>
        <v>86.100000000000023</v>
      </c>
      <c r="J27" s="3">
        <f t="shared" si="6"/>
        <v>2.166727873668781E-2</v>
      </c>
      <c r="K27" s="3">
        <f t="shared" si="7"/>
        <v>6.8524970963996387E-2</v>
      </c>
      <c r="L27" s="3" t="s">
        <v>3</v>
      </c>
    </row>
    <row r="28" spans="1:12" ht="15" x14ac:dyDescent="0.25">
      <c r="A28" s="3">
        <v>208.8</v>
      </c>
      <c r="B28" s="3">
        <v>8.5</v>
      </c>
      <c r="C28" s="3">
        <v>51.6</v>
      </c>
      <c r="D28" s="3">
        <f>B28/A28</f>
        <v>4.0708812260536395E-2</v>
      </c>
      <c r="E28" s="3">
        <f>B28/C28</f>
        <v>0.16472868217054262</v>
      </c>
      <c r="F28" s="3" t="s">
        <v>8</v>
      </c>
      <c r="G28" s="3">
        <v>339.1</v>
      </c>
      <c r="H28" s="3">
        <f>896.7-887.7</f>
        <v>9</v>
      </c>
      <c r="I28" s="3">
        <f>981.2-880.5</f>
        <v>100.70000000000005</v>
      </c>
      <c r="J28" s="3">
        <f t="shared" si="6"/>
        <v>2.6540843409023886E-2</v>
      </c>
      <c r="K28" s="3">
        <f t="shared" si="7"/>
        <v>8.9374379344587848E-2</v>
      </c>
      <c r="L28" s="3" t="s">
        <v>3</v>
      </c>
    </row>
    <row r="29" spans="1:12" ht="15" x14ac:dyDescent="0.25">
      <c r="A29" s="3">
        <v>265.5</v>
      </c>
      <c r="B29" s="3">
        <v>11.6</v>
      </c>
      <c r="C29" s="3">
        <v>72.2</v>
      </c>
      <c r="D29" s="3">
        <f t="shared" ref="D29:D33" si="10">B29/A29</f>
        <v>4.3691148775894535E-2</v>
      </c>
      <c r="E29" s="3">
        <f t="shared" ref="E29:E33" si="11">B29/C29</f>
        <v>0.16066481994459833</v>
      </c>
      <c r="F29" s="3" t="s">
        <v>8</v>
      </c>
      <c r="G29" s="3">
        <v>299.2</v>
      </c>
      <c r="H29" s="3">
        <f>855.1-849.9</f>
        <v>5.2000000000000455</v>
      </c>
      <c r="I29" s="3">
        <f>983.5-900.5</f>
        <v>83</v>
      </c>
      <c r="J29" s="3">
        <f>H29/G29</f>
        <v>1.7379679144385179E-2</v>
      </c>
      <c r="K29" s="3">
        <f>H29/I29</f>
        <v>6.26506024096391E-2</v>
      </c>
      <c r="L29" s="3" t="s">
        <v>7</v>
      </c>
    </row>
    <row r="30" spans="1:12" ht="15" x14ac:dyDescent="0.25">
      <c r="A30" s="3">
        <v>350.3</v>
      </c>
      <c r="B30" s="3">
        <v>14.7</v>
      </c>
      <c r="C30" s="3">
        <v>82.8</v>
      </c>
      <c r="D30" s="3">
        <f t="shared" si="10"/>
        <v>4.1964030830716523E-2</v>
      </c>
      <c r="E30" s="3">
        <f t="shared" si="11"/>
        <v>0.17753623188405798</v>
      </c>
      <c r="F30" s="3" t="s">
        <v>8</v>
      </c>
      <c r="G30" s="3">
        <v>304.2</v>
      </c>
      <c r="H30" s="3">
        <f>903.1-892.9</f>
        <v>10.200000000000045</v>
      </c>
      <c r="I30" s="3">
        <f>979.4-899.1</f>
        <v>80.299999999999955</v>
      </c>
      <c r="J30" s="3">
        <f t="shared" ref="J30:J39" si="12">H30/G30</f>
        <v>3.3530571992110604E-2</v>
      </c>
      <c r="K30" s="3">
        <f t="shared" ref="K30:K39" si="13">H30/I30</f>
        <v>0.12702366127023726</v>
      </c>
      <c r="L30" s="3" t="s">
        <v>7</v>
      </c>
    </row>
    <row r="31" spans="1:12" ht="15" x14ac:dyDescent="0.25">
      <c r="A31" s="3">
        <v>305.10000000000002</v>
      </c>
      <c r="B31" s="3">
        <v>10.9</v>
      </c>
      <c r="C31" s="3">
        <v>88.7</v>
      </c>
      <c r="D31" s="3">
        <f t="shared" si="10"/>
        <v>3.5725991478203864E-2</v>
      </c>
      <c r="E31" s="3">
        <f t="shared" si="11"/>
        <v>0.12288613303269448</v>
      </c>
      <c r="F31" s="3" t="s">
        <v>8</v>
      </c>
      <c r="G31" s="3">
        <v>303.2</v>
      </c>
      <c r="H31" s="3">
        <f>900-893.8</f>
        <v>6.2000000000000455</v>
      </c>
      <c r="I31" s="3">
        <f>983.7-894.5</f>
        <v>89.200000000000045</v>
      </c>
      <c r="J31" s="3">
        <f t="shared" si="12"/>
        <v>2.0448548812665057E-2</v>
      </c>
      <c r="K31" s="3">
        <f t="shared" si="13"/>
        <v>6.9506726457399581E-2</v>
      </c>
      <c r="L31" s="3" t="s">
        <v>7</v>
      </c>
    </row>
    <row r="32" spans="1:12" ht="15" x14ac:dyDescent="0.25">
      <c r="A32" s="3">
        <v>247.5</v>
      </c>
      <c r="B32" s="3">
        <v>9.3000000000000007</v>
      </c>
      <c r="C32" s="3">
        <v>86.3</v>
      </c>
      <c r="D32" s="3">
        <f t="shared" si="10"/>
        <v>3.7575757575757582E-2</v>
      </c>
      <c r="E32" s="3">
        <f t="shared" si="11"/>
        <v>0.1077636152954809</v>
      </c>
      <c r="F32" s="3" t="s">
        <v>8</v>
      </c>
      <c r="G32" s="3">
        <v>283.8</v>
      </c>
      <c r="H32" s="3">
        <f>937.5-930.8</f>
        <v>6.7000000000000455</v>
      </c>
      <c r="I32" s="3">
        <f>983.9-890.5</f>
        <v>93.399999999999977</v>
      </c>
      <c r="J32" s="3">
        <f t="shared" si="12"/>
        <v>2.3608174770965627E-2</v>
      </c>
      <c r="K32" s="3">
        <f t="shared" si="13"/>
        <v>7.1734475374732834E-2</v>
      </c>
      <c r="L32" s="3" t="s">
        <v>7</v>
      </c>
    </row>
    <row r="33" spans="1:12" ht="15" x14ac:dyDescent="0.25">
      <c r="A33" s="3">
        <v>320.60000000000002</v>
      </c>
      <c r="B33" s="3">
        <v>14.1</v>
      </c>
      <c r="C33" s="3">
        <v>87.7</v>
      </c>
      <c r="D33" s="3">
        <f t="shared" si="10"/>
        <v>4.3980037429819083E-2</v>
      </c>
      <c r="E33" s="3">
        <f t="shared" si="11"/>
        <v>0.16077537058152794</v>
      </c>
      <c r="F33" s="3" t="s">
        <v>8</v>
      </c>
      <c r="G33" s="3">
        <v>414.7</v>
      </c>
      <c r="H33" s="3">
        <f>892.1-882.2</f>
        <v>9.8999999999999773</v>
      </c>
      <c r="I33" s="3">
        <f>1012.8-892.5</f>
        <v>120.29999999999995</v>
      </c>
      <c r="J33" s="3">
        <f t="shared" si="12"/>
        <v>2.3872679045092784E-2</v>
      </c>
      <c r="K33" s="3">
        <f t="shared" si="13"/>
        <v>8.2294264339151962E-2</v>
      </c>
      <c r="L33" s="3" t="s">
        <v>7</v>
      </c>
    </row>
    <row r="34" spans="1:12" ht="15" x14ac:dyDescent="0.25">
      <c r="G34" s="3">
        <v>327.10000000000002</v>
      </c>
      <c r="H34" s="3">
        <f>861.8-850</f>
        <v>11.799999999999955</v>
      </c>
      <c r="I34" s="3">
        <f>990.7-901.7</f>
        <v>89</v>
      </c>
      <c r="J34" s="3">
        <f t="shared" si="12"/>
        <v>3.6074594925099214E-2</v>
      </c>
      <c r="K34" s="3">
        <f t="shared" si="13"/>
        <v>0.13258426966292083</v>
      </c>
      <c r="L34" s="3" t="s">
        <v>7</v>
      </c>
    </row>
    <row r="35" spans="1:12" ht="15" x14ac:dyDescent="0.25">
      <c r="G35" s="3">
        <v>328</v>
      </c>
      <c r="H35" s="3">
        <f>905.6-899.6</f>
        <v>6</v>
      </c>
      <c r="I35" s="3">
        <f>959.7-858.2</f>
        <v>101.5</v>
      </c>
      <c r="J35" s="3">
        <f t="shared" si="12"/>
        <v>1.8292682926829267E-2</v>
      </c>
      <c r="K35" s="3">
        <f t="shared" si="13"/>
        <v>5.9113300492610835E-2</v>
      </c>
      <c r="L35" s="3" t="s">
        <v>7</v>
      </c>
    </row>
    <row r="36" spans="1:12" ht="15" x14ac:dyDescent="0.25">
      <c r="G36" s="3">
        <v>261</v>
      </c>
      <c r="H36" s="3">
        <f>881-873.8</f>
        <v>7.2000000000000455</v>
      </c>
      <c r="I36" s="3">
        <f>934.1-862.4</f>
        <v>71.700000000000045</v>
      </c>
      <c r="J36" s="3">
        <f t="shared" si="12"/>
        <v>2.7586206896551897E-2</v>
      </c>
      <c r="K36" s="3">
        <f t="shared" si="13"/>
        <v>0.10041841004184157</v>
      </c>
      <c r="L36" s="3" t="s">
        <v>7</v>
      </c>
    </row>
    <row r="37" spans="1:12" ht="15" x14ac:dyDescent="0.25">
      <c r="G37" s="3">
        <v>327.10000000000002</v>
      </c>
      <c r="H37" s="3">
        <f>864.6-857.1</f>
        <v>7.5</v>
      </c>
      <c r="I37" s="3">
        <f>1008.4-893.9</f>
        <v>114.5</v>
      </c>
      <c r="J37" s="3">
        <f t="shared" si="12"/>
        <v>2.2928767960868235E-2</v>
      </c>
      <c r="K37" s="3">
        <f t="shared" si="13"/>
        <v>6.5502183406113537E-2</v>
      </c>
      <c r="L37" s="3" t="s">
        <v>7</v>
      </c>
    </row>
    <row r="38" spans="1:12" ht="15" x14ac:dyDescent="0.25">
      <c r="G38" s="3">
        <v>365</v>
      </c>
      <c r="H38" s="3">
        <f>888.2-881.4</f>
        <v>6.8000000000000682</v>
      </c>
      <c r="I38" s="3">
        <f>978.2-858.1</f>
        <v>120.10000000000002</v>
      </c>
      <c r="J38" s="3">
        <f t="shared" si="12"/>
        <v>1.8630136986301556E-2</v>
      </c>
      <c r="K38" s="3">
        <f t="shared" si="13"/>
        <v>5.6619483763530952E-2</v>
      </c>
      <c r="L38" s="3" t="s">
        <v>7</v>
      </c>
    </row>
    <row r="39" spans="1:12" ht="15" x14ac:dyDescent="0.25">
      <c r="G39" s="3">
        <v>356.5</v>
      </c>
      <c r="H39" s="3">
        <f>870.4-861.8</f>
        <v>8.6000000000000227</v>
      </c>
      <c r="I39" s="3">
        <f>991.5-882</f>
        <v>109.5</v>
      </c>
      <c r="J39" s="3">
        <f t="shared" si="12"/>
        <v>2.4123422159887862E-2</v>
      </c>
      <c r="K39" s="3">
        <f t="shared" si="13"/>
        <v>7.8538812785388337E-2</v>
      </c>
      <c r="L39" s="3" t="s">
        <v>7</v>
      </c>
    </row>
    <row r="40" spans="1:12" ht="15" x14ac:dyDescent="0.25">
      <c r="G40" s="3">
        <v>259.39999999999998</v>
      </c>
      <c r="H40" s="3">
        <v>3.6</v>
      </c>
      <c r="I40" s="3">
        <v>81.8</v>
      </c>
      <c r="J40" s="3">
        <f>H40/G40</f>
        <v>1.3878180416345413E-2</v>
      </c>
      <c r="K40" s="3">
        <f>H40/I40</f>
        <v>4.4009779951100246E-2</v>
      </c>
      <c r="L40" s="3" t="s">
        <v>8</v>
      </c>
    </row>
    <row r="41" spans="1:12" ht="15" x14ac:dyDescent="0.25">
      <c r="G41" s="3">
        <v>295.10000000000002</v>
      </c>
      <c r="H41" s="3">
        <v>5</v>
      </c>
      <c r="I41" s="3">
        <v>99.8</v>
      </c>
      <c r="J41" s="3">
        <f t="shared" ref="J41:J55" si="14">H41/G41</f>
        <v>1.6943409013893594E-2</v>
      </c>
      <c r="K41" s="3">
        <f t="shared" ref="K41:K55" si="15">H41/I41</f>
        <v>5.0100200400801605E-2</v>
      </c>
      <c r="L41" s="3" t="s">
        <v>8</v>
      </c>
    </row>
    <row r="42" spans="1:12" ht="15" x14ac:dyDescent="0.25">
      <c r="G42" s="3">
        <v>426.2</v>
      </c>
      <c r="H42" s="3">
        <v>10.6</v>
      </c>
      <c r="I42" s="3">
        <v>146.69999999999999</v>
      </c>
      <c r="J42" s="3">
        <f t="shared" si="14"/>
        <v>2.4870952604411075E-2</v>
      </c>
      <c r="K42" s="3">
        <f t="shared" si="15"/>
        <v>7.2256305385139746E-2</v>
      </c>
      <c r="L42" s="3" t="s">
        <v>8</v>
      </c>
    </row>
    <row r="43" spans="1:12" ht="15" x14ac:dyDescent="0.25">
      <c r="G43" s="3">
        <v>287.89999999999998</v>
      </c>
      <c r="H43" s="3">
        <v>5.6</v>
      </c>
      <c r="I43" s="3">
        <v>99.4</v>
      </c>
      <c r="J43" s="3">
        <f t="shared" si="14"/>
        <v>1.9451198332754428E-2</v>
      </c>
      <c r="K43" s="3">
        <f t="shared" si="15"/>
        <v>5.6338028169014079E-2</v>
      </c>
      <c r="L43" s="3" t="s">
        <v>8</v>
      </c>
    </row>
    <row r="44" spans="1:12" ht="15" x14ac:dyDescent="0.25">
      <c r="G44" s="3">
        <v>313.8</v>
      </c>
      <c r="H44" s="3">
        <v>5.8</v>
      </c>
      <c r="I44" s="3">
        <v>106.2</v>
      </c>
      <c r="J44" s="3">
        <f t="shared" si="14"/>
        <v>1.8483110261312937E-2</v>
      </c>
      <c r="K44" s="3">
        <f t="shared" si="15"/>
        <v>5.4613935969868167E-2</v>
      </c>
      <c r="L44" s="3" t="s">
        <v>8</v>
      </c>
    </row>
    <row r="45" spans="1:12" ht="15" x14ac:dyDescent="0.25">
      <c r="G45" s="3">
        <v>339.6</v>
      </c>
      <c r="H45" s="3">
        <v>7.4</v>
      </c>
      <c r="I45" s="3">
        <v>114.9</v>
      </c>
      <c r="J45" s="3">
        <f t="shared" si="14"/>
        <v>2.1790341578327443E-2</v>
      </c>
      <c r="K45" s="3">
        <f t="shared" si="15"/>
        <v>6.4403829416884245E-2</v>
      </c>
      <c r="L45" s="3" t="s">
        <v>8</v>
      </c>
    </row>
    <row r="46" spans="1:12" ht="15" x14ac:dyDescent="0.25">
      <c r="G46" s="3">
        <v>306.60000000000002</v>
      </c>
      <c r="H46" s="3">
        <v>6.1</v>
      </c>
      <c r="I46" s="3">
        <v>90.7</v>
      </c>
      <c r="J46" s="3">
        <f t="shared" si="14"/>
        <v>1.9895629484670579E-2</v>
      </c>
      <c r="K46" s="3">
        <f t="shared" si="15"/>
        <v>6.7254685777287757E-2</v>
      </c>
      <c r="L46" s="3" t="s">
        <v>8</v>
      </c>
    </row>
    <row r="47" spans="1:12" ht="15" x14ac:dyDescent="0.25">
      <c r="G47" s="3">
        <v>269.5</v>
      </c>
      <c r="H47" s="3">
        <v>4.0999999999999996</v>
      </c>
      <c r="I47" s="3">
        <v>100.9</v>
      </c>
      <c r="J47" s="3">
        <f t="shared" si="14"/>
        <v>1.5213358070500926E-2</v>
      </c>
      <c r="K47" s="3">
        <f t="shared" si="15"/>
        <v>4.0634291377601578E-2</v>
      </c>
      <c r="L47" s="3" t="s">
        <v>8</v>
      </c>
    </row>
    <row r="48" spans="1:12" ht="15" x14ac:dyDescent="0.25">
      <c r="G48" s="3">
        <v>331.1</v>
      </c>
      <c r="H48" s="3">
        <v>5.0999999999999996</v>
      </c>
      <c r="I48" s="3">
        <v>118.7</v>
      </c>
      <c r="J48" s="3">
        <f t="shared" si="14"/>
        <v>1.5403201449713076E-2</v>
      </c>
      <c r="K48" s="3">
        <f t="shared" si="15"/>
        <v>4.2965459140690811E-2</v>
      </c>
      <c r="L48" s="3" t="s">
        <v>8</v>
      </c>
    </row>
    <row r="49" spans="7:12" ht="15" x14ac:dyDescent="0.25">
      <c r="G49" s="3">
        <v>290.7</v>
      </c>
      <c r="H49" s="3">
        <v>5.9</v>
      </c>
      <c r="I49" s="3">
        <v>101</v>
      </c>
      <c r="J49" s="3">
        <f t="shared" si="14"/>
        <v>2.0295837633298935E-2</v>
      </c>
      <c r="K49" s="3">
        <f t="shared" si="15"/>
        <v>5.8415841584158419E-2</v>
      </c>
      <c r="L49" s="3" t="s">
        <v>8</v>
      </c>
    </row>
    <row r="50" spans="7:12" ht="15" x14ac:dyDescent="0.25">
      <c r="G50" s="3">
        <v>238.4</v>
      </c>
      <c r="H50" s="3">
        <v>3.3</v>
      </c>
      <c r="I50" s="3">
        <v>85.2</v>
      </c>
      <c r="J50" s="3">
        <f t="shared" si="14"/>
        <v>1.384228187919463E-2</v>
      </c>
      <c r="K50" s="3">
        <f t="shared" si="15"/>
        <v>3.873239436619718E-2</v>
      </c>
      <c r="L50" s="3" t="s">
        <v>8</v>
      </c>
    </row>
    <row r="51" spans="7:12" ht="15" x14ac:dyDescent="0.25">
      <c r="G51" s="3">
        <v>275.39999999999998</v>
      </c>
      <c r="H51" s="3">
        <v>5.6</v>
      </c>
      <c r="I51" s="3">
        <v>93.4</v>
      </c>
      <c r="J51" s="3">
        <f t="shared" si="14"/>
        <v>2.0334059549745823E-2</v>
      </c>
      <c r="K51" s="3">
        <f t="shared" si="15"/>
        <v>5.9957173447537468E-2</v>
      </c>
      <c r="L51" s="3" t="s">
        <v>8</v>
      </c>
    </row>
    <row r="52" spans="7:12" ht="15" x14ac:dyDescent="0.25">
      <c r="G52" s="3">
        <v>314.39999999999998</v>
      </c>
      <c r="H52" s="3">
        <v>4.5999999999999996</v>
      </c>
      <c r="I52" s="3">
        <v>102.7</v>
      </c>
      <c r="J52" s="3">
        <f t="shared" si="14"/>
        <v>1.4631043256997456E-2</v>
      </c>
      <c r="K52" s="3">
        <f t="shared" si="15"/>
        <v>4.4790652385589089E-2</v>
      </c>
      <c r="L52" s="3" t="s">
        <v>8</v>
      </c>
    </row>
    <row r="53" spans="7:12" ht="15" x14ac:dyDescent="0.25">
      <c r="G53" s="3">
        <v>338.2</v>
      </c>
      <c r="H53" s="3">
        <v>5.8</v>
      </c>
      <c r="I53" s="3">
        <v>102.4</v>
      </c>
      <c r="J53" s="3">
        <f t="shared" si="14"/>
        <v>1.7149615612063868E-2</v>
      </c>
      <c r="K53" s="3">
        <f t="shared" si="15"/>
        <v>5.6640624999999993E-2</v>
      </c>
      <c r="L53" s="3" t="s">
        <v>8</v>
      </c>
    </row>
    <row r="54" spans="7:12" ht="15" x14ac:dyDescent="0.25">
      <c r="G54" s="3">
        <v>252.7</v>
      </c>
      <c r="H54" s="3">
        <v>4.9000000000000004</v>
      </c>
      <c r="I54" s="3">
        <v>78.400000000000006</v>
      </c>
      <c r="J54" s="3">
        <f t="shared" si="14"/>
        <v>1.9390581717451526E-2</v>
      </c>
      <c r="K54" s="3">
        <f t="shared" si="15"/>
        <v>6.25E-2</v>
      </c>
      <c r="L54" s="3" t="s">
        <v>8</v>
      </c>
    </row>
    <row r="55" spans="7:12" ht="15" x14ac:dyDescent="0.25">
      <c r="G55" s="3">
        <v>296</v>
      </c>
      <c r="H55" s="3">
        <v>4.0999999999999996</v>
      </c>
      <c r="I55" s="3">
        <v>106.8</v>
      </c>
      <c r="J55" s="3">
        <f t="shared" si="14"/>
        <v>1.385135135135135E-2</v>
      </c>
      <c r="K55" s="3">
        <f t="shared" si="15"/>
        <v>3.8389513108614229E-2</v>
      </c>
      <c r="L55" s="3" t="s">
        <v>8</v>
      </c>
    </row>
  </sheetData>
  <mergeCells count="2">
    <mergeCell ref="A1:F1"/>
    <mergeCell ref="G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 3B</vt:lpstr>
      <vt:lpstr>Figure 3C</vt:lpstr>
      <vt:lpstr>Figure 3D</vt:lpstr>
      <vt:lpstr>Figure 3E</vt:lpstr>
      <vt:lpstr>Figure 9A-E</vt:lpstr>
      <vt:lpstr>Figure 9F-J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2019-04-08T07:34:30Z</dcterms:modified>
</cp:coreProperties>
</file>